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9.xml" ContentType="application/vnd.ms-excel.controlproperti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alexe\OneDrive\Рабочий стол\ралли\"/>
    </mc:Choice>
  </mc:AlternateContent>
  <bookViews>
    <workbookView xWindow="0" yWindow="0" windowWidth="2160" windowHeight="0" tabRatio="797"/>
  </bookViews>
  <sheets>
    <sheet name="предварительныеЗнач" sheetId="2178" r:id="rId1"/>
    <sheet name="итоговыеЗнач" sheetId="2177" r:id="rId2"/>
    <sheet name="общее" sheetId="26" r:id="rId3"/>
    <sheet name="КК" sheetId="910" r:id="rId4"/>
    <sheet name="заявки" sheetId="436" r:id="rId5"/>
    <sheet name="чек-лист" sheetId="2090" r:id="rId6"/>
    <sheet name="заявкиА3" sheetId="45" r:id="rId7"/>
    <sheet name="стартоваяВедомость" sheetId="47" r:id="rId8"/>
    <sheet name="итоговые" sheetId="960" r:id="rId9"/>
    <sheet name="стр 22" sheetId="1705" r:id="rId10"/>
    <sheet name="бюллетень" sheetId="1909" r:id="rId11"/>
    <sheet name="поз 20" sheetId="2175" r:id="rId12"/>
    <sheet name="ДК титул Про" sheetId="438" r:id="rId13"/>
    <sheet name="ДК титул Лайт" sheetId="655" r:id="rId14"/>
    <sheet name="МЛ" sheetId="778" r:id="rId15"/>
    <sheet name="Знаки контроля" sheetId="1018" r:id="rId16"/>
    <sheet name="Легенда" sheetId="441" r:id="rId17"/>
    <sheet name="Сектор 1" sheetId="900" r:id="rId18"/>
    <sheet name="Сектор 2" sheetId="1725" r:id="rId19"/>
    <sheet name="Сектор 3" sheetId="1726" r:id="rId20"/>
    <sheet name="Сектор 4" sheetId="1727" r:id="rId21"/>
    <sheet name="Сектор 5" sheetId="1757" r:id="rId22"/>
    <sheet name="Сектор 6" sheetId="1775" r:id="rId23"/>
    <sheet name="Сектор 7" sheetId="1780" r:id="rId24"/>
    <sheet name="Легенда тип 2" sheetId="1678" r:id="rId25"/>
    <sheet name="тарировочный" sheetId="1694" r:id="rId26"/>
    <sheet name="подписи" sheetId="1647" r:id="rId27"/>
    <sheet name="РД шаблон" sheetId="434" r:id="rId28"/>
    <sheet name="протоколТИ" sheetId="1587" r:id="rId29"/>
    <sheet name="протоколДоп" sheetId="118" r:id="rId30"/>
    <sheet name="протоколКВ0" sheetId="108" r:id="rId31"/>
    <sheet name="протоколКВ" sheetId="736" r:id="rId32"/>
    <sheet name="протоколКВсовм" sheetId="1922" r:id="rId33"/>
    <sheet name="протоколДСсовм" sheetId="2056" r:id="rId34"/>
    <sheet name="протоколДС" sheetId="115" r:id="rId35"/>
    <sheet name="протоколДСф" sheetId="116" r:id="rId36"/>
    <sheet name="протоколСЛ" sheetId="109" r:id="rId37"/>
    <sheet name="протоколКСЛ" sheetId="1078" r:id="rId38"/>
    <sheet name="пСекр" sheetId="96" r:id="rId39"/>
    <sheet name="пКВ0" sheetId="99" r:id="rId40"/>
    <sheet name="пДС1Старт" sheetId="98" r:id="rId41"/>
    <sheet name="пДС1сф" sheetId="100" r:id="rId42"/>
    <sheet name="пДС1ф" sheetId="726" r:id="rId43"/>
    <sheet name="пКВ1-2-3-4" sheetId="661" r:id="rId44"/>
    <sheet name="пДС4Старт" sheetId="662" r:id="rId45"/>
    <sheet name="пДС4сф" sheetId="663" r:id="rId46"/>
    <sheet name="пДС4ф" sheetId="664" r:id="rId47"/>
    <sheet name="пВКП1" sheetId="665" r:id="rId48"/>
    <sheet name="предварительные" sheetId="734" r:id="rId49"/>
    <sheet name="_протоколДП1" sheetId="2136" r:id="rId50"/>
    <sheet name="_протоколДП2" sheetId="2137" r:id="rId51"/>
    <sheet name="_протоколКВ0" sheetId="2138" r:id="rId52"/>
    <sheet name="_протоколДС1" sheetId="2097" r:id="rId53"/>
    <sheet name="_протоколКВ1" sheetId="2140" r:id="rId54"/>
    <sheet name="_протоколДС2" sheetId="2141" r:id="rId55"/>
    <sheet name="_протоколСФ2_1" sheetId="2142" r:id="rId56"/>
    <sheet name="_протоколДСФ2" sheetId="2143" r:id="rId57"/>
    <sheet name="_протоколДСФ2_стоп" sheetId="2144" r:id="rId58"/>
    <sheet name="_протоколКВ2" sheetId="2145" r:id="rId59"/>
    <sheet name="_протоколКВ3" sheetId="2146" r:id="rId60"/>
    <sheet name="_протоколКВ4" sheetId="2147" r:id="rId61"/>
    <sheet name="_протоколДС3" sheetId="2148" r:id="rId62"/>
    <sheet name="_протоколСФ3_1" sheetId="2149" r:id="rId63"/>
    <sheet name="_протоколДСФ3" sheetId="2150" r:id="rId64"/>
    <sheet name="_протоколКВ5" sheetId="2152" r:id="rId65"/>
    <sheet name="_протоколДС4" sheetId="2158" r:id="rId66"/>
    <sheet name="_протоколКВ6" sheetId="2154" r:id="rId67"/>
    <sheet name="_протоколВКП1" sheetId="2155" r:id="rId68"/>
    <sheet name="_протоколВКП2" sheetId="2156" r:id="rId69"/>
    <sheet name="_протоколКВ7" sheetId="2157" r:id="rId70"/>
    <sheet name="_ДС-2_1" sheetId="2171" r:id="rId71"/>
    <sheet name="_ДС-2" sheetId="2172" r:id="rId72"/>
    <sheet name="_ДС-3_1" sheetId="2173" r:id="rId73"/>
    <sheet name="_ДС-3" sheetId="2174" r:id="rId74"/>
  </sheets>
  <functionGroups builtInGroupCount="18"/>
  <definedNames>
    <definedName name="_ВКП1">общее!$A$27</definedName>
    <definedName name="_ВКП1Расстояние">общее!$H$27</definedName>
    <definedName name="_ВКП2">общее!$A$28</definedName>
    <definedName name="_ВКП2Расстояние">общее!$H$28</definedName>
    <definedName name="_ДП1">общее!$A$10</definedName>
    <definedName name="_ДП2">общее!$A$11</definedName>
    <definedName name="_ДС1">общее!$A$13</definedName>
    <definedName name="_ДС2">общее!$A$15</definedName>
    <definedName name="_ДС3">общее!$A$21</definedName>
    <definedName name="_ДС4">общее!$A$25</definedName>
    <definedName name="_ДСФ2Норматив">'_ДС-2'!$H$72</definedName>
    <definedName name="_ДСФ3Норматив">'_ДС-3'!$H$72</definedName>
    <definedName name="_КВ0">общее!$A$12</definedName>
    <definedName name="_КВ1">общее!$A$14</definedName>
    <definedName name="_КВ1Время">общее!$C$14</definedName>
    <definedName name="_КВ1Расстояние">общее!$B$14</definedName>
    <definedName name="_КВ1Скорость">общее!$E$14</definedName>
    <definedName name="_КВ2">общее!$A$18</definedName>
    <definedName name="_КВ2Время">общее!$C$18</definedName>
    <definedName name="_КВ2Расстояние">общее!$B$18</definedName>
    <definedName name="_КВ2Скорость">общее!$E$18</definedName>
    <definedName name="_КВ3">общее!$A$19</definedName>
    <definedName name="_КВ3Время">общее!$C$19</definedName>
    <definedName name="_КВ3Расстояние">общее!$B$19</definedName>
    <definedName name="_КВ3Скорость">общее!$E$19</definedName>
    <definedName name="_КВ4">общее!$A$20</definedName>
    <definedName name="_КВ4Время">общее!$C$20</definedName>
    <definedName name="_КВ4Расстояние">общее!$B$20</definedName>
    <definedName name="_КВ4Скорость">общее!$E$20</definedName>
    <definedName name="_КВ5">общее!$A$24</definedName>
    <definedName name="_КВ5Время">общее!$C$24</definedName>
    <definedName name="_КВ5Расстояние">общее!$B$24</definedName>
    <definedName name="_КВ5Скорость">общее!$E$24</definedName>
    <definedName name="_КВ6">общее!$A$26</definedName>
    <definedName name="_КВ6Время">общее!$C$26</definedName>
    <definedName name="_КВ6Расстояние">общее!$B$26</definedName>
    <definedName name="_КВ6Скорость">общее!$E$26</definedName>
    <definedName name="_КВ7">общее!$A$29</definedName>
    <definedName name="_КВ7Время">общее!$C$29</definedName>
    <definedName name="_КВ7Расстояние">общее!$B$29</definedName>
    <definedName name="_КВ7Скорость">общее!$E$29</definedName>
    <definedName name="_СФ2_1Норматив">'_ДС-2_1'!$H$72</definedName>
    <definedName name="_СФ3_1Норматив">'_ДС-3_1'!$H$72</definedName>
    <definedName name="_xlnm._FilterDatabase" localSheetId="71" hidden="1">'_ДС-2'!$A$9:$H$71</definedName>
    <definedName name="_xlnm._FilterDatabase" localSheetId="70" hidden="1">'_ДС-2_1'!$A$9:$H$71</definedName>
    <definedName name="_xlnm._FilterDatabase" localSheetId="73" hidden="1">'_ДС-3'!$A$9:$H$71</definedName>
    <definedName name="_xlnm._FilterDatabase" localSheetId="72" hidden="1">'_ДС-3_1'!$A$9:$H$71</definedName>
    <definedName name="_xlnm._FilterDatabase" localSheetId="8" hidden="1">итоговые!$A$9:$F$69</definedName>
    <definedName name="_xlnm._FilterDatabase" localSheetId="1" hidden="1">итоговыеЗнач!$A$4:$F$17</definedName>
    <definedName name="_xlnm._FilterDatabase" localSheetId="14" hidden="1">МЛ!$A$9:$G$69</definedName>
    <definedName name="_xlnm._FilterDatabase" localSheetId="48" hidden="1">предварительные!$A$4:$DV$69</definedName>
    <definedName name="_xlnm._FilterDatabase" localSheetId="0" hidden="1">предварительныеЗнач!$A$4:$DV$46</definedName>
    <definedName name="_xlnm._FilterDatabase" localSheetId="27" hidden="1">'РД шаблон'!$A$9:$H$71</definedName>
    <definedName name="_xlnm._FilterDatabase" localSheetId="7" hidden="1">стартоваяВедомость!$A$9:$H$69</definedName>
    <definedName name="авто">заявкиА3!$D$50</definedName>
    <definedName name="база">общее!$B$88</definedName>
    <definedName name="буква">общее!$B$79</definedName>
    <definedName name="времяЗакрытия">общее!$B$6</definedName>
    <definedName name="времяОткрытия">общее!$B$5</definedName>
    <definedName name="всегоСтрок">общее!$B$95</definedName>
    <definedName name="город1">заявкиА3!$I$50</definedName>
    <definedName name="город2">заявкиА3!$M$50</definedName>
    <definedName name="госномер">заявкиА3!$E$50</definedName>
    <definedName name="датаРалли">общее!$B$3</definedName>
    <definedName name="дВКВ">общее!$B$100</definedName>
    <definedName name="дВКП">общее!$B$101</definedName>
    <definedName name="дДП">общее!$B$97</definedName>
    <definedName name="дДС">общее!$B$102</definedName>
    <definedName name="дДСФ">общее!$B$103</definedName>
    <definedName name="дКВ">общее!$B$99</definedName>
    <definedName name="дКВ0">общее!$B$98</definedName>
    <definedName name="дКСЛ">общее!$B$105</definedName>
    <definedName name="допПротоколы">общее!$B$8</definedName>
    <definedName name="дСВ">общее!$B$96</definedName>
    <definedName name="дСЛ">общее!$B$104</definedName>
    <definedName name="_xlnm.Print_Titles" localSheetId="67">_протоколВКП1!$1:$9</definedName>
    <definedName name="_xlnm.Print_Titles" localSheetId="68">_протоколВКП2!$1:$9</definedName>
    <definedName name="_xlnm.Print_Titles" localSheetId="49">_протоколДП1!$1:$9</definedName>
    <definedName name="_xlnm.Print_Titles" localSheetId="50">_протоколДП2!$1:$9</definedName>
    <definedName name="_xlnm.Print_Titles" localSheetId="52">_протоколДС1!$1:$9</definedName>
    <definedName name="_xlnm.Print_Titles" localSheetId="54">_протоколДС2!$1:$9</definedName>
    <definedName name="_xlnm.Print_Titles" localSheetId="61">_протоколДС3!$1:$9</definedName>
    <definedName name="_xlnm.Print_Titles" localSheetId="65">_протоколДС4!$1:$9</definedName>
    <definedName name="_xlnm.Print_Titles" localSheetId="56">_протоколДСФ2!$1:$9</definedName>
    <definedName name="_xlnm.Print_Titles" localSheetId="57">_протоколДСФ2_стоп!$1:$9</definedName>
    <definedName name="_xlnm.Print_Titles" localSheetId="63">_протоколДСФ3!$1:$9</definedName>
    <definedName name="_xlnm.Print_Titles" localSheetId="51">_протоколКВ0!$1:$9</definedName>
    <definedName name="_xlnm.Print_Titles" localSheetId="53">_протоколКВ1!$1:$9</definedName>
    <definedName name="_xlnm.Print_Titles" localSheetId="58">_протоколКВ2!$1:$9</definedName>
    <definedName name="_xlnm.Print_Titles" localSheetId="59">_протоколКВ3!$1:$9</definedName>
    <definedName name="_xlnm.Print_Titles" localSheetId="60">_протоколКВ4!$1:$9</definedName>
    <definedName name="_xlnm.Print_Titles" localSheetId="64">_протоколКВ5!$1:$9</definedName>
    <definedName name="_xlnm.Print_Titles" localSheetId="66">_протоколКВ6!$1:$9</definedName>
    <definedName name="_xlnm.Print_Titles" localSheetId="69">_протоколКВ7!$1:$9</definedName>
    <definedName name="_xlnm.Print_Titles" localSheetId="55">_протоколСФ2_1!$1:$9</definedName>
    <definedName name="_xlnm.Print_Titles" localSheetId="62">_протоколСФ3_1!$1:$9</definedName>
    <definedName name="_xlnm.Print_Titles" localSheetId="6">заявкиА3!$1:$9</definedName>
    <definedName name="_xlnm.Print_Titles" localSheetId="8">итоговые!$1:$9</definedName>
    <definedName name="_xlnm.Print_Titles" localSheetId="24">'Легенда тип 2'!$1:$9</definedName>
    <definedName name="_xlnm.Print_Titles" localSheetId="48">предварительные!$A:$A,предварительные!$1:$9</definedName>
    <definedName name="_xlnm.Print_Titles" localSheetId="0">предварительныеЗнач!$A:$A,предварительныеЗнач!$1:$4</definedName>
    <definedName name="_xlnm.Print_Titles" localSheetId="29">протоколДоп!$1:$9</definedName>
    <definedName name="_xlnm.Print_Titles" localSheetId="34">протоколДС!$1:$9</definedName>
    <definedName name="_xlnm.Print_Titles" localSheetId="33">протоколДСсовм!$1:$9</definedName>
    <definedName name="_xlnm.Print_Titles" localSheetId="35">протоколДСф!$1:$9</definedName>
    <definedName name="_xlnm.Print_Titles" localSheetId="31">протоколКВ!$1:$9</definedName>
    <definedName name="_xlnm.Print_Titles" localSheetId="30">протоколКВ0!$1:$9</definedName>
    <definedName name="_xlnm.Print_Titles" localSheetId="32">протоколКВсовм!$1:$9</definedName>
    <definedName name="_xlnm.Print_Titles" localSheetId="37">протоколКСЛ!$1:$9</definedName>
    <definedName name="_xlnm.Print_Titles" localSheetId="36">протоколСЛ!$1:$9</definedName>
    <definedName name="_xlnm.Print_Titles" localSheetId="28">протоколТИ!$1:$9</definedName>
    <definedName name="_xlnm.Print_Titles" localSheetId="17">'Сектор 1'!$1:$9</definedName>
    <definedName name="_xlnm.Print_Titles" localSheetId="18">'Сектор 2'!$1:$9</definedName>
    <definedName name="_xlnm.Print_Titles" localSheetId="19">'Сектор 3'!$1:$9</definedName>
    <definedName name="_xlnm.Print_Titles" localSheetId="20">'Сектор 4'!$1:$9</definedName>
    <definedName name="_xlnm.Print_Titles" localSheetId="21">'Сектор 5'!$1:$9</definedName>
    <definedName name="_xlnm.Print_Titles" localSheetId="22">'Сектор 6'!$1:$9</definedName>
    <definedName name="_xlnm.Print_Titles" localSheetId="23">'Сектор 7'!$1:$9</definedName>
    <definedName name="_xlnm.Print_Titles" localSheetId="7">стартоваяВедомость!$1:$9</definedName>
    <definedName name="_xlnm.Print_Titles" localSheetId="9">'стр 22'!$1:$9</definedName>
    <definedName name="_xlnm.Print_Titles" localSheetId="25">тарировочный!$1:$9</definedName>
    <definedName name="зачет">заявкиА3!$C$50</definedName>
    <definedName name="конверт">общее!$B$78</definedName>
    <definedName name="конус">общее!$B$87</definedName>
    <definedName name="название">общее!$B$1</definedName>
    <definedName name="названиеКратко">общее!$B$2</definedName>
    <definedName name="неПоСхеме">общее!$B$86</definedName>
    <definedName name="номЛицГлСек">общее!$C$109</definedName>
    <definedName name="номЛицГлСуд">общее!$C$108</definedName>
    <definedName name="номЛицСК">общее!$C$110</definedName>
    <definedName name="_xlnm.Print_Area" localSheetId="71">'_ДС-2'!$A$1:$H$72</definedName>
    <definedName name="_xlnm.Print_Area" localSheetId="70">'_ДС-2_1'!$A$1:$H$72</definedName>
    <definedName name="_xlnm.Print_Area" localSheetId="73">'_ДС-3'!$A$1:$H$72</definedName>
    <definedName name="_xlnm.Print_Area" localSheetId="72">'_ДС-3_1'!$A$1:$H$72</definedName>
    <definedName name="_xlnm.Print_Area" localSheetId="52">_протоколДС1!$A$1:$I$54</definedName>
    <definedName name="_xlnm.Print_Area" localSheetId="65">_протоколДС4!$A$1:$I$54</definedName>
    <definedName name="_xlnm.Print_Area" localSheetId="10">бюллетень!$A$1:$H$6</definedName>
    <definedName name="_xlnm.Print_Area" localSheetId="13">'ДК титул Лайт'!$A$1:$J$44</definedName>
    <definedName name="_xlnm.Print_Area" localSheetId="12">'ДК титул Про'!$A$1:$J$44</definedName>
    <definedName name="_xlnm.Print_Area" localSheetId="6">заявкиА3!$A$1:$M$70</definedName>
    <definedName name="_xlnm.Print_Area" localSheetId="8">итоговые!$A$1:$F$154</definedName>
    <definedName name="_xlnm.Print_Area" localSheetId="1">итоговыеЗнач!$A$1:$F$147</definedName>
    <definedName name="_xlnm.Print_Area" localSheetId="24">'Легенда тип 2'!$A$1:$H$189</definedName>
    <definedName name="_xlnm.Print_Area" localSheetId="14">МЛ!$A$1:$G$90</definedName>
    <definedName name="_xlnm.Print_Area" localSheetId="47">пВКП1!$A$1:$A$42</definedName>
    <definedName name="_xlnm.Print_Area" localSheetId="40">пДС1Старт!$A$1:$A$35</definedName>
    <definedName name="_xlnm.Print_Area" localSheetId="41">пДС1сф!$A$1:$A$46</definedName>
    <definedName name="_xlnm.Print_Area" localSheetId="42">пДС1ф!$A$1:$A$42</definedName>
    <definedName name="_xlnm.Print_Area" localSheetId="44">пДС4Старт!$A$1:$A$38</definedName>
    <definedName name="_xlnm.Print_Area" localSheetId="45">пДС4сф!$A$1:$A$45</definedName>
    <definedName name="_xlnm.Print_Area" localSheetId="46">пДС4ф!$A$1:$A$42</definedName>
    <definedName name="_xlnm.Print_Area" localSheetId="39">пКВ0!$A$1:$A$32</definedName>
    <definedName name="_xlnm.Print_Area" localSheetId="43">'пКВ1-2-3-4'!$A$1:$A$36</definedName>
    <definedName name="_xlnm.Print_Area" localSheetId="11">'поз 20'!$A$1:$H$18</definedName>
    <definedName name="_xlnm.Print_Area" localSheetId="48">предварительные!$A$1:$DV$70</definedName>
    <definedName name="_xlnm.Print_Area" localSheetId="0">предварительныеЗнач!$A$1:$DV$46</definedName>
    <definedName name="_xlnm.Print_Area" localSheetId="27">'РД шаблон'!$A$1:$H$72</definedName>
    <definedName name="_xlnm.Print_Area" localSheetId="17">'Сектор 1'!$A$1:$H$32</definedName>
    <definedName name="_xlnm.Print_Area" localSheetId="18">'Сектор 2'!$A$1:$H$41</definedName>
    <definedName name="_xlnm.Print_Area" localSheetId="19">'Сектор 3'!$A$1:$H$22</definedName>
    <definedName name="_xlnm.Print_Area" localSheetId="20">'Сектор 4'!$A$1:$H$13</definedName>
    <definedName name="_xlnm.Print_Area" localSheetId="21">'Сектор 5'!$A$1:$H$53</definedName>
    <definedName name="_xlnm.Print_Area" localSheetId="22">'Сектор 6'!$A$1:$H$23</definedName>
    <definedName name="_xlnm.Print_Area" localSheetId="23">'Сектор 7'!$A$1:$H$18</definedName>
    <definedName name="_xlnm.Print_Area" localSheetId="7">стартоваяВедомость!$A$1:$H$75</definedName>
    <definedName name="_xlnm.Print_Area" localSheetId="9">'стр 22'!$A$1:$L$25</definedName>
    <definedName name="_xlnm.Print_Area" localSheetId="25">тарировочный!$A$1:$H$15</definedName>
    <definedName name="округлениеРД">общее!$B$89</definedName>
    <definedName name="опережениеКВ">общее!$B$74</definedName>
    <definedName name="опозданиеКВ">общее!$B$73</definedName>
    <definedName name="отклонениеРД">общее!$B$84</definedName>
    <definedName name="ПДД">общее!$B$81</definedName>
    <definedName name="перваяСтрока">общее!$B$94</definedName>
    <definedName name="пределКВ">общее!$B$90</definedName>
    <definedName name="пределРД">общее!$B$91</definedName>
    <definedName name="пропускДС">общее!$B$77</definedName>
    <definedName name="пропускКВ">общее!$B$75</definedName>
    <definedName name="пропускСФ">общее!$B$76</definedName>
    <definedName name="секундаСЛ">общее!$B$85</definedName>
    <definedName name="старт">общее!$B$7</definedName>
    <definedName name="стартНомер">заявкиА3!$B$50</definedName>
    <definedName name="тел1">заявкиА3!$H$50</definedName>
    <definedName name="тел2">заявкиА3!$L$50</definedName>
    <definedName name="фальстарт">общее!$B$83</definedName>
    <definedName name="фио1">заявкиА3!$F$50</definedName>
    <definedName name="фио2">заявкиА3!$J$50</definedName>
    <definedName name="фиоГлСек">общее!$B$109</definedName>
    <definedName name="фиоГлСуд">общее!$B$108</definedName>
    <definedName name="фиоСК">общее!$B$110</definedName>
    <definedName name="числоЭкипажей">общее!$B$4</definedName>
  </definedNames>
  <calcPr calcId="162913"/>
</workbook>
</file>

<file path=xl/calcChain.xml><?xml version="1.0" encoding="utf-8"?>
<calcChain xmlns="http://schemas.openxmlformats.org/spreadsheetml/2006/main">
  <c r="C70" i="26" l="1"/>
  <c r="A65" i="2177" l="1"/>
  <c r="A66" i="2177"/>
  <c r="A70" i="2177"/>
  <c r="A71" i="2177"/>
  <c r="A72" i="2177" s="1"/>
  <c r="A73" i="2177" s="1"/>
  <c r="A74" i="2177" s="1"/>
  <c r="A75" i="2177" s="1"/>
  <c r="A76" i="2177" s="1"/>
  <c r="A77" i="2177" s="1"/>
  <c r="A78" i="2177" s="1"/>
  <c r="A79" i="2177" s="1"/>
  <c r="A80" i="2177" s="1"/>
  <c r="A81" i="2177" s="1"/>
  <c r="A82" i="2177" s="1"/>
  <c r="A83" i="2177" s="1"/>
  <c r="A84" i="2177" s="1"/>
  <c r="A85" i="2177" s="1"/>
  <c r="A86" i="2177" s="1"/>
  <c r="D88" i="2177"/>
  <c r="E88" i="2177"/>
  <c r="D90" i="2177"/>
  <c r="E90" i="2177"/>
  <c r="D92" i="2177"/>
  <c r="E92" i="2177"/>
  <c r="A94" i="2177"/>
  <c r="A95" i="2177"/>
  <c r="A99" i="2177"/>
  <c r="A100" i="2177" s="1"/>
  <c r="A101" i="2177" s="1"/>
  <c r="A102" i="2177" s="1"/>
  <c r="A103" i="2177" s="1"/>
  <c r="D111" i="2177"/>
  <c r="E111" i="2177"/>
  <c r="D113" i="2177"/>
  <c r="E113" i="2177"/>
  <c r="D115" i="2177"/>
  <c r="E115" i="2177"/>
  <c r="A117" i="2177"/>
  <c r="A118" i="2177"/>
  <c r="A122" i="2177"/>
  <c r="A123" i="2177" s="1"/>
  <c r="A124" i="2177" s="1"/>
  <c r="A125" i="2177" s="1"/>
  <c r="A126" i="2177" s="1"/>
  <c r="A127" i="2177" s="1"/>
  <c r="A128" i="2177" s="1"/>
  <c r="A129" i="2177" s="1"/>
  <c r="A130" i="2177" s="1"/>
  <c r="A131" i="2177" s="1"/>
  <c r="A132" i="2177" s="1"/>
  <c r="A133" i="2177" s="1"/>
  <c r="A134" i="2177" s="1"/>
  <c r="A135" i="2177" s="1"/>
  <c r="A136" i="2177" s="1"/>
  <c r="A137" i="2177" s="1"/>
  <c r="A138" i="2177" s="1"/>
  <c r="A139" i="2177" s="1"/>
  <c r="A140" i="2177" s="1"/>
  <c r="D142" i="2177"/>
  <c r="E142" i="2177"/>
  <c r="D144" i="2177"/>
  <c r="E144" i="2177"/>
  <c r="D146" i="2177"/>
  <c r="E146" i="2177"/>
  <c r="E63" i="2177"/>
  <c r="D63" i="2177"/>
  <c r="E61" i="2177"/>
  <c r="D61" i="2177"/>
  <c r="E59" i="2177"/>
  <c r="D59" i="2177"/>
  <c r="A30" i="2177"/>
  <c r="A31" i="2177" s="1"/>
  <c r="A32" i="2177" s="1"/>
  <c r="A33" i="2177" s="1"/>
  <c r="A34" i="2177" s="1"/>
  <c r="A35" i="2177" s="1"/>
  <c r="A36" i="2177" s="1"/>
  <c r="A37" i="2177" s="1"/>
  <c r="A38" i="2177" s="1"/>
  <c r="A39" i="2177" s="1"/>
  <c r="A40" i="2177" s="1"/>
  <c r="A41" i="2177" s="1"/>
  <c r="A42" i="2177" s="1"/>
  <c r="A43" i="2177" s="1"/>
  <c r="A44" i="2177" s="1"/>
  <c r="A45" i="2177" s="1"/>
  <c r="A46" i="2177" s="1"/>
  <c r="A47" i="2177" s="1"/>
  <c r="A48" i="2177" s="1"/>
  <c r="A49" i="2177" s="1"/>
  <c r="A50" i="2177" s="1"/>
  <c r="A51" i="2177" s="1"/>
  <c r="A52" i="2177" s="1"/>
  <c r="A53" i="2177" s="1"/>
  <c r="A54" i="2177" s="1"/>
  <c r="A55" i="2177" s="1"/>
  <c r="A56" i="2177" s="1"/>
  <c r="A57" i="2177" s="1"/>
  <c r="A26" i="2177"/>
  <c r="A25" i="2177"/>
  <c r="E23" i="2177"/>
  <c r="D23" i="2177"/>
  <c r="E21" i="2177"/>
  <c r="D21" i="2177"/>
  <c r="E19" i="2177"/>
  <c r="D19" i="2177"/>
  <c r="A6" i="2177"/>
  <c r="A7" i="2177" s="1"/>
  <c r="A8" i="2177" s="1"/>
  <c r="A9" i="2177" s="1"/>
  <c r="A10" i="2177" s="1"/>
  <c r="A11" i="2177" s="1"/>
  <c r="A12" i="2177" s="1"/>
  <c r="A13" i="2177" s="1"/>
  <c r="A14" i="2177" s="1"/>
  <c r="A15" i="2177" s="1"/>
  <c r="A16" i="2177" s="1"/>
  <c r="A17" i="2177" s="1"/>
  <c r="A2" i="2177"/>
  <c r="A1" i="2177"/>
  <c r="A107" i="2177" l="1"/>
  <c r="A108" i="2177" s="1"/>
  <c r="A109" i="2177" s="1"/>
  <c r="A104" i="2177"/>
  <c r="D3" i="436"/>
  <c r="D5" i="436"/>
  <c r="D7" i="436"/>
  <c r="D9" i="436"/>
  <c r="D11" i="436"/>
  <c r="D13" i="436"/>
  <c r="H7" i="436"/>
  <c r="H11" i="436"/>
  <c r="I13" i="436"/>
  <c r="A1" i="2090"/>
  <c r="D1" i="2090"/>
  <c r="D3" i="2090"/>
  <c r="D5" i="2090"/>
  <c r="D25" i="2090"/>
  <c r="D27" i="2090"/>
  <c r="E3" i="1780" l="1"/>
  <c r="D2" i="1780"/>
  <c r="D1" i="1780"/>
  <c r="C21" i="1775"/>
  <c r="E3" i="1775"/>
  <c r="D2" i="1775"/>
  <c r="C20" i="1775"/>
  <c r="C19" i="1775"/>
  <c r="C18" i="1775"/>
  <c r="C17" i="1775"/>
  <c r="C16" i="1775"/>
  <c r="D1" i="1775"/>
  <c r="C53" i="1757"/>
  <c r="E3" i="1757"/>
  <c r="D2" i="1757"/>
  <c r="C52" i="1757"/>
  <c r="C51" i="1757"/>
  <c r="C50" i="1757"/>
  <c r="C49" i="1757"/>
  <c r="C48" i="1757"/>
  <c r="C47" i="1757"/>
  <c r="C46" i="1757"/>
  <c r="C45" i="1757"/>
  <c r="C38" i="1757"/>
  <c r="C37" i="1757"/>
  <c r="C36" i="1757"/>
  <c r="A1" i="2174"/>
  <c r="G69" i="2174"/>
  <c r="H69" i="2174" s="1"/>
  <c r="C69" i="2174"/>
  <c r="C68" i="2174"/>
  <c r="G68" i="2174" s="1"/>
  <c r="H68" i="2174" s="1"/>
  <c r="C67" i="2174"/>
  <c r="G67" i="2174" s="1"/>
  <c r="H67" i="2174" s="1"/>
  <c r="C66" i="2174"/>
  <c r="G66" i="2174" s="1"/>
  <c r="H66" i="2174" s="1"/>
  <c r="C65" i="2174"/>
  <c r="G65" i="2174" s="1"/>
  <c r="H65" i="2174" s="1"/>
  <c r="C64" i="2174"/>
  <c r="G64" i="2174" s="1"/>
  <c r="H64" i="2174" s="1"/>
  <c r="C63" i="2174"/>
  <c r="G63" i="2174" s="1"/>
  <c r="H63" i="2174" s="1"/>
  <c r="C62" i="2174"/>
  <c r="G62" i="2174" s="1"/>
  <c r="H62" i="2174" s="1"/>
  <c r="G61" i="2174"/>
  <c r="H61" i="2174" s="1"/>
  <c r="C61" i="2174"/>
  <c r="C60" i="2174"/>
  <c r="G60" i="2174" s="1"/>
  <c r="H60" i="2174" s="1"/>
  <c r="C59" i="2174"/>
  <c r="G59" i="2174" s="1"/>
  <c r="H59" i="2174" s="1"/>
  <c r="C58" i="2174"/>
  <c r="G58" i="2174" s="1"/>
  <c r="H58" i="2174" s="1"/>
  <c r="C57" i="2174"/>
  <c r="G57" i="2174" s="1"/>
  <c r="H57" i="2174" s="1"/>
  <c r="C56" i="2174"/>
  <c r="G56" i="2174" s="1"/>
  <c r="H56" i="2174" s="1"/>
  <c r="C55" i="2174"/>
  <c r="G55" i="2174" s="1"/>
  <c r="H55" i="2174" s="1"/>
  <c r="G54" i="2174"/>
  <c r="H54" i="2174" s="1"/>
  <c r="C54" i="2174"/>
  <c r="C53" i="2174"/>
  <c r="G53" i="2174" s="1"/>
  <c r="H53" i="2174" s="1"/>
  <c r="C52" i="2174"/>
  <c r="G52" i="2174" s="1"/>
  <c r="H52" i="2174" s="1"/>
  <c r="C51" i="2174"/>
  <c r="G51" i="2174" s="1"/>
  <c r="H51" i="2174" s="1"/>
  <c r="C50" i="2174"/>
  <c r="G50" i="2174" s="1"/>
  <c r="H50" i="2174" s="1"/>
  <c r="C49" i="2174"/>
  <c r="G49" i="2174" s="1"/>
  <c r="H49" i="2174" s="1"/>
  <c r="C48" i="2174"/>
  <c r="G48" i="2174" s="1"/>
  <c r="H48" i="2174" s="1"/>
  <c r="C47" i="2174"/>
  <c r="G47" i="2174" s="1"/>
  <c r="H47" i="2174" s="1"/>
  <c r="C46" i="2174"/>
  <c r="G46" i="2174" s="1"/>
  <c r="H46" i="2174" s="1"/>
  <c r="G45" i="2174"/>
  <c r="H45" i="2174" s="1"/>
  <c r="C45" i="2174"/>
  <c r="C44" i="2174"/>
  <c r="G44" i="2174" s="1"/>
  <c r="H44" i="2174" s="1"/>
  <c r="C43" i="2174"/>
  <c r="G43" i="2174" s="1"/>
  <c r="H43" i="2174" s="1"/>
  <c r="C42" i="2174"/>
  <c r="G42" i="2174" s="1"/>
  <c r="H42" i="2174" s="1"/>
  <c r="C41" i="2174"/>
  <c r="G41" i="2174" s="1"/>
  <c r="H41" i="2174" s="1"/>
  <c r="C40" i="2174"/>
  <c r="G40" i="2174" s="1"/>
  <c r="H40" i="2174" s="1"/>
  <c r="C39" i="2174"/>
  <c r="G39" i="2174" s="1"/>
  <c r="H39" i="2174" s="1"/>
  <c r="C38" i="2174"/>
  <c r="G38" i="2174" s="1"/>
  <c r="H38" i="2174" s="1"/>
  <c r="G37" i="2174"/>
  <c r="H37" i="2174" s="1"/>
  <c r="C37" i="2174"/>
  <c r="C36" i="2174"/>
  <c r="G36" i="2174" s="1"/>
  <c r="H36" i="2174" s="1"/>
  <c r="G35" i="2174"/>
  <c r="H35" i="2174" s="1"/>
  <c r="C35" i="2174"/>
  <c r="C34" i="2174"/>
  <c r="G34" i="2174" s="1"/>
  <c r="H34" i="2174" s="1"/>
  <c r="C33" i="2174"/>
  <c r="G33" i="2174" s="1"/>
  <c r="H33" i="2174" s="1"/>
  <c r="C32" i="2174"/>
  <c r="G32" i="2174" s="1"/>
  <c r="H32" i="2174" s="1"/>
  <c r="C31" i="2174"/>
  <c r="G31" i="2174" s="1"/>
  <c r="H31" i="2174" s="1"/>
  <c r="G30" i="2174"/>
  <c r="H30" i="2174" s="1"/>
  <c r="C30" i="2174"/>
  <c r="C29" i="2174"/>
  <c r="G29" i="2174" s="1"/>
  <c r="H29" i="2174" s="1"/>
  <c r="C28" i="2174"/>
  <c r="G28" i="2174" s="1"/>
  <c r="H28" i="2174" s="1"/>
  <c r="C27" i="2174"/>
  <c r="G27" i="2174" s="1"/>
  <c r="H27" i="2174" s="1"/>
  <c r="C26" i="2174"/>
  <c r="G26" i="2174" s="1"/>
  <c r="H26" i="2174" s="1"/>
  <c r="C25" i="2174"/>
  <c r="G25" i="2174" s="1"/>
  <c r="H25" i="2174" s="1"/>
  <c r="C24" i="2174"/>
  <c r="G24" i="2174" s="1"/>
  <c r="H24" i="2174" s="1"/>
  <c r="C23" i="2174"/>
  <c r="G23" i="2174" s="1"/>
  <c r="H23" i="2174" s="1"/>
  <c r="C22" i="2174"/>
  <c r="G22" i="2174" s="1"/>
  <c r="H22" i="2174" s="1"/>
  <c r="G21" i="2174"/>
  <c r="H21" i="2174" s="1"/>
  <c r="C21" i="2174"/>
  <c r="C20" i="2174"/>
  <c r="G20" i="2174" s="1"/>
  <c r="H20" i="2174" s="1"/>
  <c r="G19" i="2174"/>
  <c r="H19" i="2174" s="1"/>
  <c r="C19" i="2174"/>
  <c r="C18" i="2174"/>
  <c r="G18" i="2174" s="1"/>
  <c r="H18" i="2174" s="1"/>
  <c r="G17" i="2174"/>
  <c r="H17" i="2174" s="1"/>
  <c r="C17" i="2174"/>
  <c r="C16" i="2174"/>
  <c r="G16" i="2174" s="1"/>
  <c r="H16" i="2174" s="1"/>
  <c r="H15" i="2174"/>
  <c r="G15" i="2174"/>
  <c r="C15" i="2174"/>
  <c r="G14" i="2174"/>
  <c r="H14" i="2174" s="1"/>
  <c r="C14" i="2174"/>
  <c r="C13" i="2174"/>
  <c r="G13" i="2174" s="1"/>
  <c r="H13" i="2174" s="1"/>
  <c r="C12" i="2174"/>
  <c r="G12" i="2174" s="1"/>
  <c r="H12" i="2174" s="1"/>
  <c r="C11" i="2174"/>
  <c r="G11" i="2174" s="1"/>
  <c r="H11" i="2174" s="1"/>
  <c r="H10" i="2174"/>
  <c r="G10" i="2174"/>
  <c r="C10" i="2174"/>
  <c r="C32" i="1757"/>
  <c r="C20" i="1757"/>
  <c r="C18" i="1757"/>
  <c r="C17" i="1757"/>
  <c r="C15" i="1757"/>
  <c r="C14" i="1757"/>
  <c r="C13" i="1757"/>
  <c r="C12" i="1757"/>
  <c r="C11" i="1757"/>
  <c r="A1" i="2173"/>
  <c r="G69" i="2173"/>
  <c r="H69" i="2173" s="1"/>
  <c r="C69" i="2173"/>
  <c r="C68" i="2173"/>
  <c r="G68" i="2173" s="1"/>
  <c r="H68" i="2173" s="1"/>
  <c r="H67" i="2173"/>
  <c r="G67" i="2173"/>
  <c r="C67" i="2173"/>
  <c r="G66" i="2173"/>
  <c r="H66" i="2173" s="1"/>
  <c r="C66" i="2173"/>
  <c r="C65" i="2173"/>
  <c r="G65" i="2173" s="1"/>
  <c r="H65" i="2173" s="1"/>
  <c r="C64" i="2173"/>
  <c r="G64" i="2173" s="1"/>
  <c r="H64" i="2173" s="1"/>
  <c r="C63" i="2173"/>
  <c r="G63" i="2173" s="1"/>
  <c r="H63" i="2173" s="1"/>
  <c r="H62" i="2173"/>
  <c r="G62" i="2173"/>
  <c r="C62" i="2173"/>
  <c r="C61" i="2173"/>
  <c r="G61" i="2173" s="1"/>
  <c r="H61" i="2173" s="1"/>
  <c r="C60" i="2173"/>
  <c r="G60" i="2173" s="1"/>
  <c r="H60" i="2173" s="1"/>
  <c r="C59" i="2173"/>
  <c r="G59" i="2173" s="1"/>
  <c r="H59" i="2173" s="1"/>
  <c r="C58" i="2173"/>
  <c r="G58" i="2173" s="1"/>
  <c r="H58" i="2173" s="1"/>
  <c r="G57" i="2173"/>
  <c r="H57" i="2173" s="1"/>
  <c r="C57" i="2173"/>
  <c r="C56" i="2173"/>
  <c r="G56" i="2173" s="1"/>
  <c r="H56" i="2173" s="1"/>
  <c r="G55" i="2173"/>
  <c r="H55" i="2173" s="1"/>
  <c r="C55" i="2173"/>
  <c r="C54" i="2173"/>
  <c r="G54" i="2173" s="1"/>
  <c r="H54" i="2173" s="1"/>
  <c r="G53" i="2173"/>
  <c r="H53" i="2173" s="1"/>
  <c r="C53" i="2173"/>
  <c r="C52" i="2173"/>
  <c r="G52" i="2173" s="1"/>
  <c r="H52" i="2173" s="1"/>
  <c r="H51" i="2173"/>
  <c r="G51" i="2173"/>
  <c r="C51" i="2173"/>
  <c r="G50" i="2173"/>
  <c r="H50" i="2173" s="1"/>
  <c r="C50" i="2173"/>
  <c r="C49" i="2173"/>
  <c r="G49" i="2173" s="1"/>
  <c r="H49" i="2173" s="1"/>
  <c r="C48" i="2173"/>
  <c r="G48" i="2173" s="1"/>
  <c r="H48" i="2173" s="1"/>
  <c r="C47" i="2173"/>
  <c r="G47" i="2173" s="1"/>
  <c r="H47" i="2173" s="1"/>
  <c r="H46" i="2173"/>
  <c r="G46" i="2173"/>
  <c r="C46" i="2173"/>
  <c r="C45" i="2173"/>
  <c r="G45" i="2173" s="1"/>
  <c r="H45" i="2173" s="1"/>
  <c r="C44" i="2173"/>
  <c r="G44" i="2173" s="1"/>
  <c r="H44" i="2173" s="1"/>
  <c r="C43" i="2173"/>
  <c r="G43" i="2173" s="1"/>
  <c r="H43" i="2173" s="1"/>
  <c r="G42" i="2173"/>
  <c r="H42" i="2173" s="1"/>
  <c r="C42" i="2173"/>
  <c r="C41" i="2173"/>
  <c r="G41" i="2173" s="1"/>
  <c r="H41" i="2173" s="1"/>
  <c r="C40" i="2173"/>
  <c r="G40" i="2173" s="1"/>
  <c r="H40" i="2173" s="1"/>
  <c r="C39" i="2173"/>
  <c r="G39" i="2173" s="1"/>
  <c r="H39" i="2173" s="1"/>
  <c r="G38" i="2173"/>
  <c r="H38" i="2173" s="1"/>
  <c r="C38" i="2173"/>
  <c r="C37" i="2173"/>
  <c r="G37" i="2173" s="1"/>
  <c r="H37" i="2173" s="1"/>
  <c r="C36" i="2173"/>
  <c r="G36" i="2173" s="1"/>
  <c r="H36" i="2173" s="1"/>
  <c r="H35" i="2173"/>
  <c r="G35" i="2173"/>
  <c r="C35" i="2173"/>
  <c r="G34" i="2173"/>
  <c r="H34" i="2173" s="1"/>
  <c r="C34" i="2173"/>
  <c r="C33" i="2173"/>
  <c r="G33" i="2173" s="1"/>
  <c r="H33" i="2173" s="1"/>
  <c r="C32" i="2173"/>
  <c r="G32" i="2173" s="1"/>
  <c r="H32" i="2173" s="1"/>
  <c r="H31" i="2173"/>
  <c r="G31" i="2173"/>
  <c r="C31" i="2173"/>
  <c r="C30" i="2173"/>
  <c r="G30" i="2173" s="1"/>
  <c r="H30" i="2173" s="1"/>
  <c r="G29" i="2173"/>
  <c r="H29" i="2173" s="1"/>
  <c r="C29" i="2173"/>
  <c r="C28" i="2173"/>
  <c r="G28" i="2173" s="1"/>
  <c r="H28" i="2173" s="1"/>
  <c r="H27" i="2173"/>
  <c r="G27" i="2173"/>
  <c r="C27" i="2173"/>
  <c r="C26" i="2173"/>
  <c r="G26" i="2173" s="1"/>
  <c r="H26" i="2173" s="1"/>
  <c r="C25" i="2173"/>
  <c r="G25" i="2173" s="1"/>
  <c r="H25" i="2173" s="1"/>
  <c r="C24" i="2173"/>
  <c r="G24" i="2173" s="1"/>
  <c r="H24" i="2173" s="1"/>
  <c r="G23" i="2173"/>
  <c r="H23" i="2173" s="1"/>
  <c r="C23" i="2173"/>
  <c r="C22" i="2173"/>
  <c r="G22" i="2173" s="1"/>
  <c r="H22" i="2173" s="1"/>
  <c r="C21" i="2173"/>
  <c r="G21" i="2173" s="1"/>
  <c r="H21" i="2173" s="1"/>
  <c r="C20" i="2173"/>
  <c r="G20" i="2173" s="1"/>
  <c r="H20" i="2173" s="1"/>
  <c r="C19" i="2173"/>
  <c r="G19" i="2173" s="1"/>
  <c r="H19" i="2173" s="1"/>
  <c r="C18" i="2173"/>
  <c r="G18" i="2173" s="1"/>
  <c r="H18" i="2173" s="1"/>
  <c r="C17" i="2173"/>
  <c r="G17" i="2173" s="1"/>
  <c r="H17" i="2173" s="1"/>
  <c r="C16" i="2173"/>
  <c r="G16" i="2173" s="1"/>
  <c r="H16" i="2173" s="1"/>
  <c r="C15" i="2173"/>
  <c r="G15" i="2173" s="1"/>
  <c r="H15" i="2173" s="1"/>
  <c r="C14" i="2173"/>
  <c r="G14" i="2173" s="1"/>
  <c r="H14" i="2173" s="1"/>
  <c r="G13" i="2173"/>
  <c r="H13" i="2173" s="1"/>
  <c r="C13" i="2173"/>
  <c r="C12" i="2173"/>
  <c r="G12" i="2173" s="1"/>
  <c r="H12" i="2173" s="1"/>
  <c r="G11" i="2173"/>
  <c r="H11" i="2173" s="1"/>
  <c r="C11" i="2173"/>
  <c r="C10" i="2173"/>
  <c r="G10" i="2173" s="1"/>
  <c r="H10" i="2173" s="1"/>
  <c r="D1" i="1757"/>
  <c r="C13" i="1727"/>
  <c r="E3" i="1727"/>
  <c r="D2" i="1727"/>
  <c r="C12" i="1727"/>
  <c r="C11" i="1727"/>
  <c r="D1" i="1727"/>
  <c r="C22" i="1726"/>
  <c r="E3" i="1726"/>
  <c r="D2" i="1726"/>
  <c r="C21" i="1726"/>
  <c r="C20" i="1726"/>
  <c r="C12" i="1726"/>
  <c r="C11" i="1726"/>
  <c r="D1" i="1726"/>
  <c r="C41" i="1725"/>
  <c r="E3" i="1725"/>
  <c r="D2" i="1725"/>
  <c r="C40" i="1725"/>
  <c r="C39" i="1725"/>
  <c r="C34" i="1725"/>
  <c r="C33" i="1725"/>
  <c r="C32" i="1725"/>
  <c r="C31" i="1725"/>
  <c r="C26" i="1725"/>
  <c r="C19" i="1725"/>
  <c r="A1" i="2172"/>
  <c r="C69" i="2172"/>
  <c r="G69" i="2172" s="1"/>
  <c r="H69" i="2172" s="1"/>
  <c r="C68" i="2172"/>
  <c r="G68" i="2172" s="1"/>
  <c r="H68" i="2172" s="1"/>
  <c r="C67" i="2172"/>
  <c r="G67" i="2172" s="1"/>
  <c r="H67" i="2172" s="1"/>
  <c r="G66" i="2172"/>
  <c r="H66" i="2172" s="1"/>
  <c r="C66" i="2172"/>
  <c r="C65" i="2172"/>
  <c r="G65" i="2172" s="1"/>
  <c r="H65" i="2172" s="1"/>
  <c r="C64" i="2172"/>
  <c r="G64" i="2172" s="1"/>
  <c r="H64" i="2172" s="1"/>
  <c r="C63" i="2172"/>
  <c r="G63" i="2172" s="1"/>
  <c r="H63" i="2172" s="1"/>
  <c r="C62" i="2172"/>
  <c r="G62" i="2172" s="1"/>
  <c r="H62" i="2172" s="1"/>
  <c r="G61" i="2172"/>
  <c r="H61" i="2172" s="1"/>
  <c r="C61" i="2172"/>
  <c r="C60" i="2172"/>
  <c r="G60" i="2172" s="1"/>
  <c r="H60" i="2172" s="1"/>
  <c r="H59" i="2172"/>
  <c r="C59" i="2172"/>
  <c r="G59" i="2172" s="1"/>
  <c r="C58" i="2172"/>
  <c r="G58" i="2172" s="1"/>
  <c r="H58" i="2172" s="1"/>
  <c r="C57" i="2172"/>
  <c r="G57" i="2172" s="1"/>
  <c r="H57" i="2172" s="1"/>
  <c r="G56" i="2172"/>
  <c r="H56" i="2172" s="1"/>
  <c r="C56" i="2172"/>
  <c r="C55" i="2172"/>
  <c r="G55" i="2172" s="1"/>
  <c r="H55" i="2172" s="1"/>
  <c r="H54" i="2172"/>
  <c r="G54" i="2172"/>
  <c r="C54" i="2172"/>
  <c r="C53" i="2172"/>
  <c r="G53" i="2172" s="1"/>
  <c r="H53" i="2172" s="1"/>
  <c r="C52" i="2172"/>
  <c r="G52" i="2172" s="1"/>
  <c r="H52" i="2172" s="1"/>
  <c r="C51" i="2172"/>
  <c r="G51" i="2172" s="1"/>
  <c r="H51" i="2172" s="1"/>
  <c r="G50" i="2172"/>
  <c r="H50" i="2172" s="1"/>
  <c r="C50" i="2172"/>
  <c r="C49" i="2172"/>
  <c r="G49" i="2172" s="1"/>
  <c r="H49" i="2172" s="1"/>
  <c r="C48" i="2172"/>
  <c r="G48" i="2172" s="1"/>
  <c r="H48" i="2172" s="1"/>
  <c r="C47" i="2172"/>
  <c r="G47" i="2172" s="1"/>
  <c r="H47" i="2172" s="1"/>
  <c r="C46" i="2172"/>
  <c r="G46" i="2172" s="1"/>
  <c r="H46" i="2172" s="1"/>
  <c r="G45" i="2172"/>
  <c r="H45" i="2172" s="1"/>
  <c r="C45" i="2172"/>
  <c r="C44" i="2172"/>
  <c r="G44" i="2172" s="1"/>
  <c r="H44" i="2172" s="1"/>
  <c r="C43" i="2172"/>
  <c r="G43" i="2172" s="1"/>
  <c r="H43" i="2172" s="1"/>
  <c r="C42" i="2172"/>
  <c r="G42" i="2172" s="1"/>
  <c r="H42" i="2172" s="1"/>
  <c r="C41" i="2172"/>
  <c r="G41" i="2172" s="1"/>
  <c r="H41" i="2172" s="1"/>
  <c r="G40" i="2172"/>
  <c r="H40" i="2172" s="1"/>
  <c r="C40" i="2172"/>
  <c r="C39" i="2172"/>
  <c r="G39" i="2172" s="1"/>
  <c r="H39" i="2172" s="1"/>
  <c r="C38" i="2172"/>
  <c r="G38" i="2172" s="1"/>
  <c r="H38" i="2172" s="1"/>
  <c r="C37" i="2172"/>
  <c r="G37" i="2172" s="1"/>
  <c r="H37" i="2172" s="1"/>
  <c r="G36" i="2172"/>
  <c r="H36" i="2172" s="1"/>
  <c r="C36" i="2172"/>
  <c r="C35" i="2172"/>
  <c r="G35" i="2172" s="1"/>
  <c r="H35" i="2172" s="1"/>
  <c r="C34" i="2172"/>
  <c r="G34" i="2172" s="1"/>
  <c r="H34" i="2172" s="1"/>
  <c r="H33" i="2172"/>
  <c r="G33" i="2172"/>
  <c r="C33" i="2172"/>
  <c r="C32" i="2172"/>
  <c r="G32" i="2172" s="1"/>
  <c r="H32" i="2172" s="1"/>
  <c r="C31" i="2172"/>
  <c r="G31" i="2172" s="1"/>
  <c r="H31" i="2172" s="1"/>
  <c r="C30" i="2172"/>
  <c r="G30" i="2172" s="1"/>
  <c r="H30" i="2172" s="1"/>
  <c r="G29" i="2172"/>
  <c r="H29" i="2172" s="1"/>
  <c r="C29" i="2172"/>
  <c r="C28" i="2172"/>
  <c r="G28" i="2172" s="1"/>
  <c r="H28" i="2172" s="1"/>
  <c r="C27" i="2172"/>
  <c r="G27" i="2172" s="1"/>
  <c r="H27" i="2172" s="1"/>
  <c r="C26" i="2172"/>
  <c r="G26" i="2172" s="1"/>
  <c r="H26" i="2172" s="1"/>
  <c r="G25" i="2172"/>
  <c r="H25" i="2172" s="1"/>
  <c r="C25" i="2172"/>
  <c r="C24" i="2172"/>
  <c r="G24" i="2172" s="1"/>
  <c r="H24" i="2172" s="1"/>
  <c r="G23" i="2172"/>
  <c r="H23" i="2172" s="1"/>
  <c r="C23" i="2172"/>
  <c r="C22" i="2172"/>
  <c r="G22" i="2172" s="1"/>
  <c r="H22" i="2172" s="1"/>
  <c r="G21" i="2172"/>
  <c r="H21" i="2172" s="1"/>
  <c r="C21" i="2172"/>
  <c r="C20" i="2172"/>
  <c r="G20" i="2172" s="1"/>
  <c r="H20" i="2172" s="1"/>
  <c r="C19" i="2172"/>
  <c r="G19" i="2172" s="1"/>
  <c r="H19" i="2172" s="1"/>
  <c r="C18" i="2172"/>
  <c r="G18" i="2172" s="1"/>
  <c r="H18" i="2172" s="1"/>
  <c r="G17" i="2172"/>
  <c r="H17" i="2172" s="1"/>
  <c r="C17" i="2172"/>
  <c r="C16" i="2172"/>
  <c r="G16" i="2172" s="1"/>
  <c r="H16" i="2172" s="1"/>
  <c r="G15" i="2172"/>
  <c r="H15" i="2172" s="1"/>
  <c r="C15" i="2172"/>
  <c r="C14" i="2172"/>
  <c r="G14" i="2172" s="1"/>
  <c r="H14" i="2172" s="1"/>
  <c r="G13" i="2172"/>
  <c r="H13" i="2172" s="1"/>
  <c r="C13" i="2172"/>
  <c r="C12" i="2172"/>
  <c r="G12" i="2172" s="1"/>
  <c r="H12" i="2172" s="1"/>
  <c r="C11" i="2172"/>
  <c r="G11" i="2172" s="1"/>
  <c r="H11" i="2172" s="1"/>
  <c r="C10" i="2172"/>
  <c r="G10" i="2172" s="1"/>
  <c r="H10" i="2172" s="1"/>
  <c r="C14" i="1725"/>
  <c r="C13" i="1725"/>
  <c r="C12" i="1725"/>
  <c r="C11" i="1725"/>
  <c r="A1" i="2171"/>
  <c r="G69" i="2171"/>
  <c r="H69" i="2171" s="1"/>
  <c r="C69" i="2171"/>
  <c r="C68" i="2171"/>
  <c r="G68" i="2171" s="1"/>
  <c r="H68" i="2171" s="1"/>
  <c r="G67" i="2171"/>
  <c r="H67" i="2171" s="1"/>
  <c r="C67" i="2171"/>
  <c r="C66" i="2171"/>
  <c r="G66" i="2171" s="1"/>
  <c r="H66" i="2171" s="1"/>
  <c r="C65" i="2171"/>
  <c r="G65" i="2171" s="1"/>
  <c r="H65" i="2171" s="1"/>
  <c r="C64" i="2171"/>
  <c r="G64" i="2171" s="1"/>
  <c r="H64" i="2171" s="1"/>
  <c r="G63" i="2171"/>
  <c r="H63" i="2171" s="1"/>
  <c r="C63" i="2171"/>
  <c r="C62" i="2171"/>
  <c r="G62" i="2171" s="1"/>
  <c r="H62" i="2171" s="1"/>
  <c r="G61" i="2171"/>
  <c r="H61" i="2171" s="1"/>
  <c r="C61" i="2171"/>
  <c r="C60" i="2171"/>
  <c r="G60" i="2171" s="1"/>
  <c r="H60" i="2171" s="1"/>
  <c r="G59" i="2171"/>
  <c r="H59" i="2171" s="1"/>
  <c r="C59" i="2171"/>
  <c r="C58" i="2171"/>
  <c r="G58" i="2171" s="1"/>
  <c r="H58" i="2171" s="1"/>
  <c r="C57" i="2171"/>
  <c r="G57" i="2171" s="1"/>
  <c r="H57" i="2171" s="1"/>
  <c r="C56" i="2171"/>
  <c r="G56" i="2171" s="1"/>
  <c r="H56" i="2171" s="1"/>
  <c r="G55" i="2171"/>
  <c r="H55" i="2171" s="1"/>
  <c r="C55" i="2171"/>
  <c r="C54" i="2171"/>
  <c r="G54" i="2171" s="1"/>
  <c r="H54" i="2171" s="1"/>
  <c r="G53" i="2171"/>
  <c r="H53" i="2171" s="1"/>
  <c r="C53" i="2171"/>
  <c r="C52" i="2171"/>
  <c r="G52" i="2171" s="1"/>
  <c r="H52" i="2171" s="1"/>
  <c r="G51" i="2171"/>
  <c r="H51" i="2171" s="1"/>
  <c r="C51" i="2171"/>
  <c r="C50" i="2171"/>
  <c r="G50" i="2171" s="1"/>
  <c r="H50" i="2171" s="1"/>
  <c r="C49" i="2171"/>
  <c r="G49" i="2171" s="1"/>
  <c r="H49" i="2171" s="1"/>
  <c r="C48" i="2171"/>
  <c r="G48" i="2171" s="1"/>
  <c r="H48" i="2171" s="1"/>
  <c r="G47" i="2171"/>
  <c r="H47" i="2171" s="1"/>
  <c r="C47" i="2171"/>
  <c r="C46" i="2171"/>
  <c r="G46" i="2171" s="1"/>
  <c r="H46" i="2171" s="1"/>
  <c r="G45" i="2171"/>
  <c r="H45" i="2171" s="1"/>
  <c r="C45" i="2171"/>
  <c r="C44" i="2171"/>
  <c r="G44" i="2171" s="1"/>
  <c r="H44" i="2171" s="1"/>
  <c r="G43" i="2171"/>
  <c r="H43" i="2171" s="1"/>
  <c r="C43" i="2171"/>
  <c r="C42" i="2171"/>
  <c r="G42" i="2171" s="1"/>
  <c r="H42" i="2171" s="1"/>
  <c r="C41" i="2171"/>
  <c r="G41" i="2171" s="1"/>
  <c r="H41" i="2171" s="1"/>
  <c r="C40" i="2171"/>
  <c r="G40" i="2171" s="1"/>
  <c r="H40" i="2171" s="1"/>
  <c r="G39" i="2171"/>
  <c r="H39" i="2171" s="1"/>
  <c r="C39" i="2171"/>
  <c r="C38" i="2171"/>
  <c r="G38" i="2171" s="1"/>
  <c r="H38" i="2171" s="1"/>
  <c r="G37" i="2171"/>
  <c r="H37" i="2171" s="1"/>
  <c r="C37" i="2171"/>
  <c r="C36" i="2171"/>
  <c r="G36" i="2171" s="1"/>
  <c r="H36" i="2171" s="1"/>
  <c r="G35" i="2171"/>
  <c r="H35" i="2171" s="1"/>
  <c r="C35" i="2171"/>
  <c r="C34" i="2171"/>
  <c r="G34" i="2171" s="1"/>
  <c r="H34" i="2171" s="1"/>
  <c r="C33" i="2171"/>
  <c r="G33" i="2171" s="1"/>
  <c r="H33" i="2171" s="1"/>
  <c r="C32" i="2171"/>
  <c r="G32" i="2171" s="1"/>
  <c r="H32" i="2171" s="1"/>
  <c r="C31" i="2171"/>
  <c r="G31" i="2171" s="1"/>
  <c r="H31" i="2171" s="1"/>
  <c r="G30" i="2171"/>
  <c r="H30" i="2171" s="1"/>
  <c r="C30" i="2171"/>
  <c r="C29" i="2171"/>
  <c r="G29" i="2171" s="1"/>
  <c r="H29" i="2171" s="1"/>
  <c r="H28" i="2171"/>
  <c r="C28" i="2171"/>
  <c r="G28" i="2171" s="1"/>
  <c r="C27" i="2171"/>
  <c r="G27" i="2171" s="1"/>
  <c r="H27" i="2171" s="1"/>
  <c r="C26" i="2171"/>
  <c r="G26" i="2171" s="1"/>
  <c r="H26" i="2171" s="1"/>
  <c r="G25" i="2171"/>
  <c r="H25" i="2171" s="1"/>
  <c r="C25" i="2171"/>
  <c r="C24" i="2171"/>
  <c r="G24" i="2171" s="1"/>
  <c r="H24" i="2171" s="1"/>
  <c r="H23" i="2171"/>
  <c r="G23" i="2171"/>
  <c r="C23" i="2171"/>
  <c r="C22" i="2171"/>
  <c r="G22" i="2171" s="1"/>
  <c r="H22" i="2171" s="1"/>
  <c r="C21" i="2171"/>
  <c r="G21" i="2171" s="1"/>
  <c r="H21" i="2171" s="1"/>
  <c r="C20" i="2171"/>
  <c r="G20" i="2171" s="1"/>
  <c r="H20" i="2171" s="1"/>
  <c r="G19" i="2171"/>
  <c r="H19" i="2171" s="1"/>
  <c r="C19" i="2171"/>
  <c r="C18" i="2171"/>
  <c r="G18" i="2171" s="1"/>
  <c r="H18" i="2171" s="1"/>
  <c r="C17" i="2171"/>
  <c r="G17" i="2171" s="1"/>
  <c r="H17" i="2171" s="1"/>
  <c r="C16" i="2171"/>
  <c r="G16" i="2171" s="1"/>
  <c r="H16" i="2171" s="1"/>
  <c r="C15" i="2171"/>
  <c r="G15" i="2171" s="1"/>
  <c r="H15" i="2171" s="1"/>
  <c r="G14" i="2171"/>
  <c r="H14" i="2171" s="1"/>
  <c r="C14" i="2171"/>
  <c r="C13" i="2171"/>
  <c r="G13" i="2171" s="1"/>
  <c r="H13" i="2171" s="1"/>
  <c r="C12" i="2171"/>
  <c r="G12" i="2171" s="1"/>
  <c r="H12" i="2171" s="1"/>
  <c r="C11" i="2171"/>
  <c r="G11" i="2171" s="1"/>
  <c r="H11" i="2171" s="1"/>
  <c r="C10" i="2171"/>
  <c r="G10" i="2171" s="1"/>
  <c r="H10" i="2171" s="1"/>
  <c r="D1" i="1725"/>
  <c r="C32" i="900"/>
  <c r="E3" i="900"/>
  <c r="D2" i="900"/>
  <c r="C31" i="900"/>
  <c r="C30" i="900"/>
  <c r="C29" i="900"/>
  <c r="C28" i="900"/>
  <c r="C27" i="900"/>
  <c r="C26" i="900"/>
  <c r="C17" i="900"/>
  <c r="C16" i="900"/>
  <c r="C15" i="900"/>
  <c r="C14" i="900"/>
  <c r="C13" i="900"/>
  <c r="A12" i="900"/>
  <c r="A13" i="900" s="1"/>
  <c r="A14" i="900" s="1"/>
  <c r="A15" i="900" s="1"/>
  <c r="A16" i="900" s="1"/>
  <c r="A17" i="900" s="1"/>
  <c r="A26" i="900" s="1"/>
  <c r="A27" i="900" s="1"/>
  <c r="A28" i="900" s="1"/>
  <c r="A29" i="900" s="1"/>
  <c r="A30" i="900" s="1"/>
  <c r="A31" i="900" s="1"/>
  <c r="A32" i="900" s="1"/>
  <c r="A10" i="1725" s="1"/>
  <c r="D1" i="900"/>
  <c r="H71" i="2171" l="1"/>
  <c r="B72" i="2171" s="1"/>
  <c r="H71" i="2174"/>
  <c r="B72" i="2174" s="1"/>
  <c r="A11" i="1725"/>
  <c r="A10" i="2171"/>
  <c r="H71" i="2172"/>
  <c r="H71" i="2173"/>
  <c r="F11" i="900"/>
  <c r="DQ3" i="734"/>
  <c r="H72" i="2171" l="1"/>
  <c r="H72" i="2174"/>
  <c r="B72" i="2173"/>
  <c r="H72" i="2173"/>
  <c r="B72" i="2172"/>
  <c r="H72" i="2172"/>
  <c r="A11" i="2171"/>
  <c r="A12" i="1725"/>
  <c r="A13" i="1725" l="1"/>
  <c r="A12" i="2171"/>
  <c r="A14" i="1725" l="1"/>
  <c r="A13" i="2171"/>
  <c r="F13" i="1727"/>
  <c r="B10" i="47"/>
  <c r="A10" i="734" s="1"/>
  <c r="B11" i="47"/>
  <c r="A11" i="734" s="1"/>
  <c r="B12" i="47"/>
  <c r="A12" i="734" s="1"/>
  <c r="B13" i="47"/>
  <c r="A13" i="734" s="1"/>
  <c r="B14" i="47"/>
  <c r="A14" i="734" s="1"/>
  <c r="B15" i="47"/>
  <c r="A15" i="734" s="1"/>
  <c r="B16" i="47"/>
  <c r="A16" i="734" s="1"/>
  <c r="B17" i="47"/>
  <c r="A17" i="734" s="1"/>
  <c r="B18" i="47"/>
  <c r="A18" i="734" s="1"/>
  <c r="B19" i="47"/>
  <c r="A19" i="734" s="1"/>
  <c r="B20" i="47"/>
  <c r="A20" i="734" s="1"/>
  <c r="B21" i="47"/>
  <c r="A21" i="734" s="1"/>
  <c r="B22" i="47"/>
  <c r="A22" i="734" s="1"/>
  <c r="B23" i="47"/>
  <c r="A23" i="734" s="1"/>
  <c r="B24" i="47"/>
  <c r="A24" i="734" s="1"/>
  <c r="B25" i="47"/>
  <c r="A25" i="734" s="1"/>
  <c r="B26" i="47"/>
  <c r="A26" i="734" s="1"/>
  <c r="B27" i="47"/>
  <c r="A27" i="734" s="1"/>
  <c r="B28" i="47"/>
  <c r="A28" i="734" s="1"/>
  <c r="B29" i="47"/>
  <c r="A29" i="734" s="1"/>
  <c r="B30" i="47"/>
  <c r="A30" i="734" s="1"/>
  <c r="B31" i="47"/>
  <c r="A31" i="734" s="1"/>
  <c r="B32" i="47"/>
  <c r="A32" i="734" s="1"/>
  <c r="B33" i="47"/>
  <c r="A33" i="734" s="1"/>
  <c r="B34" i="47"/>
  <c r="A34" i="734" s="1"/>
  <c r="B35" i="47"/>
  <c r="A35" i="734" s="1"/>
  <c r="B36" i="47"/>
  <c r="A36" i="734" s="1"/>
  <c r="B37" i="47"/>
  <c r="A37" i="734" s="1"/>
  <c r="B38" i="47"/>
  <c r="A38" i="734" s="1"/>
  <c r="B39" i="47"/>
  <c r="A39" i="734" s="1"/>
  <c r="B40" i="47"/>
  <c r="A40" i="734" s="1"/>
  <c r="B41" i="47"/>
  <c r="A41" i="734" s="1"/>
  <c r="B42" i="47"/>
  <c r="A42" i="734" s="1"/>
  <c r="B43" i="47"/>
  <c r="A43" i="734" s="1"/>
  <c r="B44" i="47"/>
  <c r="A44" i="734" s="1"/>
  <c r="B45" i="47"/>
  <c r="A45" i="734" s="1"/>
  <c r="B46" i="47"/>
  <c r="A46" i="734" s="1"/>
  <c r="B47" i="47"/>
  <c r="A47" i="734" s="1"/>
  <c r="B48" i="47"/>
  <c r="A48" i="734" s="1"/>
  <c r="B49" i="47"/>
  <c r="A49" i="734" s="1"/>
  <c r="B50" i="47"/>
  <c r="A50" i="734" s="1"/>
  <c r="B51" i="47"/>
  <c r="A51" i="734" s="1"/>
  <c r="B52" i="47"/>
  <c r="A52" i="734" s="1"/>
  <c r="B53" i="47"/>
  <c r="A53" i="734" s="1"/>
  <c r="B54" i="47"/>
  <c r="A54" i="734" s="1"/>
  <c r="B55" i="47"/>
  <c r="A55" i="734" s="1"/>
  <c r="B56" i="47"/>
  <c r="A56" i="734" s="1"/>
  <c r="B57" i="47"/>
  <c r="A57" i="734" s="1"/>
  <c r="B58" i="47"/>
  <c r="A58" i="734" s="1"/>
  <c r="B59" i="47"/>
  <c r="A59" i="734" s="1"/>
  <c r="B60" i="47"/>
  <c r="A60" i="734" s="1"/>
  <c r="B61" i="47"/>
  <c r="A61" i="734" s="1"/>
  <c r="B62" i="47"/>
  <c r="A62" i="734" s="1"/>
  <c r="B63" i="47"/>
  <c r="A63" i="734" s="1"/>
  <c r="B64" i="47"/>
  <c r="A64" i="734" s="1"/>
  <c r="B65" i="47"/>
  <c r="A65" i="734" s="1"/>
  <c r="B66" i="47"/>
  <c r="A66" i="734" s="1"/>
  <c r="B67" i="47"/>
  <c r="A67" i="734" s="1"/>
  <c r="B68" i="47"/>
  <c r="A68" i="734" s="1"/>
  <c r="B69" i="47"/>
  <c r="A69" i="734" s="1"/>
  <c r="BR6" i="734"/>
  <c r="C6" i="1909"/>
  <c r="C5" i="1909"/>
  <c r="C4" i="1909"/>
  <c r="C3" i="1909"/>
  <c r="F25" i="1725"/>
  <c r="G66" i="734" l="1"/>
  <c r="G62" i="734"/>
  <c r="G58" i="734"/>
  <c r="G54" i="734"/>
  <c r="G65" i="734"/>
  <c r="G61" i="734"/>
  <c r="G57" i="734"/>
  <c r="G53" i="734"/>
  <c r="G68" i="734"/>
  <c r="G64" i="734"/>
  <c r="G60" i="734"/>
  <c r="G56" i="734"/>
  <c r="G52" i="734"/>
  <c r="G69" i="734"/>
  <c r="G67" i="734"/>
  <c r="G63" i="734"/>
  <c r="G59" i="734"/>
  <c r="G55" i="734"/>
  <c r="A66" i="2138"/>
  <c r="B66" i="2138" s="1"/>
  <c r="A58" i="2138"/>
  <c r="B58" i="2138" s="1"/>
  <c r="A22" i="2138"/>
  <c r="A49" i="2138"/>
  <c r="A41" i="2138"/>
  <c r="A33" i="2138"/>
  <c r="A17" i="2138"/>
  <c r="A64" i="2138"/>
  <c r="B64" i="2138" s="1"/>
  <c r="A52" i="2138"/>
  <c r="A48" i="2138"/>
  <c r="A44" i="2138"/>
  <c r="A40" i="2138"/>
  <c r="A36" i="2138"/>
  <c r="A32" i="2138"/>
  <c r="A24" i="2138"/>
  <c r="A20" i="2138"/>
  <c r="A16" i="2138"/>
  <c r="A12" i="2138"/>
  <c r="A54" i="2138"/>
  <c r="A46" i="2138"/>
  <c r="A34" i="2138"/>
  <c r="A14" i="2138"/>
  <c r="A10" i="2138"/>
  <c r="A65" i="2138"/>
  <c r="B65" i="2138" s="1"/>
  <c r="A61" i="2138"/>
  <c r="B61" i="2138" s="1"/>
  <c r="A53" i="2138"/>
  <c r="A45" i="2138"/>
  <c r="A37" i="2138"/>
  <c r="A29" i="2138"/>
  <c r="A21" i="2138"/>
  <c r="A13" i="2138"/>
  <c r="A59" i="2138"/>
  <c r="B59" i="2138" s="1"/>
  <c r="A51" i="2138"/>
  <c r="A50" i="2138"/>
  <c r="A42" i="2138"/>
  <c r="A38" i="2138"/>
  <c r="A30" i="2138"/>
  <c r="A26" i="2138"/>
  <c r="A18" i="2138"/>
  <c r="A57" i="2138"/>
  <c r="B57" i="2138" s="1"/>
  <c r="A25" i="2138"/>
  <c r="A60" i="2138"/>
  <c r="B60" i="2138" s="1"/>
  <c r="A56" i="2138"/>
  <c r="A28" i="2138"/>
  <c r="A62" i="2138"/>
  <c r="B62" i="2138" s="1"/>
  <c r="A63" i="2138"/>
  <c r="B63" i="2138" s="1"/>
  <c r="A55" i="2138"/>
  <c r="A47" i="2138"/>
  <c r="A43" i="2138"/>
  <c r="A39" i="2138"/>
  <c r="A35" i="2138"/>
  <c r="A31" i="2138"/>
  <c r="A27" i="2138"/>
  <c r="A23" i="2138"/>
  <c r="A19" i="2138"/>
  <c r="A15" i="2138"/>
  <c r="A11" i="2138"/>
  <c r="A19" i="1725"/>
  <c r="A14" i="2171"/>
  <c r="Q48" i="910"/>
  <c r="S48" i="910" s="1"/>
  <c r="U48" i="910" s="1"/>
  <c r="W48" i="910" s="1"/>
  <c r="O50" i="910" s="1"/>
  <c r="Q50" i="910" s="1"/>
  <c r="S50" i="910" s="1"/>
  <c r="U50" i="910" s="1"/>
  <c r="W50" i="910" s="1"/>
  <c r="O52" i="910" s="1"/>
  <c r="Q52" i="910" s="1"/>
  <c r="S52" i="910" s="1"/>
  <c r="U52" i="910" s="1"/>
  <c r="W52" i="910" s="1"/>
  <c r="U36" i="910"/>
  <c r="U34" i="910"/>
  <c r="U28" i="910"/>
  <c r="U22" i="910"/>
  <c r="U20" i="910"/>
  <c r="U18" i="910"/>
  <c r="U12" i="910"/>
  <c r="O2" i="910"/>
  <c r="O28" i="910"/>
  <c r="O36" i="910"/>
  <c r="O34" i="910"/>
  <c r="O12" i="910"/>
  <c r="O18" i="910"/>
  <c r="O30" i="910"/>
  <c r="O24" i="910"/>
  <c r="O8" i="910"/>
  <c r="O6" i="910"/>
  <c r="O14" i="910"/>
  <c r="O20" i="910"/>
  <c r="O22" i="910"/>
  <c r="A26" i="1725" l="1"/>
  <c r="A14" i="2172"/>
  <c r="F10" i="1725"/>
  <c r="F10" i="1757"/>
  <c r="A21" i="2172" l="1"/>
  <c r="A31" i="1725"/>
  <c r="A32" i="1725" s="1"/>
  <c r="A33" i="1725" s="1"/>
  <c r="A34" i="1725" s="1"/>
  <c r="A39" i="1725" s="1"/>
  <c r="A40" i="1725" s="1"/>
  <c r="A41" i="1725" s="1"/>
  <c r="A10" i="1726" s="1"/>
  <c r="A11" i="1726" s="1"/>
  <c r="A12" i="1726" s="1"/>
  <c r="A20" i="1726" s="1"/>
  <c r="A21" i="1726" s="1"/>
  <c r="A22" i="1726" s="1"/>
  <c r="A10" i="1727" s="1"/>
  <c r="A11" i="1727" s="1"/>
  <c r="A12" i="1727" s="1"/>
  <c r="A13" i="1727" s="1"/>
  <c r="A10" i="1757" s="1"/>
  <c r="F41" i="1725"/>
  <c r="A10" i="2173" l="1"/>
  <c r="A11" i="1757"/>
  <c r="A12" i="1757" s="1"/>
  <c r="A13" i="1757" s="1"/>
  <c r="A14" i="1757" s="1"/>
  <c r="C2" i="1909"/>
  <c r="EZ3" i="734"/>
  <c r="DF3" i="734"/>
  <c r="DI3" i="734" l="1"/>
  <c r="A15" i="1757"/>
  <c r="A17" i="1757" s="1"/>
  <c r="A11" i="2173"/>
  <c r="Z3" i="734"/>
  <c r="AX3" i="734"/>
  <c r="CB3" i="734"/>
  <c r="AP3" i="734"/>
  <c r="AE6" i="734"/>
  <c r="BF3" i="734"/>
  <c r="BN3" i="734"/>
  <c r="BK6" i="734"/>
  <c r="AM6" i="734"/>
  <c r="AU6" i="734"/>
  <c r="BC6" i="734"/>
  <c r="AH3" i="734"/>
  <c r="BK69" i="734" l="1"/>
  <c r="BK66" i="734"/>
  <c r="BK67" i="734"/>
  <c r="BK68" i="734"/>
  <c r="BK65" i="734"/>
  <c r="BK62" i="734"/>
  <c r="BK61" i="734"/>
  <c r="BK60" i="734"/>
  <c r="BK64" i="734"/>
  <c r="BK58" i="734"/>
  <c r="BK63" i="734"/>
  <c r="BK59" i="734"/>
  <c r="BK57" i="734"/>
  <c r="BK54" i="734"/>
  <c r="BK50" i="734"/>
  <c r="BK55" i="734"/>
  <c r="BK53" i="734"/>
  <c r="BK48" i="734"/>
  <c r="BK44" i="734"/>
  <c r="BK51" i="734"/>
  <c r="BK47" i="734"/>
  <c r="BK43" i="734"/>
  <c r="BK52" i="734"/>
  <c r="BK46" i="734"/>
  <c r="BK42" i="734"/>
  <c r="BK40" i="734"/>
  <c r="BK36" i="734"/>
  <c r="BK38" i="734"/>
  <c r="BK41" i="734"/>
  <c r="BK37" i="734"/>
  <c r="BK35" i="734"/>
  <c r="BK32" i="734"/>
  <c r="BK56" i="734"/>
  <c r="BK31" i="734"/>
  <c r="BK29" i="734"/>
  <c r="BK28" i="734"/>
  <c r="BK24" i="734"/>
  <c r="BK39" i="734"/>
  <c r="BK34" i="734"/>
  <c r="BK27" i="734"/>
  <c r="BK23" i="734"/>
  <c r="BK19" i="734"/>
  <c r="BK15" i="734"/>
  <c r="BK22" i="734"/>
  <c r="BK18" i="734"/>
  <c r="BK14" i="734"/>
  <c r="BK13" i="734"/>
  <c r="BK33" i="734"/>
  <c r="BK30" i="734"/>
  <c r="BK26" i="734"/>
  <c r="BK25" i="734"/>
  <c r="BK20" i="734"/>
  <c r="BK16" i="734"/>
  <c r="BK12" i="734"/>
  <c r="BK45" i="734"/>
  <c r="BK21" i="734"/>
  <c r="BK17" i="734"/>
  <c r="BK11" i="734"/>
  <c r="BK49" i="734"/>
  <c r="AU69" i="734"/>
  <c r="AU68" i="734"/>
  <c r="AU67" i="734"/>
  <c r="AU66" i="734"/>
  <c r="AU65" i="734"/>
  <c r="AU64" i="734"/>
  <c r="AU63" i="734"/>
  <c r="AU62" i="734"/>
  <c r="AU57" i="734"/>
  <c r="AU60" i="734"/>
  <c r="AU56" i="734"/>
  <c r="AU59" i="734"/>
  <c r="AU61" i="734"/>
  <c r="AU55" i="734"/>
  <c r="AU58" i="734"/>
  <c r="AU52" i="734"/>
  <c r="AU53" i="734"/>
  <c r="AU50" i="734"/>
  <c r="AU46" i="734"/>
  <c r="AU42" i="734"/>
  <c r="AU49" i="734"/>
  <c r="AU45" i="734"/>
  <c r="AU54" i="734"/>
  <c r="AU48" i="734"/>
  <c r="AU44" i="734"/>
  <c r="AU38" i="734"/>
  <c r="AU47" i="734"/>
  <c r="AU43" i="734"/>
  <c r="AU40" i="734"/>
  <c r="AU36" i="734"/>
  <c r="AU34" i="734"/>
  <c r="AU39" i="734"/>
  <c r="AU33" i="734"/>
  <c r="AU31" i="734"/>
  <c r="AU26" i="734"/>
  <c r="AU51" i="734"/>
  <c r="AU32" i="734"/>
  <c r="AU29" i="734"/>
  <c r="AU25" i="734"/>
  <c r="AU21" i="734"/>
  <c r="AU17" i="734"/>
  <c r="AU20" i="734"/>
  <c r="AU16" i="734"/>
  <c r="AU11" i="734"/>
  <c r="AU41" i="734"/>
  <c r="AU37" i="734"/>
  <c r="AU35" i="734"/>
  <c r="AU28" i="734"/>
  <c r="AU24" i="734"/>
  <c r="AU12" i="734"/>
  <c r="AU30" i="734"/>
  <c r="AU27" i="734"/>
  <c r="AU23" i="734"/>
  <c r="AU19" i="734"/>
  <c r="AU15" i="734"/>
  <c r="AU13" i="734"/>
  <c r="AU22" i="734"/>
  <c r="AU18" i="734"/>
  <c r="AU14" i="734"/>
  <c r="BC68" i="734"/>
  <c r="BC69" i="734"/>
  <c r="BC65" i="734"/>
  <c r="BC67" i="734"/>
  <c r="BC66" i="734"/>
  <c r="BC64" i="734"/>
  <c r="BC61" i="734"/>
  <c r="BC60" i="734"/>
  <c r="BC63" i="734"/>
  <c r="BC62" i="734"/>
  <c r="BC58" i="734"/>
  <c r="BC57" i="734"/>
  <c r="BC54" i="734"/>
  <c r="BC59" i="734"/>
  <c r="BC53" i="734"/>
  <c r="BC56" i="734"/>
  <c r="BC52" i="734"/>
  <c r="BC47" i="734"/>
  <c r="BC43" i="734"/>
  <c r="BC55" i="734"/>
  <c r="BC46" i="734"/>
  <c r="BC42" i="734"/>
  <c r="BC51" i="734"/>
  <c r="BC49" i="734"/>
  <c r="BC45" i="734"/>
  <c r="BC50" i="734"/>
  <c r="BC39" i="734"/>
  <c r="BC41" i="734"/>
  <c r="BC37" i="734"/>
  <c r="BC48" i="734"/>
  <c r="BC40" i="734"/>
  <c r="BC36" i="734"/>
  <c r="BC35" i="734"/>
  <c r="BC34" i="734"/>
  <c r="BC30" i="734"/>
  <c r="BC27" i="734"/>
  <c r="BC23" i="734"/>
  <c r="BC33" i="734"/>
  <c r="BC26" i="734"/>
  <c r="BC22" i="734"/>
  <c r="BC18" i="734"/>
  <c r="BC14" i="734"/>
  <c r="BC19" i="734"/>
  <c r="BC15" i="734"/>
  <c r="BC12" i="734"/>
  <c r="BC29" i="734"/>
  <c r="BC25" i="734"/>
  <c r="BC44" i="734"/>
  <c r="BC20" i="734"/>
  <c r="BC16" i="734"/>
  <c r="BC13" i="734"/>
  <c r="BC28" i="734"/>
  <c r="BC24" i="734"/>
  <c r="BC21" i="734"/>
  <c r="BC38" i="734"/>
  <c r="BC32" i="734"/>
  <c r="BC31" i="734"/>
  <c r="BC11" i="734"/>
  <c r="BC17" i="734"/>
  <c r="AE69" i="734"/>
  <c r="AE66" i="734"/>
  <c r="AE68" i="734"/>
  <c r="AE65" i="734"/>
  <c r="AE67" i="734"/>
  <c r="AE62" i="734"/>
  <c r="AE64" i="734"/>
  <c r="AE61" i="734"/>
  <c r="AE60" i="734"/>
  <c r="AE59" i="734"/>
  <c r="AE63" i="734"/>
  <c r="AE58" i="734"/>
  <c r="AE57" i="734"/>
  <c r="AE56" i="734"/>
  <c r="AE54" i="734"/>
  <c r="AE50" i="734"/>
  <c r="AE53" i="734"/>
  <c r="AE52" i="734"/>
  <c r="AE48" i="734"/>
  <c r="AE44" i="734"/>
  <c r="AE55" i="734"/>
  <c r="AE47" i="734"/>
  <c r="AE43" i="734"/>
  <c r="AE51" i="734"/>
  <c r="AE46" i="734"/>
  <c r="AE49" i="734"/>
  <c r="AE40" i="734"/>
  <c r="AE36" i="734"/>
  <c r="AE42" i="734"/>
  <c r="AE38" i="734"/>
  <c r="AE45" i="734"/>
  <c r="AE39" i="734"/>
  <c r="AE32" i="734"/>
  <c r="AE35" i="734"/>
  <c r="AE31" i="734"/>
  <c r="AE33" i="734"/>
  <c r="AE30" i="734"/>
  <c r="AE28" i="734"/>
  <c r="AE24" i="734"/>
  <c r="AE41" i="734"/>
  <c r="AE37" i="734"/>
  <c r="AE27" i="734"/>
  <c r="AE23" i="734"/>
  <c r="AE19" i="734"/>
  <c r="AE15" i="734"/>
  <c r="AE29" i="734"/>
  <c r="AE25" i="734"/>
  <c r="AE13" i="734"/>
  <c r="AE20" i="734"/>
  <c r="AE16" i="734"/>
  <c r="AE26" i="734"/>
  <c r="AE22" i="734"/>
  <c r="AE18" i="734"/>
  <c r="AE14" i="734"/>
  <c r="AE12" i="734"/>
  <c r="AE21" i="734"/>
  <c r="AE17" i="734"/>
  <c r="AE34" i="734"/>
  <c r="AE11" i="734"/>
  <c r="AM69" i="734"/>
  <c r="AM68" i="734"/>
  <c r="AM67" i="734"/>
  <c r="AM63" i="734"/>
  <c r="AM66" i="734"/>
  <c r="AM65" i="734"/>
  <c r="AM62" i="734"/>
  <c r="AM64" i="734"/>
  <c r="AM61" i="734"/>
  <c r="AM60" i="734"/>
  <c r="AM56" i="734"/>
  <c r="AM59" i="734"/>
  <c r="AM55" i="734"/>
  <c r="AM58" i="734"/>
  <c r="AM57" i="734"/>
  <c r="AM51" i="734"/>
  <c r="AM54" i="734"/>
  <c r="AM49" i="734"/>
  <c r="AM45" i="734"/>
  <c r="AM52" i="734"/>
  <c r="AM50" i="734"/>
  <c r="AM48" i="734"/>
  <c r="AM44" i="734"/>
  <c r="AM47" i="734"/>
  <c r="AM41" i="734"/>
  <c r="AM37" i="734"/>
  <c r="AM39" i="734"/>
  <c r="AM35" i="734"/>
  <c r="AM46" i="734"/>
  <c r="AM43" i="734"/>
  <c r="AM33" i="734"/>
  <c r="AM42" i="734"/>
  <c r="AM38" i="734"/>
  <c r="AM32" i="734"/>
  <c r="AM34" i="734"/>
  <c r="AM29" i="734"/>
  <c r="AM25" i="734"/>
  <c r="AM40" i="734"/>
  <c r="AM36" i="734"/>
  <c r="AM31" i="734"/>
  <c r="AM28" i="734"/>
  <c r="AM24" i="734"/>
  <c r="AM20" i="734"/>
  <c r="AM16" i="734"/>
  <c r="AM26" i="734"/>
  <c r="AM22" i="734"/>
  <c r="AM18" i="734"/>
  <c r="AM14" i="734"/>
  <c r="AM53" i="734"/>
  <c r="AM30" i="734"/>
  <c r="AM12" i="734"/>
  <c r="AM27" i="734"/>
  <c r="AM23" i="734"/>
  <c r="AM19" i="734"/>
  <c r="AM15" i="734"/>
  <c r="AM21" i="734"/>
  <c r="AM13" i="734"/>
  <c r="AM11" i="734"/>
  <c r="AM17" i="734"/>
  <c r="BK10" i="734"/>
  <c r="AU10" i="734"/>
  <c r="BC10" i="734"/>
  <c r="AE10" i="734"/>
  <c r="AM10" i="734"/>
  <c r="A13" i="2173"/>
  <c r="A18" i="1757"/>
  <c r="A20" i="1757" s="1"/>
  <c r="CC3" i="734"/>
  <c r="F27" i="1757"/>
  <c r="DA6" i="734"/>
  <c r="A32" i="1757" l="1"/>
  <c r="A14" i="2173"/>
  <c r="H36" i="910"/>
  <c r="H34" i="910"/>
  <c r="H28" i="910"/>
  <c r="H22" i="910"/>
  <c r="H20" i="910"/>
  <c r="H18" i="910"/>
  <c r="H12" i="910"/>
  <c r="F53" i="1757"/>
  <c r="B28" i="910"/>
  <c r="B20" i="910"/>
  <c r="B22" i="910"/>
  <c r="B36" i="910"/>
  <c r="B12" i="910"/>
  <c r="B34" i="910"/>
  <c r="B14" i="910"/>
  <c r="B18" i="910"/>
  <c r="B10" i="1705"/>
  <c r="A26" i="2173" l="1"/>
  <c r="A36" i="1757"/>
  <c r="A37" i="1757" s="1"/>
  <c r="A38" i="1757" s="1"/>
  <c r="A45" i="1757" s="1"/>
  <c r="A46" i="1757" s="1"/>
  <c r="A47" i="1757" s="1"/>
  <c r="A48" i="1757" s="1"/>
  <c r="A49" i="1757" s="1"/>
  <c r="A50" i="1757" s="1"/>
  <c r="A51" i="1757" s="1"/>
  <c r="A52" i="1757" s="1"/>
  <c r="A53" i="1757" s="1"/>
  <c r="A15" i="1775" s="1"/>
  <c r="A16" i="1775" s="1"/>
  <c r="A17" i="1775" s="1"/>
  <c r="A18" i="1775" s="1"/>
  <c r="A19" i="1775" s="1"/>
  <c r="A20" i="1775" s="1"/>
  <c r="A21" i="1775" s="1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H10" i="47"/>
  <c r="F16" i="1780"/>
  <c r="F15" i="1780"/>
  <c r="F21" i="1775"/>
  <c r="F10" i="1727"/>
  <c r="F10" i="1726"/>
  <c r="F32" i="900"/>
  <c r="B8" i="910"/>
  <c r="B30" i="910"/>
  <c r="A74" i="778"/>
  <c r="B6" i="910"/>
  <c r="B24" i="910"/>
  <c r="F22" i="1726"/>
  <c r="B10" i="2138" l="1"/>
  <c r="H11" i="47"/>
  <c r="F35" i="1757"/>
  <c r="F33" i="1757"/>
  <c r="F34" i="1757"/>
  <c r="F31" i="1757"/>
  <c r="F30" i="1757"/>
  <c r="F29" i="1757"/>
  <c r="F28" i="1757"/>
  <c r="F26" i="1757"/>
  <c r="F25" i="1757"/>
  <c r="F24" i="1757"/>
  <c r="F23" i="1757"/>
  <c r="F22" i="1757"/>
  <c r="F21" i="1757"/>
  <c r="F19" i="1757"/>
  <c r="F16" i="1757"/>
  <c r="J69" i="26"/>
  <c r="M69" i="26" s="1"/>
  <c r="I69" i="26"/>
  <c r="E69" i="26"/>
  <c r="B69" i="26"/>
  <c r="J68" i="26"/>
  <c r="M68" i="26" s="1"/>
  <c r="I68" i="26"/>
  <c r="E68" i="26"/>
  <c r="B68" i="26"/>
  <c r="J67" i="26"/>
  <c r="M67" i="26" s="1"/>
  <c r="I67" i="26"/>
  <c r="E67" i="26"/>
  <c r="B67" i="26"/>
  <c r="J66" i="26"/>
  <c r="M66" i="26" s="1"/>
  <c r="I66" i="26"/>
  <c r="E66" i="26"/>
  <c r="B66" i="26"/>
  <c r="J65" i="26"/>
  <c r="M65" i="26" s="1"/>
  <c r="I65" i="26"/>
  <c r="E65" i="26"/>
  <c r="B65" i="26"/>
  <c r="J64" i="26"/>
  <c r="M64" i="26" s="1"/>
  <c r="I64" i="26"/>
  <c r="E64" i="26"/>
  <c r="B64" i="26"/>
  <c r="J63" i="26"/>
  <c r="M63" i="26" s="1"/>
  <c r="I63" i="26"/>
  <c r="E63" i="26"/>
  <c r="B63" i="26"/>
  <c r="J62" i="26"/>
  <c r="M62" i="26" s="1"/>
  <c r="I62" i="26"/>
  <c r="E62" i="26"/>
  <c r="B62" i="26"/>
  <c r="J61" i="26"/>
  <c r="M61" i="26" s="1"/>
  <c r="I61" i="26"/>
  <c r="E61" i="26"/>
  <c r="B61" i="26"/>
  <c r="J60" i="26"/>
  <c r="M60" i="26" s="1"/>
  <c r="I60" i="26"/>
  <c r="E60" i="26"/>
  <c r="B60" i="26"/>
  <c r="J59" i="26"/>
  <c r="M59" i="26" s="1"/>
  <c r="I59" i="26"/>
  <c r="E59" i="26"/>
  <c r="B59" i="26"/>
  <c r="J58" i="26"/>
  <c r="M58" i="26" s="1"/>
  <c r="I58" i="26"/>
  <c r="E58" i="26"/>
  <c r="B58" i="26"/>
  <c r="J57" i="26"/>
  <c r="M57" i="26" s="1"/>
  <c r="I57" i="26"/>
  <c r="E57" i="26"/>
  <c r="B57" i="26"/>
  <c r="J56" i="26"/>
  <c r="M56" i="26" s="1"/>
  <c r="I56" i="26"/>
  <c r="E56" i="26"/>
  <c r="B56" i="26"/>
  <c r="J55" i="26"/>
  <c r="M55" i="26" s="1"/>
  <c r="I55" i="26"/>
  <c r="E55" i="26"/>
  <c r="B55" i="26"/>
  <c r="J54" i="26"/>
  <c r="M54" i="26" s="1"/>
  <c r="I54" i="26"/>
  <c r="E54" i="26"/>
  <c r="B54" i="26"/>
  <c r="J53" i="26"/>
  <c r="M53" i="26" s="1"/>
  <c r="I53" i="26"/>
  <c r="E53" i="26"/>
  <c r="B53" i="26"/>
  <c r="J52" i="26"/>
  <c r="M52" i="26" s="1"/>
  <c r="I52" i="26"/>
  <c r="E52" i="26"/>
  <c r="B52" i="26"/>
  <c r="J51" i="26"/>
  <c r="M51" i="26" s="1"/>
  <c r="I51" i="26"/>
  <c r="E51" i="26"/>
  <c r="B51" i="26"/>
  <c r="J50" i="26"/>
  <c r="M50" i="26" s="1"/>
  <c r="I50" i="26"/>
  <c r="E50" i="26"/>
  <c r="B50" i="26"/>
  <c r="J49" i="26"/>
  <c r="M49" i="26" s="1"/>
  <c r="I49" i="26"/>
  <c r="E49" i="26"/>
  <c r="B49" i="26"/>
  <c r="J48" i="26"/>
  <c r="M48" i="26" s="1"/>
  <c r="I48" i="26"/>
  <c r="E48" i="26"/>
  <c r="B48" i="26"/>
  <c r="J47" i="26"/>
  <c r="M47" i="26" s="1"/>
  <c r="I47" i="26"/>
  <c r="E47" i="26"/>
  <c r="B47" i="26"/>
  <c r="J46" i="26"/>
  <c r="M46" i="26" s="1"/>
  <c r="I46" i="26"/>
  <c r="E46" i="26"/>
  <c r="B46" i="26"/>
  <c r="J45" i="26"/>
  <c r="M45" i="26" s="1"/>
  <c r="I45" i="26"/>
  <c r="E45" i="26"/>
  <c r="B45" i="26"/>
  <c r="J44" i="26"/>
  <c r="M44" i="26" s="1"/>
  <c r="I44" i="26"/>
  <c r="E44" i="26"/>
  <c r="B44" i="26"/>
  <c r="J43" i="26"/>
  <c r="M43" i="26" s="1"/>
  <c r="I43" i="26"/>
  <c r="E43" i="26"/>
  <c r="B43" i="26"/>
  <c r="J42" i="26"/>
  <c r="M42" i="26" s="1"/>
  <c r="I42" i="26"/>
  <c r="E42" i="26"/>
  <c r="B42" i="26"/>
  <c r="J41" i="26"/>
  <c r="M41" i="26" s="1"/>
  <c r="I41" i="26"/>
  <c r="E41" i="26"/>
  <c r="B41" i="26"/>
  <c r="J40" i="26"/>
  <c r="M40" i="26" s="1"/>
  <c r="I40" i="26"/>
  <c r="E40" i="26"/>
  <c r="B40" i="26"/>
  <c r="J39" i="26"/>
  <c r="M39" i="26" s="1"/>
  <c r="I39" i="26"/>
  <c r="E39" i="26"/>
  <c r="B39" i="26"/>
  <c r="J38" i="26"/>
  <c r="M38" i="26" s="1"/>
  <c r="I38" i="26"/>
  <c r="E38" i="26"/>
  <c r="B38" i="26"/>
  <c r="J37" i="26"/>
  <c r="M37" i="26" s="1"/>
  <c r="I37" i="26"/>
  <c r="E37" i="26"/>
  <c r="B37" i="26"/>
  <c r="J36" i="26"/>
  <c r="M36" i="26" s="1"/>
  <c r="I36" i="26"/>
  <c r="E36" i="26"/>
  <c r="B36" i="26"/>
  <c r="J35" i="26"/>
  <c r="M35" i="26" s="1"/>
  <c r="I35" i="26"/>
  <c r="E35" i="26"/>
  <c r="B35" i="26"/>
  <c r="J34" i="26"/>
  <c r="M34" i="26" s="1"/>
  <c r="I34" i="26"/>
  <c r="E34" i="26"/>
  <c r="B34" i="26"/>
  <c r="J33" i="26"/>
  <c r="M33" i="26" s="1"/>
  <c r="I33" i="26"/>
  <c r="E33" i="26"/>
  <c r="B33" i="26"/>
  <c r="J32" i="26"/>
  <c r="M32" i="26" s="1"/>
  <c r="I32" i="26"/>
  <c r="E32" i="26"/>
  <c r="B32" i="26"/>
  <c r="I31" i="26"/>
  <c r="B31" i="26"/>
  <c r="I30" i="26"/>
  <c r="B30" i="26"/>
  <c r="I29" i="26"/>
  <c r="B29" i="26"/>
  <c r="G1" i="1780" s="1"/>
  <c r="I28" i="26"/>
  <c r="B28" i="26"/>
  <c r="I27" i="26"/>
  <c r="B27" i="26"/>
  <c r="I26" i="26"/>
  <c r="B26" i="26"/>
  <c r="G1" i="1775" s="1"/>
  <c r="I25" i="26"/>
  <c r="B25" i="26"/>
  <c r="I24" i="26"/>
  <c r="B24" i="26"/>
  <c r="G1" i="1757" s="1"/>
  <c r="I23" i="26"/>
  <c r="B23" i="26"/>
  <c r="I22" i="26"/>
  <c r="E22" i="26"/>
  <c r="B22" i="26"/>
  <c r="I21" i="26"/>
  <c r="E21" i="26"/>
  <c r="B21" i="26"/>
  <c r="L20" i="26"/>
  <c r="D20" i="26" s="1"/>
  <c r="I20" i="26"/>
  <c r="B20" i="26"/>
  <c r="G1" i="1727" s="1"/>
  <c r="L19" i="26"/>
  <c r="D19" i="26" s="1"/>
  <c r="I19" i="26"/>
  <c r="B19" i="26"/>
  <c r="G1" i="1726" s="1"/>
  <c r="I18" i="26"/>
  <c r="B18" i="26"/>
  <c r="G1" i="1725" s="1"/>
  <c r="I17" i="26"/>
  <c r="B17" i="26"/>
  <c r="I16" i="26"/>
  <c r="E16" i="26"/>
  <c r="B16" i="26"/>
  <c r="I15" i="26"/>
  <c r="E15" i="26"/>
  <c r="B15" i="26"/>
  <c r="I14" i="26"/>
  <c r="B14" i="26"/>
  <c r="G1" i="900" s="1"/>
  <c r="I13" i="26"/>
  <c r="B13" i="26"/>
  <c r="I12" i="26"/>
  <c r="B12" i="26"/>
  <c r="I11" i="26"/>
  <c r="E11" i="26"/>
  <c r="B11" i="26"/>
  <c r="F38" i="1725"/>
  <c r="F37" i="1725"/>
  <c r="F36" i="1725"/>
  <c r="F35" i="1725"/>
  <c r="F30" i="1725"/>
  <c r="F29" i="1725"/>
  <c r="F28" i="1725"/>
  <c r="F27" i="1725"/>
  <c r="F24" i="1725"/>
  <c r="F23" i="1725"/>
  <c r="F22" i="1725"/>
  <c r="F21" i="1725"/>
  <c r="F20" i="1725"/>
  <c r="F18" i="1725"/>
  <c r="F17" i="1725"/>
  <c r="F16" i="1725"/>
  <c r="F15" i="1725"/>
  <c r="F10" i="900"/>
  <c r="B11" i="2138" l="1"/>
  <c r="H12" i="47"/>
  <c r="L13" i="26"/>
  <c r="D13" i="26" s="1"/>
  <c r="E19" i="26"/>
  <c r="G3" i="1726" s="1"/>
  <c r="E20" i="26"/>
  <c r="G3" i="1727" s="1"/>
  <c r="E12" i="26"/>
  <c r="J11" i="26" s="1"/>
  <c r="M11" i="26" s="1"/>
  <c r="L21" i="26"/>
  <c r="B12" i="2138" l="1"/>
  <c r="L14" i="26"/>
  <c r="D14" i="26" s="1"/>
  <c r="E13" i="26"/>
  <c r="L15" i="26"/>
  <c r="J19" i="26"/>
  <c r="M19" i="26" s="1"/>
  <c r="D21" i="26"/>
  <c r="L22" i="26"/>
  <c r="E14" i="26" l="1"/>
  <c r="G3" i="900" s="1"/>
  <c r="J13" i="26"/>
  <c r="M13" i="26" s="1"/>
  <c r="J12" i="26"/>
  <c r="M12" i="26" s="1"/>
  <c r="D15" i="26"/>
  <c r="L16" i="26"/>
  <c r="D22" i="26"/>
  <c r="L23" i="26"/>
  <c r="L27" i="26"/>
  <c r="D16" i="26" l="1"/>
  <c r="L17" i="26"/>
  <c r="D23" i="26"/>
  <c r="L24" i="26"/>
  <c r="D27" i="26"/>
  <c r="L28" i="26"/>
  <c r="D17" i="26" l="1"/>
  <c r="L18" i="26"/>
  <c r="D18" i="26" s="1"/>
  <c r="E18" i="26" s="1"/>
  <c r="G3" i="1725" s="1"/>
  <c r="E23" i="26"/>
  <c r="E17" i="26"/>
  <c r="E27" i="26"/>
  <c r="D24" i="26"/>
  <c r="L25" i="26"/>
  <c r="J20" i="26"/>
  <c r="M20" i="26" s="1"/>
  <c r="D28" i="26"/>
  <c r="L29" i="26"/>
  <c r="D25" i="26" l="1"/>
  <c r="L26" i="26"/>
  <c r="D26" i="26" s="1"/>
  <c r="E26" i="26" s="1"/>
  <c r="G3" i="1775" s="1"/>
  <c r="J18" i="26"/>
  <c r="M18" i="26" s="1"/>
  <c r="J17" i="26"/>
  <c r="M17" i="26" s="1"/>
  <c r="J15" i="26"/>
  <c r="M15" i="26" s="1"/>
  <c r="J14" i="26"/>
  <c r="M14" i="26" s="1"/>
  <c r="J16" i="26"/>
  <c r="M16" i="26" s="1"/>
  <c r="E28" i="26"/>
  <c r="E25" i="26"/>
  <c r="E24" i="26"/>
  <c r="G3" i="1757" s="1"/>
  <c r="D29" i="26"/>
  <c r="L30" i="26"/>
  <c r="J23" i="26" l="1"/>
  <c r="M23" i="26" s="1"/>
  <c r="J24" i="26"/>
  <c r="M24" i="26" s="1"/>
  <c r="J21" i="26"/>
  <c r="M21" i="26" s="1"/>
  <c r="J25" i="26"/>
  <c r="M25" i="26" s="1"/>
  <c r="J22" i="26"/>
  <c r="M22" i="26" s="1"/>
  <c r="E29" i="26"/>
  <c r="G3" i="1780" s="1"/>
  <c r="D30" i="26"/>
  <c r="L31" i="26"/>
  <c r="A79" i="960"/>
  <c r="A78" i="960"/>
  <c r="G1" i="1694"/>
  <c r="J26" i="26" l="1"/>
  <c r="M26" i="26" s="1"/>
  <c r="E30" i="26"/>
  <c r="J27" i="26"/>
  <c r="M27" i="26" s="1"/>
  <c r="D31" i="26"/>
  <c r="L32" i="26"/>
  <c r="A10" i="1694"/>
  <c r="A11" i="1694"/>
  <c r="A12" i="1694" s="1"/>
  <c r="A13" i="1694" s="1"/>
  <c r="A14" i="1694" s="1"/>
  <c r="C15" i="1694"/>
  <c r="C14" i="1694"/>
  <c r="C13" i="1694"/>
  <c r="C12" i="1694"/>
  <c r="C11" i="1694"/>
  <c r="E31" i="26" l="1"/>
  <c r="J30" i="26"/>
  <c r="M30" i="26" s="1"/>
  <c r="J29" i="26"/>
  <c r="M29" i="26" s="1"/>
  <c r="J31" i="26"/>
  <c r="M31" i="26" s="1"/>
  <c r="J28" i="26"/>
  <c r="M28" i="26" s="1"/>
  <c r="D32" i="26"/>
  <c r="L33" i="26"/>
  <c r="A15" i="1694"/>
  <c r="E182" i="1678"/>
  <c r="B182" i="1678"/>
  <c r="B180" i="1678"/>
  <c r="B178" i="1678"/>
  <c r="B176" i="1678"/>
  <c r="B174" i="1678"/>
  <c r="B172" i="1678"/>
  <c r="B170" i="1678"/>
  <c r="B168" i="1678"/>
  <c r="B164" i="1678"/>
  <c r="B162" i="1678"/>
  <c r="B154" i="1678"/>
  <c r="B152" i="1678"/>
  <c r="B150" i="1678"/>
  <c r="B146" i="1678"/>
  <c r="B144" i="1678"/>
  <c r="B142" i="1678"/>
  <c r="B140" i="1678"/>
  <c r="B136" i="1678"/>
  <c r="B134" i="1678"/>
  <c r="B132" i="1678"/>
  <c r="B120" i="1678"/>
  <c r="B114" i="1678"/>
  <c r="B112" i="1678"/>
  <c r="B108" i="1678"/>
  <c r="B106" i="1678"/>
  <c r="B104" i="1678"/>
  <c r="B102" i="1678"/>
  <c r="B100" i="1678"/>
  <c r="B88" i="1678"/>
  <c r="B86" i="1678"/>
  <c r="B78" i="1678"/>
  <c r="B76" i="1678"/>
  <c r="B72" i="1678"/>
  <c r="B70" i="1678"/>
  <c r="B66" i="1678"/>
  <c r="B64" i="1678"/>
  <c r="B62" i="1678"/>
  <c r="B58" i="1678"/>
  <c r="B46" i="1678"/>
  <c r="B44" i="1678"/>
  <c r="E42" i="1678"/>
  <c r="B42" i="1678"/>
  <c r="B40" i="1678"/>
  <c r="B38" i="1678"/>
  <c r="B36" i="1678"/>
  <c r="B34" i="1678"/>
  <c r="B32" i="1678"/>
  <c r="E30" i="1678"/>
  <c r="B30" i="1678"/>
  <c r="E28" i="1678"/>
  <c r="B28" i="1678"/>
  <c r="B26" i="1678"/>
  <c r="B24" i="1678"/>
  <c r="B22" i="1678"/>
  <c r="B20" i="1678"/>
  <c r="B18" i="1678"/>
  <c r="B16" i="1678"/>
  <c r="B14" i="1678"/>
  <c r="B12" i="1678"/>
  <c r="C11" i="1678"/>
  <c r="C13" i="1678" s="1"/>
  <c r="C15" i="1678" s="1"/>
  <c r="C17" i="1678" s="1"/>
  <c r="C19" i="1678" s="1"/>
  <c r="C21" i="1678" s="1"/>
  <c r="C23" i="1678" s="1"/>
  <c r="C25" i="1678" s="1"/>
  <c r="C27" i="1678" s="1"/>
  <c r="C29" i="1678" s="1"/>
  <c r="C31" i="1678" s="1"/>
  <c r="C33" i="1678" s="1"/>
  <c r="C35" i="1678" s="1"/>
  <c r="C37" i="1678" s="1"/>
  <c r="C39" i="1678" s="1"/>
  <c r="C41" i="1678" s="1"/>
  <c r="C43" i="1678" s="1"/>
  <c r="C45" i="1678" s="1"/>
  <c r="C47" i="1678" s="1"/>
  <c r="C59" i="1678" s="1"/>
  <c r="C63" i="1678" s="1"/>
  <c r="C65" i="1678" s="1"/>
  <c r="C67" i="1678" s="1"/>
  <c r="C71" i="1678" s="1"/>
  <c r="C73" i="1678" s="1"/>
  <c r="C77" i="1678" s="1"/>
  <c r="C79" i="1678" s="1"/>
  <c r="C87" i="1678" s="1"/>
  <c r="C89" i="1678" s="1"/>
  <c r="C101" i="1678" s="1"/>
  <c r="C103" i="1678" s="1"/>
  <c r="C105" i="1678" s="1"/>
  <c r="C107" i="1678" s="1"/>
  <c r="C109" i="1678" s="1"/>
  <c r="C113" i="1678" s="1"/>
  <c r="C115" i="1678" s="1"/>
  <c r="C121" i="1678" s="1"/>
  <c r="C133" i="1678" s="1"/>
  <c r="C135" i="1678" s="1"/>
  <c r="C137" i="1678" s="1"/>
  <c r="C141" i="1678" s="1"/>
  <c r="C143" i="1678" s="1"/>
  <c r="C145" i="1678" s="1"/>
  <c r="C147" i="1678" s="1"/>
  <c r="C151" i="1678" s="1"/>
  <c r="C153" i="1678" s="1"/>
  <c r="C155" i="1678" s="1"/>
  <c r="C163" i="1678" s="1"/>
  <c r="C165" i="1678" s="1"/>
  <c r="C169" i="1678" s="1"/>
  <c r="C171" i="1678" s="1"/>
  <c r="C173" i="1678" s="1"/>
  <c r="C175" i="1678" s="1"/>
  <c r="C177" i="1678" s="1"/>
  <c r="C179" i="1678" s="1"/>
  <c r="C181" i="1678" s="1"/>
  <c r="C183" i="1678" s="1"/>
  <c r="E10" i="1678"/>
  <c r="G3" i="1678"/>
  <c r="C2" i="1678"/>
  <c r="C1" i="1678"/>
  <c r="C4" i="1678"/>
  <c r="C3" i="1678"/>
  <c r="B11" i="1705" l="1"/>
  <c r="B9" i="1705" s="1"/>
  <c r="D33" i="26"/>
  <c r="L34" i="26"/>
  <c r="E76" i="960"/>
  <c r="D76" i="960"/>
  <c r="E74" i="960"/>
  <c r="D74" i="960"/>
  <c r="E72" i="960"/>
  <c r="D72" i="960"/>
  <c r="D34" i="26" l="1"/>
  <c r="L35" i="26"/>
  <c r="E153" i="960"/>
  <c r="E151" i="960"/>
  <c r="E149" i="960"/>
  <c r="D153" i="960"/>
  <c r="D151" i="960"/>
  <c r="D149" i="960"/>
  <c r="E74" i="47"/>
  <c r="D74" i="47"/>
  <c r="E72" i="47"/>
  <c r="D72" i="47"/>
  <c r="B6" i="734"/>
  <c r="K10" i="734"/>
  <c r="K12" i="734"/>
  <c r="K11" i="734"/>
  <c r="D35" i="26" l="1"/>
  <c r="L36" i="26"/>
  <c r="D36" i="26" l="1"/>
  <c r="L37" i="26"/>
  <c r="EV7" i="734"/>
  <c r="D37" i="26" l="1"/>
  <c r="L38" i="26"/>
  <c r="B105" i="26"/>
  <c r="B104" i="26"/>
  <c r="B103" i="26"/>
  <c r="B102" i="26"/>
  <c r="B101" i="26"/>
  <c r="B100" i="26"/>
  <c r="B99" i="26"/>
  <c r="B98" i="26"/>
  <c r="B97" i="26"/>
  <c r="EU6" i="734" l="1"/>
  <c r="DU6" i="734"/>
  <c r="K6" i="734"/>
  <c r="CB6" i="734"/>
  <c r="DB6" i="734"/>
  <c r="DO6" i="734"/>
  <c r="DQ6" i="734"/>
  <c r="BS6" i="734"/>
  <c r="DF6" i="734"/>
  <c r="EZ6" i="734"/>
  <c r="R6" i="734"/>
  <c r="AH6" i="734"/>
  <c r="BF6" i="734"/>
  <c r="Z6" i="734"/>
  <c r="AX6" i="734"/>
  <c r="AP6" i="734"/>
  <c r="BN6" i="734"/>
  <c r="D38" i="26"/>
  <c r="L39" i="26"/>
  <c r="CH6" i="734"/>
  <c r="DS6" i="734"/>
  <c r="CW6" i="734"/>
  <c r="CQ6" i="734"/>
  <c r="CM6" i="734"/>
  <c r="D39" i="26" l="1"/>
  <c r="L40" i="26"/>
  <c r="D40" i="26" l="1"/>
  <c r="L41" i="26"/>
  <c r="A24" i="108"/>
  <c r="A23" i="108"/>
  <c r="A22" i="108"/>
  <c r="A21" i="108"/>
  <c r="A20" i="108"/>
  <c r="A19" i="108"/>
  <c r="A18" i="108"/>
  <c r="A17" i="108"/>
  <c r="A16" i="108"/>
  <c r="A15" i="108"/>
  <c r="A14" i="108"/>
  <c r="A13" i="108"/>
  <c r="A12" i="108"/>
  <c r="A11" i="108"/>
  <c r="EV34" i="734"/>
  <c r="DB18" i="734"/>
  <c r="DK58" i="734"/>
  <c r="DI22" i="734"/>
  <c r="DF45" i="734"/>
  <c r="DK68" i="734"/>
  <c r="DK32" i="734"/>
  <c r="DM55" i="734"/>
  <c r="EV14" i="734"/>
  <c r="DB57" i="734"/>
  <c r="DJ54" i="734"/>
  <c r="DI18" i="734"/>
  <c r="DM41" i="734"/>
  <c r="DI64" i="734"/>
  <c r="DG28" i="734"/>
  <c r="DG55" i="734"/>
  <c r="EV16" i="734"/>
  <c r="DB63" i="734"/>
  <c r="DF38" i="734"/>
  <c r="DL61" i="734"/>
  <c r="DL25" i="734"/>
  <c r="DL48" i="734"/>
  <c r="DK12" i="734"/>
  <c r="DK39" i="734"/>
  <c r="EV59" i="734"/>
  <c r="DB43" i="734"/>
  <c r="DL38" i="734"/>
  <c r="DG57" i="734"/>
  <c r="DK21" i="734"/>
  <c r="DM44" i="734"/>
  <c r="DK69" i="734"/>
  <c r="BG66" i="734"/>
  <c r="EV13" i="734"/>
  <c r="DB56" i="734"/>
  <c r="DG46" i="734"/>
  <c r="DI10" i="734"/>
  <c r="DL33" i="734"/>
  <c r="DI56" i="734"/>
  <c r="DG20" i="734"/>
  <c r="DM47" i="734"/>
  <c r="EV52" i="734"/>
  <c r="DB36" i="734"/>
  <c r="DJ46" i="734"/>
  <c r="DM65" i="734"/>
  <c r="DM29" i="734"/>
  <c r="DM52" i="734"/>
  <c r="DL16" i="734"/>
  <c r="DI43" i="734"/>
  <c r="DB58" i="734"/>
  <c r="DK66" i="734"/>
  <c r="DK26" i="734"/>
  <c r="DJ49" i="734"/>
  <c r="DK13" i="734"/>
  <c r="DG36" i="734"/>
  <c r="DG63" i="734"/>
  <c r="EV54" i="734"/>
  <c r="DB38" i="734"/>
  <c r="DJ62" i="734"/>
  <c r="DM26" i="734"/>
  <c r="DG49" i="734"/>
  <c r="DL68" i="734"/>
  <c r="DF32" i="734"/>
  <c r="DF39" i="734"/>
  <c r="BG45" i="734"/>
  <c r="EV61" i="734"/>
  <c r="DK54" i="734"/>
  <c r="DJ41" i="734"/>
  <c r="DI24" i="734"/>
  <c r="EV41" i="734"/>
  <c r="DM50" i="734"/>
  <c r="DM37" i="734"/>
  <c r="DG24" i="734"/>
  <c r="EV47" i="734"/>
  <c r="DF34" i="734"/>
  <c r="DF21" i="734"/>
  <c r="DM69" i="734"/>
  <c r="EV27" i="734"/>
  <c r="DK30" i="734"/>
  <c r="DK17" i="734"/>
  <c r="DI67" i="734"/>
  <c r="BG23" i="734"/>
  <c r="DS66" i="734"/>
  <c r="CW50" i="734"/>
  <c r="DU34" i="734"/>
  <c r="DO42" i="734"/>
  <c r="DP32" i="734"/>
  <c r="FA58" i="734"/>
  <c r="DG39" i="734"/>
  <c r="BG41" i="734"/>
  <c r="BO25" i="734"/>
  <c r="DS68" i="734"/>
  <c r="CW52" i="734"/>
  <c r="DU36" i="734"/>
  <c r="DO45" i="734"/>
  <c r="DM63" i="734"/>
  <c r="BG26" i="734"/>
  <c r="EV39" i="734"/>
  <c r="DM34" i="734"/>
  <c r="DI21" i="734"/>
  <c r="DL67" i="734"/>
  <c r="EV19" i="734"/>
  <c r="DG30" i="734"/>
  <c r="DG17" i="734"/>
  <c r="DM67" i="734"/>
  <c r="DB21" i="734"/>
  <c r="DG14" i="734"/>
  <c r="DM60" i="734"/>
  <c r="DK47" i="734"/>
  <c r="DB60" i="734"/>
  <c r="DG10" i="734"/>
  <c r="DG56" i="734"/>
  <c r="DI19" i="734"/>
  <c r="BO61" i="734"/>
  <c r="DS45" i="734"/>
  <c r="CW29" i="734"/>
  <c r="DU13" i="734"/>
  <c r="DO61" i="734"/>
  <c r="DP55" i="734"/>
  <c r="EZ46" i="734"/>
  <c r="DF23" i="734"/>
  <c r="BG20" i="734"/>
  <c r="BO67" i="734"/>
  <c r="DS51" i="734"/>
  <c r="CW35" i="734"/>
  <c r="DU19" i="734"/>
  <c r="DP64" i="734"/>
  <c r="DM27" i="734"/>
  <c r="EV29" i="734"/>
  <c r="DB13" i="734"/>
  <c r="DF50" i="734"/>
  <c r="DM14" i="734"/>
  <c r="DL37" i="734"/>
  <c r="DF56" i="734"/>
  <c r="DF20" i="734"/>
  <c r="DF47" i="734"/>
  <c r="EV68" i="734"/>
  <c r="DB52" i="734"/>
  <c r="DL46" i="734"/>
  <c r="DJ10" i="734"/>
  <c r="DG33" i="734"/>
  <c r="DJ56" i="734"/>
  <c r="DI20" i="734"/>
  <c r="DJ43" i="734"/>
  <c r="EV15" i="734"/>
  <c r="DF66" i="734"/>
  <c r="DL30" i="734"/>
  <c r="DM53" i="734"/>
  <c r="DL17" i="734"/>
  <c r="DF40" i="734"/>
  <c r="DI63" i="734"/>
  <c r="DI27" i="734"/>
  <c r="DB54" i="734"/>
  <c r="DM62" i="734"/>
  <c r="DJ26" i="734"/>
  <c r="DI49" i="734"/>
  <c r="DI13" i="734"/>
  <c r="DF36" i="734"/>
  <c r="DG47" i="734"/>
  <c r="BG61" i="734"/>
  <c r="EV69" i="734"/>
  <c r="DB55" i="734"/>
  <c r="DG38" i="734"/>
  <c r="DI61" i="734"/>
  <c r="DK25" i="734"/>
  <c r="DK48" i="734"/>
  <c r="DF69" i="734"/>
  <c r="DG35" i="734"/>
  <c r="EV51" i="734"/>
  <c r="DB35" i="734"/>
  <c r="DG34" i="734"/>
  <c r="DF57" i="734"/>
  <c r="DG21" i="734"/>
  <c r="DL44" i="734"/>
  <c r="DI69" i="734"/>
  <c r="EV10" i="734"/>
  <c r="DB53" i="734"/>
  <c r="DM54" i="734"/>
  <c r="DL18" i="734"/>
  <c r="DG41" i="734"/>
  <c r="DK64" i="734"/>
  <c r="DL28" i="734"/>
  <c r="DJ55" i="734"/>
  <c r="EV49" i="734"/>
  <c r="DB33" i="734"/>
  <c r="DI54" i="734"/>
  <c r="DF14" i="734"/>
  <c r="DJ37" i="734"/>
  <c r="DK60" i="734"/>
  <c r="DJ24" i="734"/>
  <c r="DM23" i="734"/>
  <c r="BG40" i="734"/>
  <c r="EV55" i="734"/>
  <c r="DI34" i="734"/>
  <c r="DL21" i="734"/>
  <c r="DL69" i="734"/>
  <c r="EV35" i="734"/>
  <c r="DK34" i="734"/>
  <c r="DF17" i="734"/>
  <c r="DG67" i="734"/>
  <c r="DB37" i="734"/>
  <c r="DM18" i="734"/>
  <c r="DF60" i="734"/>
  <c r="DG51" i="734"/>
  <c r="DB17" i="734"/>
  <c r="DI14" i="734"/>
  <c r="DL60" i="734"/>
  <c r="DG23" i="734"/>
  <c r="BO18" i="734"/>
  <c r="EV24" i="734"/>
  <c r="DB69" i="734"/>
  <c r="DM42" i="734"/>
  <c r="DJ61" i="734"/>
  <c r="DJ25" i="734"/>
  <c r="DI48" i="734"/>
  <c r="DF12" i="734"/>
  <c r="DJ39" i="734"/>
  <c r="EV67" i="734"/>
  <c r="DB51" i="734"/>
  <c r="DM38" i="734"/>
  <c r="DM61" i="734"/>
  <c r="DM25" i="734"/>
  <c r="DF44" i="734"/>
  <c r="DG69" i="734"/>
  <c r="EV26" i="734"/>
  <c r="DB10" i="734"/>
  <c r="DJ58" i="734"/>
  <c r="DL22" i="734"/>
  <c r="DJ45" i="734"/>
  <c r="DF64" i="734"/>
  <c r="DF28" i="734"/>
  <c r="DI55" i="734"/>
  <c r="EV65" i="734"/>
  <c r="DB49" i="734"/>
  <c r="DG54" i="734"/>
  <c r="DJ18" i="734"/>
  <c r="DI41" i="734"/>
  <c r="DL64" i="734"/>
  <c r="DK28" i="734"/>
  <c r="DJ27" i="734"/>
  <c r="BG56" i="734"/>
  <c r="DB66" i="734"/>
  <c r="DL66" i="734"/>
  <c r="DI30" i="734"/>
  <c r="DL53" i="734"/>
  <c r="DL13" i="734"/>
  <c r="DK36" i="734"/>
  <c r="DJ63" i="734"/>
  <c r="EV62" i="734"/>
  <c r="DB46" i="734"/>
  <c r="DF62" i="734"/>
  <c r="DF26" i="734"/>
  <c r="DM49" i="734"/>
  <c r="DJ13" i="734"/>
  <c r="DL36" i="734"/>
  <c r="DL59" i="734"/>
  <c r="EV64" i="734"/>
  <c r="DB48" i="734"/>
  <c r="DI46" i="734"/>
  <c r="DK10" i="734"/>
  <c r="DM33" i="734"/>
  <c r="DL56" i="734"/>
  <c r="DM16" i="734"/>
  <c r="DF43" i="734"/>
  <c r="EV44" i="734"/>
  <c r="DB28" i="734"/>
  <c r="DK42" i="734"/>
  <c r="DJ65" i="734"/>
  <c r="DL29" i="734"/>
  <c r="DI52" i="734"/>
  <c r="DI16" i="734"/>
  <c r="DG15" i="734"/>
  <c r="EV66" i="734"/>
  <c r="DB45" i="734"/>
  <c r="DK18" i="734"/>
  <c r="DJ64" i="734"/>
  <c r="DK51" i="734"/>
  <c r="DB25" i="734"/>
  <c r="DK14" i="734"/>
  <c r="DI60" i="734"/>
  <c r="DJ51" i="734"/>
  <c r="DB31" i="734"/>
  <c r="DL57" i="734"/>
  <c r="DG44" i="734"/>
  <c r="DI31" i="734"/>
  <c r="DB11" i="734"/>
  <c r="DF53" i="734"/>
  <c r="DG40" i="734"/>
  <c r="BG34" i="734"/>
  <c r="BO13" i="734"/>
  <c r="DS56" i="734"/>
  <c r="CW40" i="734"/>
  <c r="DU24" i="734"/>
  <c r="DP37" i="734"/>
  <c r="DO31" i="734"/>
  <c r="FG38" i="734"/>
  <c r="DF15" i="734"/>
  <c r="BG35" i="734"/>
  <c r="BO19" i="734"/>
  <c r="CW62" i="734"/>
  <c r="DU46" i="734"/>
  <c r="DP50" i="734"/>
  <c r="DP40" i="734"/>
  <c r="DL23" i="734"/>
  <c r="BG16" i="734"/>
  <c r="DB23" i="734"/>
  <c r="DI57" i="734"/>
  <c r="DM40" i="734"/>
  <c r="DG31" i="734"/>
  <c r="DI66" i="734"/>
  <c r="DG53" i="734"/>
  <c r="DL40" i="734"/>
  <c r="EV37" i="734"/>
  <c r="DG50" i="734"/>
  <c r="DI37" i="734"/>
  <c r="DK24" i="734"/>
  <c r="EV17" i="734"/>
  <c r="DK46" i="734"/>
  <c r="DF33" i="734"/>
  <c r="DK20" i="734"/>
  <c r="BG69" i="734"/>
  <c r="BO55" i="734"/>
  <c r="DS39" i="734"/>
  <c r="CW23" i="734"/>
  <c r="DO66" i="734"/>
  <c r="DO56" i="734"/>
  <c r="FD62" i="734"/>
  <c r="DF63" i="734"/>
  <c r="BG30" i="734"/>
  <c r="BO14" i="734"/>
  <c r="DS57" i="734"/>
  <c r="CW41" i="734"/>
  <c r="DU25" i="734"/>
  <c r="DP10" i="734"/>
  <c r="DP63" i="734"/>
  <c r="DI11" i="734"/>
  <c r="DK53" i="734"/>
  <c r="DL31" i="734"/>
  <c r="DL49" i="734"/>
  <c r="EV21" i="734"/>
  <c r="DI33" i="734"/>
  <c r="EV60" i="734"/>
  <c r="DK33" i="734"/>
  <c r="EV18" i="734"/>
  <c r="DK41" i="734"/>
  <c r="EV57" i="734"/>
  <c r="DL41" i="734"/>
  <c r="EV63" i="734"/>
  <c r="DM21" i="734"/>
  <c r="EV43" i="734"/>
  <c r="DJ21" i="734"/>
  <c r="EV50" i="734"/>
  <c r="DM35" i="734"/>
  <c r="EV53" i="734"/>
  <c r="EV33" i="734"/>
  <c r="BG24" i="734"/>
  <c r="CW45" i="734"/>
  <c r="DO10" i="734"/>
  <c r="FF46" i="734"/>
  <c r="BG36" i="734"/>
  <c r="DS67" i="734"/>
  <c r="DU35" i="734"/>
  <c r="DI35" i="734"/>
  <c r="DB29" i="734"/>
  <c r="DJ60" i="734"/>
  <c r="DB68" i="734"/>
  <c r="DK56" i="734"/>
  <c r="DB15" i="734"/>
  <c r="DI40" i="734"/>
  <c r="DG66" i="734"/>
  <c r="DM36" i="734"/>
  <c r="BO56" i="734"/>
  <c r="CW24" i="734"/>
  <c r="DO29" i="734"/>
  <c r="FG34" i="734"/>
  <c r="BG19" i="734"/>
  <c r="CW46" i="734"/>
  <c r="DP42" i="734"/>
  <c r="DF19" i="734"/>
  <c r="DM46" i="734"/>
  <c r="DJ16" i="734"/>
  <c r="DJ42" i="734"/>
  <c r="DJ12" i="734"/>
  <c r="DI26" i="734"/>
  <c r="DG59" i="734"/>
  <c r="EV40" i="734"/>
  <c r="DK29" i="734"/>
  <c r="EV20" i="734"/>
  <c r="DF25" i="734"/>
  <c r="DB26" i="734"/>
  <c r="DF68" i="734"/>
  <c r="DB65" i="734"/>
  <c r="DM64" i="734"/>
  <c r="BO34" i="734"/>
  <c r="CW61" i="734"/>
  <c r="DP18" i="734"/>
  <c r="FE50" i="734"/>
  <c r="BG52" i="734"/>
  <c r="DS20" i="734"/>
  <c r="DU51" i="734"/>
  <c r="DM39" i="734"/>
  <c r="BO58" i="734"/>
  <c r="DS42" i="734"/>
  <c r="CW26" i="734"/>
  <c r="DU10" i="734"/>
  <c r="DP30" i="734"/>
  <c r="DP20" i="734"/>
  <c r="DI15" i="734"/>
  <c r="BG43" i="734"/>
  <c r="BO27" i="734"/>
  <c r="DS11" i="734"/>
  <c r="DU54" i="734"/>
  <c r="DP54" i="734"/>
  <c r="DP44" i="734"/>
  <c r="FC58" i="734"/>
  <c r="FA34" i="734"/>
  <c r="FF53" i="734"/>
  <c r="FG17" i="734"/>
  <c r="DF49" i="734"/>
  <c r="EV46" i="734"/>
  <c r="DM45" i="734"/>
  <c r="EV48" i="734"/>
  <c r="DF29" i="734"/>
  <c r="EV28" i="734"/>
  <c r="DI25" i="734"/>
  <c r="BG55" i="734"/>
  <c r="DS23" i="734"/>
  <c r="DO58" i="734"/>
  <c r="FG62" i="734"/>
  <c r="BG14" i="734"/>
  <c r="DS41" i="734"/>
  <c r="DU68" i="734"/>
  <c r="DO55" i="734"/>
  <c r="BG47" i="734"/>
  <c r="BO31" i="734"/>
  <c r="DS15" i="734"/>
  <c r="DU58" i="734"/>
  <c r="DO54" i="734"/>
  <c r="DO44" i="734"/>
  <c r="DJ23" i="734"/>
  <c r="BG28" i="734"/>
  <c r="BO12" i="734"/>
  <c r="DS59" i="734"/>
  <c r="CW43" i="734"/>
  <c r="DU27" i="734"/>
  <c r="DO68" i="734"/>
  <c r="FF66" i="734"/>
  <c r="FC42" i="734"/>
  <c r="EZ61" i="734"/>
  <c r="DB34" i="734"/>
  <c r="DB16" i="734"/>
  <c r="DG32" i="734"/>
  <c r="CW69" i="734"/>
  <c r="FE34" i="734"/>
  <c r="CW30" i="734"/>
  <c r="DJ15" i="734"/>
  <c r="DS53" i="734"/>
  <c r="DU21" i="734"/>
  <c r="DO59" i="734"/>
  <c r="BO54" i="734"/>
  <c r="CW22" i="734"/>
  <c r="DO30" i="734"/>
  <c r="FG54" i="734"/>
  <c r="EV23" i="734"/>
  <c r="DI17" i="734"/>
  <c r="DB62" i="734"/>
  <c r="DF13" i="734"/>
  <c r="DB64" i="734"/>
  <c r="DM56" i="734"/>
  <c r="DB44" i="734"/>
  <c r="DK52" i="734"/>
  <c r="DB61" i="734"/>
  <c r="DG64" i="734"/>
  <c r="DB41" i="734"/>
  <c r="DG60" i="734"/>
  <c r="DB47" i="734"/>
  <c r="DJ44" i="734"/>
  <c r="DB27" i="734"/>
  <c r="DK44" i="734"/>
  <c r="DB39" i="734"/>
  <c r="DB19" i="734"/>
  <c r="DL54" i="734"/>
  <c r="DK50" i="734"/>
  <c r="BO69" i="734"/>
  <c r="CW39" i="734"/>
  <c r="DO64" i="734"/>
  <c r="FC30" i="734"/>
  <c r="BO30" i="734"/>
  <c r="CW57" i="734"/>
  <c r="DO18" i="734"/>
  <c r="DL11" i="734"/>
  <c r="DI50" i="734"/>
  <c r="DL24" i="734"/>
  <c r="DJ50" i="734"/>
  <c r="DJ20" i="734"/>
  <c r="DL34" i="734"/>
  <c r="DK67" i="734"/>
  <c r="DJ30" i="734"/>
  <c r="DM59" i="734"/>
  <c r="DS50" i="734"/>
  <c r="DU18" i="734"/>
  <c r="DP24" i="734"/>
  <c r="DF35" i="734"/>
  <c r="BO68" i="734"/>
  <c r="CW36" i="734"/>
  <c r="DO37" i="734"/>
  <c r="BG10" i="734"/>
  <c r="DM10" i="734"/>
  <c r="DK43" i="734"/>
  <c r="DF65" i="734"/>
  <c r="EV58" i="734"/>
  <c r="DK49" i="734"/>
  <c r="EV38" i="734"/>
  <c r="DB24" i="734"/>
  <c r="DL52" i="734"/>
  <c r="DB67" i="734"/>
  <c r="DM48" i="734"/>
  <c r="DM58" i="734"/>
  <c r="DL32" i="734"/>
  <c r="DF58" i="734"/>
  <c r="DM28" i="734"/>
  <c r="BO24" i="734"/>
  <c r="CW55" i="734"/>
  <c r="DP13" i="734"/>
  <c r="EZ30" i="734"/>
  <c r="BO46" i="734"/>
  <c r="CW14" i="734"/>
  <c r="DO26" i="734"/>
  <c r="DK15" i="734"/>
  <c r="BO53" i="734"/>
  <c r="DS37" i="734"/>
  <c r="CW21" i="734"/>
  <c r="DU64" i="734"/>
  <c r="DO57" i="734"/>
  <c r="DO51" i="734"/>
  <c r="BG54" i="734"/>
  <c r="BO38" i="734"/>
  <c r="DS22" i="734"/>
  <c r="CW65" i="734"/>
  <c r="DU49" i="734"/>
  <c r="DP22" i="734"/>
  <c r="DO12" i="734"/>
  <c r="FA50" i="734"/>
  <c r="FE22" i="734"/>
  <c r="FF45" i="734"/>
  <c r="DB50" i="734"/>
  <c r="DG13" i="734"/>
  <c r="DB30" i="734"/>
  <c r="DJ68" i="734"/>
  <c r="DB32" i="734"/>
  <c r="DJ52" i="734"/>
  <c r="DB12" i="734"/>
  <c r="DF48" i="734"/>
  <c r="BO45" i="734"/>
  <c r="CW13" i="734"/>
  <c r="DO53" i="734"/>
  <c r="FG42" i="734"/>
  <c r="BG67" i="734"/>
  <c r="DS35" i="734"/>
  <c r="DP66" i="734"/>
  <c r="DF27" i="734"/>
  <c r="BO42" i="734"/>
  <c r="DS26" i="734"/>
  <c r="CW10" i="734"/>
  <c r="DU53" i="734"/>
  <c r="DO22" i="734"/>
  <c r="DP12" i="734"/>
  <c r="DM15" i="734"/>
  <c r="BG27" i="734"/>
  <c r="BO11" i="734"/>
  <c r="CW54" i="734"/>
  <c r="DU38" i="734"/>
  <c r="DP46" i="734"/>
  <c r="DP36" i="734"/>
  <c r="FD58" i="734"/>
  <c r="FG30" i="734"/>
  <c r="EZ53" i="734"/>
  <c r="DM68" i="734"/>
  <c r="DJ48" i="734"/>
  <c r="BG29" i="734"/>
  <c r="DU55" i="734"/>
  <c r="DJ11" i="734"/>
  <c r="DU14" i="734"/>
  <c r="BG32" i="734"/>
  <c r="DS47" i="734"/>
  <c r="DU15" i="734"/>
  <c r="DK27" i="734"/>
  <c r="BO44" i="734"/>
  <c r="CW12" i="734"/>
  <c r="DO25" i="734"/>
  <c r="DM66" i="734"/>
  <c r="DJ40" i="734"/>
  <c r="DJ66" i="734"/>
  <c r="DI36" i="734"/>
  <c r="DL50" i="734"/>
  <c r="DL20" i="734"/>
  <c r="DF46" i="734"/>
  <c r="DF16" i="734"/>
  <c r="DL58" i="734"/>
  <c r="DJ28" i="734"/>
  <c r="DF54" i="734"/>
  <c r="DF24" i="734"/>
  <c r="DK38" i="734"/>
  <c r="DJ69" i="734"/>
  <c r="DJ34" i="734"/>
  <c r="DF67" i="734"/>
  <c r="DK57" i="734"/>
  <c r="DJ57" i="734"/>
  <c r="DF37" i="734"/>
  <c r="DG37" i="734"/>
  <c r="DS61" i="734"/>
  <c r="DU29" i="734"/>
  <c r="DO63" i="734"/>
  <c r="DI23" i="734"/>
  <c r="BO20" i="734"/>
  <c r="CW51" i="734"/>
  <c r="DO13" i="734"/>
  <c r="BG21" i="734"/>
  <c r="DL14" i="734"/>
  <c r="DL51" i="734"/>
  <c r="DJ14" i="734"/>
  <c r="DJ47" i="734"/>
  <c r="DJ53" i="734"/>
  <c r="DF31" i="734"/>
  <c r="DI53" i="734"/>
  <c r="BG18" i="734"/>
  <c r="DS40" i="734"/>
  <c r="DU69" i="734"/>
  <c r="DO23" i="734"/>
  <c r="DM11" i="734"/>
  <c r="DS62" i="734"/>
  <c r="DU30" i="734"/>
  <c r="DO32" i="734"/>
  <c r="EV56" i="734"/>
  <c r="DJ29" i="734"/>
  <c r="EV36" i="734"/>
  <c r="DG29" i="734"/>
  <c r="DB42" i="734"/>
  <c r="DM13" i="734"/>
  <c r="DB22" i="734"/>
  <c r="DG42" i="734"/>
  <c r="DK16" i="734"/>
  <c r="DJ38" i="734"/>
  <c r="DG12" i="734"/>
  <c r="DF22" i="734"/>
  <c r="DK59" i="734"/>
  <c r="DJ22" i="734"/>
  <c r="DK31" i="734"/>
  <c r="DS18" i="734"/>
  <c r="DU45" i="734"/>
  <c r="DO69" i="734"/>
  <c r="DG27" i="734"/>
  <c r="BO36" i="734"/>
  <c r="CW67" i="734"/>
  <c r="DP21" i="734"/>
  <c r="BG37" i="734"/>
  <c r="BO48" i="734"/>
  <c r="DS32" i="734"/>
  <c r="CW16" i="734"/>
  <c r="DU63" i="734"/>
  <c r="DP25" i="734"/>
  <c r="DL43" i="734"/>
  <c r="BG49" i="734"/>
  <c r="BO33" i="734"/>
  <c r="DS17" i="734"/>
  <c r="CW60" i="734"/>
  <c r="DU44" i="734"/>
  <c r="DP49" i="734"/>
  <c r="DP43" i="734"/>
  <c r="FA62" i="734"/>
  <c r="FA14" i="734"/>
  <c r="FC37" i="734"/>
  <c r="DI62" i="734"/>
  <c r="DJ36" i="734"/>
  <c r="DL62" i="734"/>
  <c r="DJ32" i="734"/>
  <c r="DL42" i="734"/>
  <c r="DG16" i="734"/>
  <c r="DF42" i="734"/>
  <c r="DI12" i="734"/>
  <c r="BO39" i="734"/>
  <c r="DU66" i="734"/>
  <c r="DP48" i="734"/>
  <c r="DL55" i="734"/>
  <c r="BO57" i="734"/>
  <c r="CW25" i="734"/>
  <c r="DP61" i="734"/>
  <c r="BG58" i="734"/>
  <c r="BO37" i="734"/>
  <c r="DS21" i="734"/>
  <c r="DM30" i="734"/>
  <c r="DL10" i="734"/>
  <c r="DG18" i="734"/>
  <c r="DM57" i="734"/>
  <c r="DM24" i="734"/>
  <c r="EZ66" i="734"/>
  <c r="DP69" i="734"/>
  <c r="DJ33" i="734"/>
  <c r="DJ17" i="734"/>
  <c r="FE54" i="734"/>
  <c r="DF51" i="734"/>
  <c r="DG52" i="734"/>
  <c r="DK65" i="734"/>
  <c r="DG45" i="734"/>
  <c r="DS69" i="734"/>
  <c r="DS30" i="734"/>
  <c r="BO47" i="734"/>
  <c r="DO52" i="734"/>
  <c r="DS12" i="734"/>
  <c r="DO11" i="734"/>
  <c r="DL26" i="734"/>
  <c r="DI65" i="734"/>
  <c r="DS29" i="734"/>
  <c r="BO51" i="734"/>
  <c r="BO32" i="734"/>
  <c r="DU48" i="734"/>
  <c r="DO43" i="734"/>
  <c r="BO22" i="734"/>
  <c r="CW49" i="734"/>
  <c r="DP14" i="734"/>
  <c r="DO39" i="734"/>
  <c r="FC45" i="734"/>
  <c r="DB59" i="734"/>
  <c r="DO21" i="734"/>
  <c r="DP34" i="734"/>
  <c r="CW37" i="734"/>
  <c r="DF11" i="734"/>
  <c r="DU65" i="734"/>
  <c r="FC50" i="734"/>
  <c r="FC29" i="734"/>
  <c r="EZ48" i="734"/>
  <c r="EZ54" i="734"/>
  <c r="FF10" i="734"/>
  <c r="FC33" i="734"/>
  <c r="FG52" i="734"/>
  <c r="EZ16" i="734"/>
  <c r="FE43" i="734"/>
  <c r="AA54" i="734"/>
  <c r="L38" i="734"/>
  <c r="FE30" i="734"/>
  <c r="FE13" i="734"/>
  <c r="EZ69" i="734"/>
  <c r="FF23" i="734"/>
  <c r="L62" i="734"/>
  <c r="DR34" i="734"/>
  <c r="DQ24" i="734"/>
  <c r="S29" i="734"/>
  <c r="AY13" i="734"/>
  <c r="CQ61" i="734"/>
  <c r="CR55" i="734"/>
  <c r="CC45" i="734"/>
  <c r="FF34" i="734"/>
  <c r="EZ17" i="734"/>
  <c r="FF12" i="734"/>
  <c r="FE23" i="734"/>
  <c r="AA19" i="734"/>
  <c r="DQ42" i="734"/>
  <c r="DR32" i="734"/>
  <c r="S41" i="734"/>
  <c r="AY25" i="734"/>
  <c r="CR10" i="734"/>
  <c r="CQ63" i="734"/>
  <c r="CC53" i="734"/>
  <c r="CC47" i="734"/>
  <c r="BY42" i="734"/>
  <c r="BZ65" i="734"/>
  <c r="BS29" i="734"/>
  <c r="EZ26" i="734"/>
  <c r="DK63" i="734"/>
  <c r="DK19" i="734"/>
  <c r="DI51" i="734"/>
  <c r="BG50" i="734"/>
  <c r="DM20" i="734"/>
  <c r="BG46" i="734"/>
  <c r="EV45" i="734"/>
  <c r="EV31" i="734"/>
  <c r="BO66" i="734"/>
  <c r="BG25" i="734"/>
  <c r="DB40" i="734"/>
  <c r="DG62" i="734"/>
  <c r="DI39" i="734"/>
  <c r="EV22" i="734"/>
  <c r="DU39" i="734"/>
  <c r="DU57" i="734"/>
  <c r="DS31" i="734"/>
  <c r="DL27" i="734"/>
  <c r="CW59" i="734"/>
  <c r="FD46" i="734"/>
  <c r="DL63" i="734"/>
  <c r="DM43" i="734"/>
  <c r="DU56" i="734"/>
  <c r="CW19" i="734"/>
  <c r="DS16" i="734"/>
  <c r="DU47" i="734"/>
  <c r="DL35" i="734"/>
  <c r="BO17" i="734"/>
  <c r="CW44" i="734"/>
  <c r="DO41" i="734"/>
  <c r="FE58" i="734"/>
  <c r="FE33" i="734"/>
  <c r="DL45" i="734"/>
  <c r="DO15" i="734"/>
  <c r="DO24" i="734"/>
  <c r="CW31" i="734"/>
  <c r="BG60" i="734"/>
  <c r="DU59" i="734"/>
  <c r="FF26" i="734"/>
  <c r="FC17" i="734"/>
  <c r="FF40" i="734"/>
  <c r="FE38" i="734"/>
  <c r="FD57" i="734"/>
  <c r="FF21" i="734"/>
  <c r="FE44" i="734"/>
  <c r="FG69" i="734"/>
  <c r="EZ35" i="734"/>
  <c r="AA49" i="734"/>
  <c r="L33" i="734"/>
  <c r="FC10" i="734"/>
  <c r="FE56" i="734"/>
  <c r="FG59" i="734"/>
  <c r="EZ11" i="734"/>
  <c r="L37" i="734"/>
  <c r="DR61" i="734"/>
  <c r="DR55" i="734"/>
  <c r="S24" i="734"/>
  <c r="AY69" i="734"/>
  <c r="CQ29" i="734"/>
  <c r="CQ23" i="734"/>
  <c r="CC13" i="734"/>
  <c r="FC14" i="734"/>
  <c r="FA60" i="734"/>
  <c r="FF63" i="734"/>
  <c r="FG11" i="734"/>
  <c r="L53" i="734"/>
  <c r="DR10" i="734"/>
  <c r="DQ63" i="734"/>
  <c r="S36" i="734"/>
  <c r="AY20" i="734"/>
  <c r="CQ37" i="734"/>
  <c r="CR31" i="734"/>
  <c r="CC21" i="734"/>
  <c r="CB15" i="734"/>
  <c r="BZ34" i="734"/>
  <c r="BY57" i="734"/>
  <c r="BV17" i="734"/>
  <c r="FG10" i="734"/>
  <c r="EZ52" i="734"/>
  <c r="FC69" i="734"/>
  <c r="L66" i="734"/>
  <c r="DR28" i="734"/>
  <c r="AY17" i="734"/>
  <c r="CQ59" i="734"/>
  <c r="CC55" i="734"/>
  <c r="BY34" i="734"/>
  <c r="BV41" i="734"/>
  <c r="BY56" i="734"/>
  <c r="FE63" i="734"/>
  <c r="DI28" i="734"/>
  <c r="DG25" i="734"/>
  <c r="CW66" i="734"/>
  <c r="FF58" i="734"/>
  <c r="DS25" i="734"/>
  <c r="DP47" i="734"/>
  <c r="BO15" i="734"/>
  <c r="DU42" i="734"/>
  <c r="DO36" i="734"/>
  <c r="BG12" i="734"/>
  <c r="DS43" i="734"/>
  <c r="DU11" i="734"/>
  <c r="FE62" i="734"/>
  <c r="FG61" i="734"/>
  <c r="FE64" i="734"/>
  <c r="FG28" i="734"/>
  <c r="FE26" i="734"/>
  <c r="FF49" i="734"/>
  <c r="FE68" i="734"/>
  <c r="FF32" i="734"/>
  <c r="FA59" i="734"/>
  <c r="FD23" i="734"/>
  <c r="AA28" i="734"/>
  <c r="L12" i="734"/>
  <c r="EZ45" i="734"/>
  <c r="FD32" i="734"/>
  <c r="FG43" i="734"/>
  <c r="AA29" i="734"/>
  <c r="L55" i="734"/>
  <c r="DR21" i="734"/>
  <c r="DQ15" i="734"/>
  <c r="AY66" i="734"/>
  <c r="CQ58" i="734"/>
  <c r="CR48" i="734"/>
  <c r="CB42" i="734"/>
  <c r="CC32" i="734"/>
  <c r="FD49" i="734"/>
  <c r="FD36" i="734"/>
  <c r="DF30" i="734"/>
  <c r="DF10" i="734"/>
  <c r="DF18" i="734"/>
  <c r="DK61" i="734"/>
  <c r="DI44" i="734"/>
  <c r="DS55" i="734"/>
  <c r="DS14" i="734"/>
  <c r="DK37" i="734"/>
  <c r="DM17" i="734"/>
  <c r="CW34" i="734"/>
  <c r="DS52" i="734"/>
  <c r="DF52" i="734"/>
  <c r="DI32" i="734"/>
  <c r="DF61" i="734"/>
  <c r="DF41" i="734"/>
  <c r="FA66" i="734"/>
  <c r="DO16" i="734"/>
  <c r="CW15" i="734"/>
  <c r="BG44" i="734"/>
  <c r="DU43" i="734"/>
  <c r="FE65" i="734"/>
  <c r="DK22" i="734"/>
  <c r="DL65" i="734"/>
  <c r="DO47" i="734"/>
  <c r="DP56" i="734"/>
  <c r="CW64" i="734"/>
  <c r="DO49" i="734"/>
  <c r="BG38" i="734"/>
  <c r="DS65" i="734"/>
  <c r="DU33" i="734"/>
  <c r="DO67" i="734"/>
  <c r="FF22" i="734"/>
  <c r="DB14" i="734"/>
  <c r="BO40" i="734"/>
  <c r="BO62" i="734"/>
  <c r="BO10" i="734"/>
  <c r="DO65" i="734"/>
  <c r="DS38" i="734"/>
  <c r="DO20" i="734"/>
  <c r="FF65" i="734"/>
  <c r="FC64" i="734"/>
  <c r="FA28" i="734"/>
  <c r="FG26" i="734"/>
  <c r="EZ49" i="734"/>
  <c r="EZ13" i="734"/>
  <c r="FC36" i="734"/>
  <c r="FA63" i="734"/>
  <c r="EZ27" i="734"/>
  <c r="AA44" i="734"/>
  <c r="L28" i="734"/>
  <c r="FD53" i="734"/>
  <c r="FG36" i="734"/>
  <c r="FE47" i="734"/>
  <c r="AA53" i="734"/>
  <c r="L69" i="734"/>
  <c r="DQ29" i="734"/>
  <c r="DQ23" i="734"/>
  <c r="S23" i="734"/>
  <c r="CQ66" i="734"/>
  <c r="CQ56" i="734"/>
  <c r="CC50" i="734"/>
  <c r="CC40" i="734"/>
  <c r="FG57" i="734"/>
  <c r="FG40" i="734"/>
  <c r="FC51" i="734"/>
  <c r="AA10" i="734"/>
  <c r="L24" i="734"/>
  <c r="DQ37" i="734"/>
  <c r="DQ31" i="734"/>
  <c r="S35" i="734"/>
  <c r="AY19" i="734"/>
  <c r="CR64" i="734"/>
  <c r="CB58" i="734"/>
  <c r="CB48" i="734"/>
  <c r="BX62" i="734"/>
  <c r="BV22" i="734"/>
  <c r="BV45" i="734"/>
  <c r="BX68" i="734"/>
  <c r="FA49" i="734"/>
  <c r="EZ36" i="734"/>
  <c r="FF47" i="734"/>
  <c r="L16" i="734"/>
  <c r="DR27" i="734"/>
  <c r="AY11" i="734"/>
  <c r="CB54" i="734"/>
  <c r="CC11" i="734"/>
  <c r="BT22" i="734"/>
  <c r="BT29" i="734"/>
  <c r="FG58" i="734"/>
  <c r="DK62" i="734"/>
  <c r="DI42" i="734"/>
  <c r="DL12" i="734"/>
  <c r="DU50" i="734"/>
  <c r="DL47" i="734"/>
  <c r="CW68" i="734"/>
  <c r="BG42" i="734"/>
  <c r="DS64" i="734"/>
  <c r="DU32" i="734"/>
  <c r="DI59" i="734"/>
  <c r="BO65" i="734"/>
  <c r="CW33" i="734"/>
  <c r="DP65" i="734"/>
  <c r="DP23" i="734"/>
  <c r="FE41" i="734"/>
  <c r="FA56" i="734"/>
  <c r="FE66" i="734"/>
  <c r="FG14" i="734"/>
  <c r="FF37" i="734"/>
  <c r="FE60" i="734"/>
  <c r="FD24" i="734"/>
  <c r="FE51" i="734"/>
  <c r="FF15" i="734"/>
  <c r="AA27" i="734"/>
  <c r="FG46" i="734"/>
  <c r="FF29" i="734"/>
  <c r="FF16" i="734"/>
  <c r="FF31" i="734"/>
  <c r="AA67" i="734"/>
  <c r="DQ58" i="734"/>
  <c r="DR48" i="734"/>
  <c r="S18" i="734"/>
  <c r="AY61" i="734"/>
  <c r="CQ26" i="734"/>
  <c r="CR16" i="734"/>
  <c r="CB10" i="734"/>
  <c r="FF54" i="734"/>
  <c r="FF33" i="734"/>
  <c r="DI47" i="734"/>
  <c r="DU23" i="734"/>
  <c r="DO34" i="734"/>
  <c r="EV42" i="734"/>
  <c r="DO62" i="734"/>
  <c r="DF59" i="734"/>
  <c r="CW63" i="734"/>
  <c r="DU28" i="734"/>
  <c r="DS24" i="734"/>
  <c r="DS28" i="734"/>
  <c r="DO19" i="734"/>
  <c r="EZ28" i="734"/>
  <c r="FC54" i="734"/>
  <c r="AA24" i="734"/>
  <c r="AY18" i="734"/>
  <c r="FG66" i="734"/>
  <c r="AA40" i="734"/>
  <c r="AY30" i="734"/>
  <c r="CB16" i="734"/>
  <c r="FD50" i="734"/>
  <c r="EZ44" i="734"/>
  <c r="DR33" i="734"/>
  <c r="CQ60" i="734"/>
  <c r="BV46" i="734"/>
  <c r="BV64" i="734"/>
  <c r="DG58" i="734"/>
  <c r="BO23" i="734"/>
  <c r="BO41" i="734"/>
  <c r="BO21" i="734"/>
  <c r="DP41" i="734"/>
  <c r="DS49" i="734"/>
  <c r="DP59" i="734"/>
  <c r="FD13" i="734"/>
  <c r="EZ38" i="734"/>
  <c r="EZ21" i="734"/>
  <c r="EZ67" i="734"/>
  <c r="AA33" i="734"/>
  <c r="EZ65" i="734"/>
  <c r="FE55" i="734"/>
  <c r="L13" i="734"/>
  <c r="DR47" i="734"/>
  <c r="AY55" i="734"/>
  <c r="CR15" i="734"/>
  <c r="FD10" i="734"/>
  <c r="FA69" i="734"/>
  <c r="FC23" i="734"/>
  <c r="L58" i="734"/>
  <c r="DQ34" i="734"/>
  <c r="DR24" i="734"/>
  <c r="S25" i="734"/>
  <c r="AY68" i="734"/>
  <c r="CR61" i="734"/>
  <c r="CQ55" i="734"/>
  <c r="CB45" i="734"/>
  <c r="CB39" i="734"/>
  <c r="BZ38" i="734"/>
  <c r="BZ61" i="734"/>
  <c r="BS25" i="734"/>
  <c r="EZ22" i="734"/>
  <c r="FD68" i="734"/>
  <c r="FE28" i="734"/>
  <c r="AA13" i="734"/>
  <c r="DQ17" i="734"/>
  <c r="AY54" i="734"/>
  <c r="CQ44" i="734"/>
  <c r="CB28" i="734"/>
  <c r="BZ42" i="734"/>
  <c r="BY53" i="734"/>
  <c r="BZ64" i="734"/>
  <c r="FG20" i="734"/>
  <c r="DG22" i="734"/>
  <c r="DM22" i="734"/>
  <c r="DS34" i="734"/>
  <c r="DP16" i="734"/>
  <c r="BO52" i="734"/>
  <c r="DP29" i="734"/>
  <c r="BO64" i="734"/>
  <c r="CW32" i="734"/>
  <c r="DP33" i="734"/>
  <c r="DK45" i="734"/>
  <c r="DL19" i="734"/>
  <c r="DU31" i="734"/>
  <c r="DS27" i="734"/>
  <c r="EZ62" i="734"/>
  <c r="FC60" i="734"/>
  <c r="FA22" i="734"/>
  <c r="FF68" i="734"/>
  <c r="FF59" i="734"/>
  <c r="AA12" i="734"/>
  <c r="FF41" i="734"/>
  <c r="FA39" i="734"/>
  <c r="L39" i="734"/>
  <c r="S66" i="734"/>
  <c r="EV12" i="734"/>
  <c r="DP58" i="734"/>
  <c r="DG11" i="734"/>
  <c r="DU22" i="734"/>
  <c r="FD26" i="734"/>
  <c r="FD40" i="734"/>
  <c r="FD61" i="734"/>
  <c r="FC48" i="734"/>
  <c r="FA35" i="734"/>
  <c r="L49" i="734"/>
  <c r="FG60" i="734"/>
  <c r="EZ15" i="734"/>
  <c r="DQ10" i="734"/>
  <c r="S40" i="734"/>
  <c r="CR37" i="734"/>
  <c r="CB21" i="734"/>
  <c r="FF64" i="734"/>
  <c r="FG15" i="734"/>
  <c r="DQ18" i="734"/>
  <c r="S52" i="734"/>
  <c r="CQ45" i="734"/>
  <c r="CB29" i="734"/>
  <c r="BX34" i="734"/>
  <c r="BZ21" i="734"/>
  <c r="EZ56" i="734"/>
  <c r="AA51" i="734"/>
  <c r="AY49" i="734"/>
  <c r="CB67" i="734"/>
  <c r="BW45" i="734"/>
  <c r="FE69" i="734"/>
  <c r="L25" i="734"/>
  <c r="DR51" i="734"/>
  <c r="AY63" i="734"/>
  <c r="CR19" i="734"/>
  <c r="FE52" i="734"/>
  <c r="AA18" i="734"/>
  <c r="DQ41" i="734"/>
  <c r="S43" i="734"/>
  <c r="CQ68" i="734"/>
  <c r="CB52" i="734"/>
  <c r="BY46" i="734"/>
  <c r="BX57" i="734"/>
  <c r="L45" i="734"/>
  <c r="CC67" i="734"/>
  <c r="BT45" i="734"/>
  <c r="BS44" i="734"/>
  <c r="BT69" i="734"/>
  <c r="BZ35" i="734"/>
  <c r="AI45" i="734"/>
  <c r="AQ29" i="734"/>
  <c r="CH13" i="734"/>
  <c r="CM56" i="734"/>
  <c r="BT59" i="734"/>
  <c r="AQ27" i="734"/>
  <c r="FF55" i="734"/>
  <c r="CR11" i="734"/>
  <c r="BV10" i="734"/>
  <c r="BZ56" i="734"/>
  <c r="BW16" i="734"/>
  <c r="BX43" i="734"/>
  <c r="AI46" i="734"/>
  <c r="AQ30" i="734"/>
  <c r="CH14" i="734"/>
  <c r="CM57" i="734"/>
  <c r="DG61" i="734"/>
  <c r="DO48" i="734"/>
  <c r="BG65" i="734"/>
  <c r="DU60" i="734"/>
  <c r="FF18" i="734"/>
  <c r="FE32" i="734"/>
  <c r="FE53" i="734"/>
  <c r="FE40" i="734"/>
  <c r="FC31" i="734"/>
  <c r="L60" i="734"/>
  <c r="FG48" i="734"/>
  <c r="AA34" i="734"/>
  <c r="DR45" i="734"/>
  <c r="S55" i="734"/>
  <c r="CR13" i="734"/>
  <c r="CC56" i="734"/>
  <c r="FD52" i="734"/>
  <c r="AA50" i="734"/>
  <c r="DQ53" i="734"/>
  <c r="S67" i="734"/>
  <c r="CQ21" i="734"/>
  <c r="CC64" i="734"/>
  <c r="BZ30" i="734"/>
  <c r="BW13" i="734"/>
  <c r="FA44" i="734"/>
  <c r="L41" i="734"/>
  <c r="AY12" i="734"/>
  <c r="CB35" i="734"/>
  <c r="BS37" i="734"/>
  <c r="FG51" i="734"/>
  <c r="L40" i="734"/>
  <c r="DQ35" i="734"/>
  <c r="AY31" i="734"/>
  <c r="CC62" i="734"/>
  <c r="FF36" i="734"/>
  <c r="AA37" i="734"/>
  <c r="DR25" i="734"/>
  <c r="S11" i="734"/>
  <c r="CR52" i="734"/>
  <c r="CB36" i="734"/>
  <c r="BW42" i="734"/>
  <c r="BW53" i="734"/>
  <c r="L15" i="734"/>
  <c r="CB47" i="734"/>
  <c r="BW41" i="734"/>
  <c r="BS40" i="734"/>
  <c r="BY67" i="734"/>
  <c r="BW31" i="734"/>
  <c r="AI29" i="734"/>
  <c r="AQ13" i="734"/>
  <c r="CH56" i="734"/>
  <c r="CM40" i="734"/>
  <c r="BY39" i="734"/>
  <c r="CH38" i="734"/>
  <c r="FE31" i="734"/>
  <c r="CC65" i="734"/>
  <c r="BY65" i="734"/>
  <c r="BY52" i="734"/>
  <c r="BT12" i="734"/>
  <c r="BT39" i="734"/>
  <c r="AI30" i="734"/>
  <c r="AQ14" i="734"/>
  <c r="CH57" i="734"/>
  <c r="CM41" i="734"/>
  <c r="DP67" i="734"/>
  <c r="FA10" i="734"/>
  <c r="FE21" i="734"/>
  <c r="AY23" i="734"/>
  <c r="FA61" i="734"/>
  <c r="L48" i="734"/>
  <c r="AY35" i="734"/>
  <c r="BZ62" i="734"/>
  <c r="FG53" i="734"/>
  <c r="DQ43" i="734"/>
  <c r="DG48" i="734"/>
  <c r="FE10" i="734"/>
  <c r="FG27" i="734"/>
  <c r="DR37" i="734"/>
  <c r="CB34" i="734"/>
  <c r="FC43" i="734"/>
  <c r="DR15" i="734"/>
  <c r="CC42" i="734"/>
  <c r="BZ41" i="734"/>
  <c r="FF35" i="734"/>
  <c r="CB22" i="734"/>
  <c r="FD14" i="734"/>
  <c r="DR68" i="734"/>
  <c r="CQ36" i="734"/>
  <c r="FG31" i="734"/>
  <c r="S22" i="734"/>
  <c r="CC14" i="734"/>
  <c r="BX14" i="734"/>
  <c r="CQ28" i="734"/>
  <c r="BS56" i="734"/>
  <c r="BX47" i="734"/>
  <c r="AQ50" i="734"/>
  <c r="CM18" i="734"/>
  <c r="AQ54" i="734"/>
  <c r="DK55" i="734"/>
  <c r="DU41" i="734"/>
  <c r="DU20" i="734"/>
  <c r="BG13" i="734"/>
  <c r="BO28" i="734"/>
  <c r="DL15" i="734"/>
  <c r="DP17" i="734"/>
  <c r="DP35" i="734"/>
  <c r="DS46" i="734"/>
  <c r="DP19" i="734"/>
  <c r="FD18" i="734"/>
  <c r="FD51" i="734"/>
  <c r="FG33" i="734"/>
  <c r="DQ66" i="734"/>
  <c r="CQ34" i="734"/>
  <c r="FE37" i="734"/>
  <c r="L19" i="734"/>
  <c r="CQ42" i="734"/>
  <c r="BS50" i="734"/>
  <c r="FD29" i="734"/>
  <c r="FG23" i="734"/>
  <c r="S33" i="734"/>
  <c r="CC49" i="734"/>
  <c r="BZ10" i="734"/>
  <c r="EZ33" i="734"/>
  <c r="DM12" i="734"/>
  <c r="DO50" i="734"/>
  <c r="DU52" i="734"/>
  <c r="CW58" i="734"/>
  <c r="DJ19" i="734"/>
  <c r="CW27" i="734"/>
  <c r="FF38" i="734"/>
  <c r="FD44" i="734"/>
  <c r="FD65" i="734"/>
  <c r="FC52" i="734"/>
  <c r="FD43" i="734"/>
  <c r="L22" i="734"/>
  <c r="EZ68" i="734"/>
  <c r="FE19" i="734"/>
  <c r="DQ26" i="734"/>
  <c r="S13" i="734"/>
  <c r="CR53" i="734"/>
  <c r="CB37" i="734"/>
  <c r="FC13" i="734"/>
  <c r="FC59" i="734"/>
  <c r="FF11" i="734"/>
  <c r="L29" i="734"/>
  <c r="DQ61" i="734"/>
  <c r="DQ55" i="734"/>
  <c r="S20" i="734"/>
  <c r="AY67" i="734"/>
  <c r="CR29" i="734"/>
  <c r="CR23" i="734"/>
  <c r="CB13" i="734"/>
  <c r="BS66" i="734"/>
  <c r="BW30" i="734"/>
  <c r="BS53" i="734"/>
  <c r="BS17" i="734"/>
  <c r="FF61" i="734"/>
  <c r="FD48" i="734"/>
  <c r="FC67" i="734"/>
  <c r="L26" i="734"/>
  <c r="DR12" i="734"/>
  <c r="AY44" i="734"/>
  <c r="CQ43" i="734"/>
  <c r="CB43" i="734"/>
  <c r="BY30" i="734"/>
  <c r="BY41" i="734"/>
  <c r="BS52" i="734"/>
  <c r="FE59" i="734"/>
  <c r="DF55" i="734"/>
  <c r="DI68" i="734"/>
  <c r="CW18" i="734"/>
  <c r="FG50" i="734"/>
  <c r="DS36" i="734"/>
  <c r="DG43" i="734"/>
  <c r="DS58" i="734"/>
  <c r="DU26" i="734"/>
  <c r="DP28" i="734"/>
  <c r="DI29" i="734"/>
  <c r="DU62" i="734"/>
  <c r="DM31" i="734"/>
  <c r="CW11" i="734"/>
  <c r="FA38" i="734"/>
  <c r="FC44" i="734"/>
  <c r="FC65" i="734"/>
  <c r="FE48" i="734"/>
  <c r="FG39" i="734"/>
  <c r="L65" i="734"/>
  <c r="EZ64" i="734"/>
  <c r="FC15" i="734"/>
  <c r="DR18" i="734"/>
  <c r="S56" i="734"/>
  <c r="BO29" i="734"/>
  <c r="BO26" i="734"/>
  <c r="BG11" i="734"/>
  <c r="DP38" i="734"/>
  <c r="FG49" i="734"/>
  <c r="DO35" i="734"/>
  <c r="FD41" i="734"/>
  <c r="FD28" i="734"/>
  <c r="FA19" i="734"/>
  <c r="FC66" i="734"/>
  <c r="EZ24" i="734"/>
  <c r="AA48" i="734"/>
  <c r="DQ64" i="734"/>
  <c r="AY34" i="734"/>
  <c r="CQ32" i="734"/>
  <c r="DO27" i="734"/>
  <c r="FC28" i="734"/>
  <c r="AA64" i="734"/>
  <c r="DR13" i="734"/>
  <c r="AY46" i="734"/>
  <c r="CR40" i="734"/>
  <c r="CB24" i="734"/>
  <c r="BV18" i="734"/>
  <c r="FF62" i="734"/>
  <c r="EZ18" i="734"/>
  <c r="DQ54" i="734"/>
  <c r="CQ22" i="734"/>
  <c r="BY58" i="734"/>
  <c r="BV21" i="734"/>
  <c r="FE35" i="734"/>
  <c r="DQ62" i="734"/>
  <c r="S26" i="734"/>
  <c r="CQ30" i="734"/>
  <c r="CB14" i="734"/>
  <c r="EZ12" i="734"/>
  <c r="AA31" i="734"/>
  <c r="DR36" i="734"/>
  <c r="AY33" i="734"/>
  <c r="CQ67" i="734"/>
  <c r="CB59" i="734"/>
  <c r="BV34" i="734"/>
  <c r="BY45" i="734"/>
  <c r="DR59" i="734"/>
  <c r="BW62" i="734"/>
  <c r="BV25" i="734"/>
  <c r="BX36" i="734"/>
  <c r="BZ63" i="734"/>
  <c r="BY23" i="734"/>
  <c r="AI40" i="734"/>
  <c r="AQ24" i="734"/>
  <c r="CH69" i="734"/>
  <c r="CM55" i="734"/>
  <c r="BZ19" i="734"/>
  <c r="CH44" i="734"/>
  <c r="L64" i="734"/>
  <c r="CB63" i="734"/>
  <c r="BZ45" i="734"/>
  <c r="BW44" i="734"/>
  <c r="BZ69" i="734"/>
  <c r="BY35" i="734"/>
  <c r="AI41" i="734"/>
  <c r="AQ25" i="734"/>
  <c r="CH68" i="734"/>
  <c r="CM52" i="734"/>
  <c r="DS13" i="734"/>
  <c r="BO16" i="734"/>
  <c r="BO49" i="734"/>
  <c r="DP57" i="734"/>
  <c r="FD37" i="734"/>
  <c r="FC62" i="734"/>
  <c r="FA37" i="734"/>
  <c r="FF20" i="734"/>
  <c r="FE11" i="734"/>
  <c r="FD42" i="734"/>
  <c r="FG16" i="734"/>
  <c r="AA47" i="734"/>
  <c r="DQ40" i="734"/>
  <c r="AY45" i="734"/>
  <c r="CQ69" i="734"/>
  <c r="FC46" i="734"/>
  <c r="FD16" i="734"/>
  <c r="AA63" i="734"/>
  <c r="DQ48" i="734"/>
  <c r="AY57" i="734"/>
  <c r="CQ16" i="734"/>
  <c r="CC63" i="734"/>
  <c r="BW10" i="734"/>
  <c r="FC38" i="734"/>
  <c r="FC21" i="734"/>
  <c r="DQ65" i="734"/>
  <c r="CR33" i="734"/>
  <c r="BW50" i="734"/>
  <c r="BS13" i="734"/>
  <c r="FD27" i="734"/>
  <c r="DR46" i="734"/>
  <c r="S53" i="734"/>
  <c r="CR14" i="734"/>
  <c r="CC57" i="734"/>
  <c r="FF69" i="734"/>
  <c r="L46" i="734"/>
  <c r="DR20" i="734"/>
  <c r="AY60" i="734"/>
  <c r="CR51" i="734"/>
  <c r="CB51" i="734"/>
  <c r="BX30" i="734"/>
  <c r="BT41" i="734"/>
  <c r="S42" i="734"/>
  <c r="BS54" i="734"/>
  <c r="BW21" i="734"/>
  <c r="BZ32" i="734"/>
  <c r="BY59" i="734"/>
  <c r="BV23" i="734"/>
  <c r="AI24" i="734"/>
  <c r="AQ69" i="734"/>
  <c r="CH55" i="734"/>
  <c r="CM39" i="734"/>
  <c r="BT15" i="734"/>
  <c r="CH59" i="734"/>
  <c r="DR54" i="734"/>
  <c r="CC43" i="734"/>
  <c r="BV37" i="734"/>
  <c r="BY40" i="734"/>
  <c r="BT67" i="734"/>
  <c r="BV31" i="734"/>
  <c r="AI25" i="734"/>
  <c r="AQ68" i="734"/>
  <c r="CH52" i="734"/>
  <c r="CM36" i="734"/>
  <c r="CW28" i="734"/>
  <c r="FF56" i="734"/>
  <c r="FC27" i="734"/>
  <c r="CQ64" i="734"/>
  <c r="FF44" i="734"/>
  <c r="DQ45" i="734"/>
  <c r="CQ13" i="734"/>
  <c r="BY26" i="734"/>
  <c r="FC40" i="734"/>
  <c r="AY43" i="734"/>
  <c r="DK23" i="734"/>
  <c r="EZ32" i="734"/>
  <c r="L44" i="734"/>
  <c r="S39" i="734"/>
  <c r="CC24" i="734"/>
  <c r="AA25" i="734"/>
  <c r="AY62" i="734"/>
  <c r="CB32" i="734"/>
  <c r="DP15" i="734"/>
  <c r="L11" i="734"/>
  <c r="BV62" i="734"/>
  <c r="FF39" i="734"/>
  <c r="S58" i="734"/>
  <c r="CB30" i="734"/>
  <c r="AA69" i="734"/>
  <c r="DK35" i="734"/>
  <c r="EV25" i="734"/>
  <c r="DB20" i="734"/>
  <c r="BG62" i="734"/>
  <c r="DO17" i="734"/>
  <c r="DM19" i="734"/>
  <c r="BG33" i="734"/>
  <c r="EZ10" i="734"/>
  <c r="BO63" i="734"/>
  <c r="FE49" i="734"/>
  <c r="FA41" i="734"/>
  <c r="FE15" i="734"/>
  <c r="FD20" i="734"/>
  <c r="DR56" i="734"/>
  <c r="CQ24" i="734"/>
  <c r="FC24" i="734"/>
  <c r="DR64" i="734"/>
  <c r="CR32" i="734"/>
  <c r="BY14" i="734"/>
  <c r="FF13" i="734"/>
  <c r="AA57" i="734"/>
  <c r="S27" i="734"/>
  <c r="CB44" i="734"/>
  <c r="BZ53" i="734"/>
  <c r="FE24" i="734"/>
  <c r="DI38" i="734"/>
  <c r="DO40" i="734"/>
  <c r="DP53" i="734"/>
  <c r="CW48" i="734"/>
  <c r="BG22" i="734"/>
  <c r="DU17" i="734"/>
  <c r="FA18" i="734"/>
  <c r="FE36" i="734"/>
  <c r="FA57" i="734"/>
  <c r="FG44" i="734"/>
  <c r="FD31" i="734"/>
  <c r="L17" i="734"/>
  <c r="FA52" i="734"/>
  <c r="AA58" i="734"/>
  <c r="DR53" i="734"/>
  <c r="S69" i="734"/>
  <c r="CR21" i="734"/>
  <c r="CB64" i="734"/>
  <c r="FC56" i="734"/>
  <c r="EZ47" i="734"/>
  <c r="AA45" i="734"/>
  <c r="L67" i="734"/>
  <c r="DR29" i="734"/>
  <c r="DR23" i="734"/>
  <c r="S19" i="734"/>
  <c r="CR66" i="734"/>
  <c r="CR56" i="734"/>
  <c r="CB50" i="734"/>
  <c r="CB40" i="734"/>
  <c r="BZ58" i="734"/>
  <c r="BW22" i="734"/>
  <c r="BX45" i="734"/>
  <c r="BT68" i="734"/>
  <c r="FD45" i="734"/>
  <c r="DP11" i="734"/>
  <c r="EZ43" i="734"/>
  <c r="L43" i="734"/>
  <c r="DR11" i="734"/>
  <c r="CQ54" i="734"/>
  <c r="CB38" i="734"/>
  <c r="BV66" i="734"/>
  <c r="BW18" i="734"/>
  <c r="BX29" i="734"/>
  <c r="FD30" i="734"/>
  <c r="DG26" i="734"/>
  <c r="DG65" i="734"/>
  <c r="DJ35" i="734"/>
  <c r="DU61" i="734"/>
  <c r="DJ31" i="734"/>
  <c r="CW20" i="734"/>
  <c r="BG53" i="734"/>
  <c r="DS48" i="734"/>
  <c r="DU16" i="734"/>
  <c r="DM51" i="734"/>
  <c r="DK11" i="734"/>
  <c r="BG48" i="734"/>
  <c r="BG59" i="734"/>
  <c r="DP62" i="734"/>
  <c r="EZ57" i="734"/>
  <c r="FF24" i="734"/>
  <c r="FE45" i="734"/>
  <c r="FC32" i="734"/>
  <c r="FC19" i="734"/>
  <c r="DP31" i="734"/>
  <c r="FF28" i="734"/>
  <c r="AA68" i="734"/>
  <c r="DQ13" i="734"/>
  <c r="AY50" i="734"/>
  <c r="DP45" i="734"/>
  <c r="CW53" i="734"/>
  <c r="DS54" i="734"/>
  <c r="DO28" i="734"/>
  <c r="FA21" i="734"/>
  <c r="FE42" i="734"/>
  <c r="FD25" i="734"/>
  <c r="FC12" i="734"/>
  <c r="AA65" i="734"/>
  <c r="FF14" i="734"/>
  <c r="FC63" i="734"/>
  <c r="L57" i="734"/>
  <c r="DR63" i="734"/>
  <c r="AY24" i="734"/>
  <c r="CQ31" i="734"/>
  <c r="FC18" i="734"/>
  <c r="FG63" i="734"/>
  <c r="L14" i="734"/>
  <c r="DR69" i="734"/>
  <c r="AY36" i="734"/>
  <c r="CQ39" i="734"/>
  <c r="CB23" i="734"/>
  <c r="BT57" i="734"/>
  <c r="EZ14" i="734"/>
  <c r="FA16" i="734"/>
  <c r="DQ44" i="734"/>
  <c r="CR12" i="734"/>
  <c r="BW34" i="734"/>
  <c r="BT60" i="734"/>
  <c r="AA66" i="734"/>
  <c r="DQ57" i="734"/>
  <c r="S16" i="734"/>
  <c r="CQ25" i="734"/>
  <c r="CB68" i="734"/>
  <c r="FF51" i="734"/>
  <c r="L36" i="734"/>
  <c r="DR35" i="734"/>
  <c r="AY27" i="734"/>
  <c r="CB62" i="734"/>
  <c r="CB19" i="734"/>
  <c r="BY22" i="734"/>
  <c r="BY33" i="734"/>
  <c r="AY16" i="734"/>
  <c r="BT38" i="734"/>
  <c r="BV68" i="734"/>
  <c r="BY24" i="734"/>
  <c r="BV51" i="734"/>
  <c r="BY15" i="734"/>
  <c r="AI39" i="734"/>
  <c r="AQ23" i="734"/>
  <c r="CM66" i="734"/>
  <c r="CM37" i="734"/>
  <c r="AI44" i="734"/>
  <c r="CM33" i="734"/>
  <c r="DR43" i="734"/>
  <c r="BW58" i="734"/>
  <c r="BY25" i="734"/>
  <c r="BT36" i="734"/>
  <c r="BX59" i="734"/>
  <c r="BS23" i="734"/>
  <c r="AI36" i="734"/>
  <c r="AQ20" i="734"/>
  <c r="CH67" i="734"/>
  <c r="CM51" i="734"/>
  <c r="DP39" i="734"/>
  <c r="CW47" i="734"/>
  <c r="DS33" i="734"/>
  <c r="DP51" i="734"/>
  <c r="FG13" i="734"/>
  <c r="FC34" i="734"/>
  <c r="FE17" i="734"/>
  <c r="FG67" i="734"/>
  <c r="AA17" i="734"/>
  <c r="FC61" i="734"/>
  <c r="FC55" i="734"/>
  <c r="L52" i="734"/>
  <c r="DQ39" i="734"/>
  <c r="AY39" i="734"/>
  <c r="CC66" i="734"/>
  <c r="FG65" i="734"/>
  <c r="FG55" i="734"/>
  <c r="L68" i="734"/>
  <c r="DQ47" i="734"/>
  <c r="AY51" i="734"/>
  <c r="CQ15" i="734"/>
  <c r="BZ66" i="734"/>
  <c r="BV49" i="734"/>
  <c r="FF57" i="734"/>
  <c r="EZ59" i="734"/>
  <c r="DQ59" i="734"/>
  <c r="CR27" i="734"/>
  <c r="BZ26" i="734"/>
  <c r="BZ52" i="734"/>
  <c r="AA26" i="734"/>
  <c r="DR41" i="734"/>
  <c r="S47" i="734"/>
  <c r="CR68" i="734"/>
  <c r="CC52" i="734"/>
  <c r="FF43" i="734"/>
  <c r="L59" i="734"/>
  <c r="DR19" i="734"/>
  <c r="CR62" i="734"/>
  <c r="CB46" i="734"/>
  <c r="BY66" i="734"/>
  <c r="BT18" i="734"/>
  <c r="EZ42" i="734"/>
  <c r="CR38" i="734"/>
  <c r="BS30" i="734"/>
  <c r="BW64" i="734"/>
  <c r="BT24" i="734"/>
  <c r="BT51" i="734"/>
  <c r="BX15" i="734"/>
  <c r="AI23" i="734"/>
  <c r="CH66" i="734"/>
  <c r="CM50" i="734"/>
  <c r="CM21" i="734"/>
  <c r="AI59" i="734"/>
  <c r="DJ67" i="734"/>
  <c r="BG63" i="734"/>
  <c r="DG68" i="734"/>
  <c r="AA43" i="734"/>
  <c r="FC39" i="734"/>
  <c r="FE57" i="734"/>
  <c r="BX17" i="734"/>
  <c r="BG31" i="734"/>
  <c r="FF25" i="734"/>
  <c r="AA38" i="734"/>
  <c r="DQ16" i="734"/>
  <c r="FE20" i="734"/>
  <c r="DQ56" i="734"/>
  <c r="CR24" i="734"/>
  <c r="BT14" i="734"/>
  <c r="EZ41" i="734"/>
  <c r="CR49" i="734"/>
  <c r="BW17" i="734"/>
  <c r="BO50" i="734"/>
  <c r="BG15" i="734"/>
  <c r="DU40" i="734"/>
  <c r="FD21" i="734"/>
  <c r="AA22" i="734"/>
  <c r="DQ69" i="734"/>
  <c r="CW38" i="734"/>
  <c r="FD64" i="734"/>
  <c r="FE39" i="734"/>
  <c r="CC26" i="734"/>
  <c r="S62" i="734"/>
  <c r="BS41" i="734"/>
  <c r="CB65" i="734"/>
  <c r="DQ52" i="734"/>
  <c r="FF27" i="734"/>
  <c r="CB57" i="734"/>
  <c r="CQ27" i="734"/>
  <c r="BS43" i="734"/>
  <c r="CM61" i="734"/>
  <c r="AY47" i="734"/>
  <c r="BX51" i="734"/>
  <c r="CM62" i="734"/>
  <c r="CW17" i="734"/>
  <c r="FD60" i="734"/>
  <c r="FE27" i="734"/>
  <c r="CC61" i="734"/>
  <c r="S14" i="734"/>
  <c r="BV33" i="734"/>
  <c r="CC17" i="734"/>
  <c r="DQ36" i="734"/>
  <c r="FF19" i="734"/>
  <c r="CB41" i="734"/>
  <c r="CC22" i="734"/>
  <c r="BW39" i="734"/>
  <c r="CM45" i="734"/>
  <c r="FD22" i="734"/>
  <c r="BT30" i="734"/>
  <c r="BS24" i="734"/>
  <c r="BX11" i="734"/>
  <c r="CH62" i="734"/>
  <c r="DS19" i="734"/>
  <c r="L54" i="734"/>
  <c r="CC48" i="734"/>
  <c r="S51" i="734"/>
  <c r="BT13" i="734"/>
  <c r="CC23" i="734"/>
  <c r="FA36" i="734"/>
  <c r="CQ40" i="734"/>
  <c r="DQ21" i="734"/>
  <c r="BZ18" i="734"/>
  <c r="CQ38" i="734"/>
  <c r="L31" i="734"/>
  <c r="FC20" i="734"/>
  <c r="CR30" i="734"/>
  <c r="BX38" i="734"/>
  <c r="BW66" i="734"/>
  <c r="BT20" i="734"/>
  <c r="AI56" i="734"/>
  <c r="CM69" i="734"/>
  <c r="CM43" i="734"/>
  <c r="BV42" i="734"/>
  <c r="BX28" i="734"/>
  <c r="BX19" i="734"/>
  <c r="AQ35" i="734"/>
  <c r="CM19" i="734"/>
  <c r="AI28" i="734"/>
  <c r="FA48" i="734"/>
  <c r="CR60" i="734"/>
  <c r="BS22" i="734"/>
  <c r="BX60" i="734"/>
  <c r="BS20" i="734"/>
  <c r="BY47" i="734"/>
  <c r="BV11" i="734"/>
  <c r="AQ58" i="734"/>
  <c r="CH42" i="734"/>
  <c r="CM53" i="734"/>
  <c r="CQ49" i="734"/>
  <c r="BV26" i="734"/>
  <c r="BW60" i="734"/>
  <c r="BX16" i="734"/>
  <c r="BX31" i="734"/>
  <c r="CH12" i="734"/>
  <c r="AI49" i="734"/>
  <c r="FA42" i="734"/>
  <c r="AY40" i="734"/>
  <c r="DR26" i="734"/>
  <c r="BT61" i="734"/>
  <c r="CB12" i="734"/>
  <c r="S48" i="734"/>
  <c r="DR57" i="734"/>
  <c r="BT26" i="734"/>
  <c r="BS48" i="734"/>
  <c r="AQ39" i="734"/>
  <c r="AQ43" i="734"/>
  <c r="BY29" i="734"/>
  <c r="AI52" i="734"/>
  <c r="CM48" i="734"/>
  <c r="CM59" i="734"/>
  <c r="BT34" i="734"/>
  <c r="BZ24" i="734"/>
  <c r="BZ23" i="734"/>
  <c r="AQ16" i="734"/>
  <c r="L30" i="734"/>
  <c r="BV14" i="734"/>
  <c r="BZ67" i="734"/>
  <c r="BX22" i="734"/>
  <c r="DQ19" i="734"/>
  <c r="AA52" i="734"/>
  <c r="CC30" i="734"/>
  <c r="DR65" i="734"/>
  <c r="BW67" i="734"/>
  <c r="CH50" i="734"/>
  <c r="CM28" i="734"/>
  <c r="BW48" i="734"/>
  <c r="AQ57" i="734"/>
  <c r="AI17" i="734"/>
  <c r="CR65" i="734"/>
  <c r="BY21" i="734"/>
  <c r="BX67" i="734"/>
  <c r="AI26" i="734"/>
  <c r="CH53" i="734"/>
  <c r="CC38" i="734"/>
  <c r="BT52" i="734"/>
  <c r="AQ44" i="734"/>
  <c r="BO60" i="734"/>
  <c r="FA33" i="734"/>
  <c r="FA12" i="734"/>
  <c r="CQ10" i="734"/>
  <c r="FC25" i="734"/>
  <c r="DQ50" i="734"/>
  <c r="CQ18" i="734"/>
  <c r="BZ46" i="734"/>
  <c r="FF17" i="734"/>
  <c r="S59" i="734"/>
  <c r="BV57" i="734"/>
  <c r="L50" i="734"/>
  <c r="AY64" i="734"/>
  <c r="FA29" i="734"/>
  <c r="DR14" i="734"/>
  <c r="CQ41" i="734"/>
  <c r="BX54" i="734"/>
  <c r="FA11" i="734"/>
  <c r="BW57" i="734"/>
  <c r="BX12" i="734"/>
  <c r="AI18" i="734"/>
  <c r="CH45" i="734"/>
  <c r="FG32" i="734"/>
  <c r="FC68" i="734"/>
  <c r="BZ22" i="734"/>
  <c r="BX20" i="734"/>
  <c r="BY11" i="734"/>
  <c r="CH46" i="734"/>
  <c r="CM26" i="734"/>
  <c r="AI43" i="734"/>
  <c r="FD69" i="734"/>
  <c r="CR59" i="734"/>
  <c r="BZ14" i="734"/>
  <c r="BX56" i="734"/>
  <c r="BZ16" i="734"/>
  <c r="BV43" i="734"/>
  <c r="AI58" i="734"/>
  <c r="AQ42" i="734"/>
  <c r="CH26" i="734"/>
  <c r="CM16" i="734"/>
  <c r="CR44" i="734"/>
  <c r="BS18" i="734"/>
  <c r="BY60" i="734"/>
  <c r="BS16" i="734"/>
  <c r="DU37" i="734"/>
  <c r="FF30" i="734"/>
  <c r="DR31" i="734"/>
  <c r="FG19" i="734"/>
  <c r="CQ47" i="734"/>
  <c r="FG64" i="734"/>
  <c r="BY38" i="734"/>
  <c r="DR67" i="734"/>
  <c r="FA55" i="734"/>
  <c r="CQ19" i="734"/>
  <c r="AA36" i="734"/>
  <c r="BT28" i="734"/>
  <c r="AQ45" i="734"/>
  <c r="CM22" i="734"/>
  <c r="BW20" i="734"/>
  <c r="CH30" i="734"/>
  <c r="AQ11" i="734"/>
  <c r="BV58" i="734"/>
  <c r="BY32" i="734"/>
  <c r="BW15" i="734"/>
  <c r="CH10" i="734"/>
  <c r="CC12" i="734"/>
  <c r="BY44" i="734"/>
  <c r="BV15" i="734"/>
  <c r="BZ33" i="734"/>
  <c r="CQ52" i="734"/>
  <c r="S54" i="734"/>
  <c r="FG25" i="734"/>
  <c r="BV20" i="734"/>
  <c r="CH40" i="734"/>
  <c r="AA46" i="734"/>
  <c r="BS55" i="734"/>
  <c r="CH35" i="734"/>
  <c r="AQ49" i="734"/>
  <c r="CB49" i="734"/>
  <c r="BW40" i="734"/>
  <c r="BT23" i="734"/>
  <c r="CH58" i="734"/>
  <c r="CR54" i="734"/>
  <c r="BX64" i="734"/>
  <c r="BS63" i="734"/>
  <c r="DS60" i="734"/>
  <c r="FA64" i="734"/>
  <c r="BZ37" i="734"/>
  <c r="BT58" i="734"/>
  <c r="DP60" i="734"/>
  <c r="L42" i="734"/>
  <c r="DR66" i="734"/>
  <c r="BT50" i="734"/>
  <c r="BS65" i="734"/>
  <c r="DU67" i="734"/>
  <c r="DP52" i="734"/>
  <c r="L18" i="734"/>
  <c r="FC22" i="734"/>
  <c r="CR42" i="734"/>
  <c r="BZ54" i="734"/>
  <c r="S65" i="734"/>
  <c r="FA65" i="734"/>
  <c r="FD59" i="734"/>
  <c r="CH18" i="734"/>
  <c r="BV24" i="734"/>
  <c r="DP68" i="734"/>
  <c r="EZ25" i="734"/>
  <c r="DR58" i="734"/>
  <c r="S28" i="734"/>
  <c r="AA35" i="734"/>
  <c r="CR57" i="734"/>
  <c r="BY16" i="734"/>
  <c r="CM60" i="734"/>
  <c r="BT54" i="734"/>
  <c r="BX23" i="734"/>
  <c r="EV32" i="734"/>
  <c r="CC58" i="734"/>
  <c r="DK40" i="734"/>
  <c r="FG29" i="734"/>
  <c r="DO60" i="734"/>
  <c r="FC35" i="734"/>
  <c r="S46" i="734"/>
  <c r="DQ38" i="734"/>
  <c r="DM32" i="734"/>
  <c r="DO46" i="734"/>
  <c r="EZ50" i="734"/>
  <c r="FA26" i="734"/>
  <c r="AY56" i="734"/>
  <c r="FG35" i="734"/>
  <c r="S30" i="734"/>
  <c r="CB18" i="734"/>
  <c r="BT33" i="734"/>
  <c r="EZ19" i="734"/>
  <c r="CB33" i="734"/>
  <c r="FA17" i="734"/>
  <c r="DP26" i="734"/>
  <c r="CW42" i="734"/>
  <c r="DS63" i="734"/>
  <c r="FA46" i="734"/>
  <c r="FG18" i="734"/>
  <c r="EV30" i="734"/>
  <c r="FA54" i="734"/>
  <c r="FD55" i="734"/>
  <c r="L23" i="734"/>
  <c r="FG41" i="734"/>
  <c r="CR50" i="734"/>
  <c r="EZ37" i="734"/>
  <c r="BT10" i="734"/>
  <c r="AY10" i="734"/>
  <c r="DQ46" i="734"/>
  <c r="BS58" i="734"/>
  <c r="BS10" i="734"/>
  <c r="AI50" i="734"/>
  <c r="CM63" i="734"/>
  <c r="BS34" i="734"/>
  <c r="BS15" i="734"/>
  <c r="DI45" i="734"/>
  <c r="FD66" i="734"/>
  <c r="FC47" i="734"/>
  <c r="DR50" i="734"/>
  <c r="FE29" i="734"/>
  <c r="CR26" i="734"/>
  <c r="FG21" i="734"/>
  <c r="BS61" i="734"/>
  <c r="AY37" i="734"/>
  <c r="DQ30" i="734"/>
  <c r="BW54" i="734"/>
  <c r="BT65" i="734"/>
  <c r="AI34" i="734"/>
  <c r="CM31" i="734"/>
  <c r="S10" i="734"/>
  <c r="BX21" i="734"/>
  <c r="BV59" i="734"/>
  <c r="AI20" i="734"/>
  <c r="CH51" i="734"/>
  <c r="FD54" i="734"/>
  <c r="DR42" i="734"/>
  <c r="FA51" i="734"/>
  <c r="CB66" i="734"/>
  <c r="EZ55" i="734"/>
  <c r="BG17" i="734"/>
  <c r="FA40" i="734"/>
  <c r="FG45" i="734"/>
  <c r="CR58" i="734"/>
  <c r="FC41" i="734"/>
  <c r="BW14" i="734"/>
  <c r="AY42" i="734"/>
  <c r="DR62" i="734"/>
  <c r="CQ20" i="734"/>
  <c r="BS49" i="734"/>
  <c r="BY18" i="734"/>
  <c r="BV63" i="734"/>
  <c r="AQ40" i="734"/>
  <c r="CM32" i="734"/>
  <c r="AA55" i="734"/>
  <c r="BT53" i="734"/>
  <c r="BS69" i="734"/>
  <c r="AI57" i="734"/>
  <c r="CH25" i="734"/>
  <c r="CM15" i="734"/>
  <c r="AQ60" i="734"/>
  <c r="AA61" i="734"/>
  <c r="CC44" i="734"/>
  <c r="BZ57" i="734"/>
  <c r="BT48" i="734"/>
  <c r="BZ12" i="734"/>
  <c r="BV39" i="734"/>
  <c r="AI10" i="734"/>
  <c r="AQ53" i="734"/>
  <c r="CH37" i="734"/>
  <c r="FD19" i="734"/>
  <c r="CC33" i="734"/>
  <c r="BW61" i="734"/>
  <c r="BZ48" i="734"/>
  <c r="BY69" i="734"/>
  <c r="AI22" i="734"/>
  <c r="CM17" i="734"/>
  <c r="CH54" i="734"/>
  <c r="FD17" i="734"/>
  <c r="CR39" i="734"/>
  <c r="S68" i="734"/>
  <c r="FE18" i="734"/>
  <c r="BT49" i="734"/>
  <c r="CR41" i="734"/>
  <c r="S12" i="734"/>
  <c r="BY37" i="734"/>
  <c r="BW69" i="734"/>
  <c r="CH23" i="734"/>
  <c r="FE16" i="734"/>
  <c r="BW36" i="734"/>
  <c r="AQ36" i="734"/>
  <c r="BZ27" i="734"/>
  <c r="L20" i="734"/>
  <c r="BS45" i="734"/>
  <c r="BX69" i="734"/>
  <c r="AI42" i="734"/>
  <c r="AQ15" i="734"/>
  <c r="AY48" i="734"/>
  <c r="BZ25" i="734"/>
  <c r="BT43" i="734"/>
  <c r="BV48" i="734"/>
  <c r="CQ62" i="734"/>
  <c r="DQ68" i="734"/>
  <c r="BX66" i="734"/>
  <c r="CB27" i="734"/>
  <c r="BT31" i="734"/>
  <c r="CM34" i="734"/>
  <c r="S63" i="734"/>
  <c r="BW12" i="734"/>
  <c r="CH41" i="734"/>
  <c r="CM54" i="734"/>
  <c r="CC35" i="734"/>
  <c r="BX52" i="734"/>
  <c r="BW47" i="734"/>
  <c r="AI16" i="734"/>
  <c r="CH47" i="734"/>
  <c r="BX58" i="734"/>
  <c r="BY20" i="734"/>
  <c r="CM65" i="734"/>
  <c r="DO33" i="734"/>
  <c r="FA20" i="734"/>
  <c r="AA23" i="734"/>
  <c r="CR63" i="734"/>
  <c r="FG12" i="734"/>
  <c r="DR40" i="734"/>
  <c r="CR69" i="734"/>
  <c r="BX65" i="734"/>
  <c r="FF60" i="734"/>
  <c r="CR17" i="734"/>
  <c r="BS68" i="734"/>
  <c r="DR30" i="734"/>
  <c r="CQ57" i="734"/>
  <c r="FD63" i="734"/>
  <c r="DQ67" i="734"/>
  <c r="CQ35" i="734"/>
  <c r="BX26" i="734"/>
  <c r="S32" i="734"/>
  <c r="BT17" i="734"/>
  <c r="BX55" i="734"/>
  <c r="AI69" i="734"/>
  <c r="CH39" i="734"/>
  <c r="AI54" i="734"/>
  <c r="DQ49" i="734"/>
  <c r="BS33" i="734"/>
  <c r="BS67" i="734"/>
  <c r="AI68" i="734"/>
  <c r="CH36" i="734"/>
  <c r="FA45" i="734"/>
  <c r="AQ59" i="734"/>
  <c r="AA15" i="734"/>
  <c r="CC16" i="734"/>
  <c r="BX49" i="734"/>
  <c r="BZ44" i="734"/>
  <c r="BV69" i="734"/>
  <c r="BT35" i="734"/>
  <c r="AI53" i="734"/>
  <c r="AQ37" i="734"/>
  <c r="CH21" i="734"/>
  <c r="AA21" i="734"/>
  <c r="CC36" i="734"/>
  <c r="BV53" i="734"/>
  <c r="BX48" i="734"/>
  <c r="BV67" i="734"/>
  <c r="DS44" i="734"/>
  <c r="EZ63" i="734"/>
  <c r="CR45" i="734"/>
  <c r="L34" i="734"/>
  <c r="CC37" i="734"/>
  <c r="AA32" i="734"/>
  <c r="BS60" i="734"/>
  <c r="AY32" i="734"/>
  <c r="L21" i="734"/>
  <c r="CC27" i="734"/>
  <c r="CC28" i="734"/>
  <c r="BV55" i="734"/>
  <c r="CH29" i="734"/>
  <c r="DR44" i="734"/>
  <c r="BZ43" i="734"/>
  <c r="CM67" i="734"/>
  <c r="FG47" i="734"/>
  <c r="BY10" i="734"/>
  <c r="BT16" i="734"/>
  <c r="AI37" i="734"/>
  <c r="CH63" i="734"/>
  <c r="BW38" i="734"/>
  <c r="BZ36" i="734"/>
  <c r="AI60" i="734"/>
  <c r="FD47" i="734"/>
  <c r="FF50" i="734"/>
  <c r="CR36" i="734"/>
  <c r="CQ33" i="734"/>
  <c r="BV47" i="734"/>
  <c r="CM24" i="734"/>
  <c r="CB60" i="734"/>
  <c r="BY19" i="734"/>
  <c r="CM35" i="734"/>
  <c r="CH22" i="734"/>
  <c r="BY50" i="734"/>
  <c r="BV12" i="734"/>
  <c r="AI21" i="734"/>
  <c r="CH48" i="734"/>
  <c r="CC51" i="734"/>
  <c r="BX44" i="734"/>
  <c r="BW35" i="734"/>
  <c r="DI58" i="734"/>
  <c r="CC18" i="734"/>
  <c r="BG57" i="734"/>
  <c r="FC16" i="734"/>
  <c r="FA30" i="734"/>
  <c r="CR34" i="734"/>
  <c r="FA25" i="734"/>
  <c r="S60" i="734"/>
  <c r="DL39" i="734"/>
  <c r="DG19" i="734"/>
  <c r="FD12" i="734"/>
  <c r="DO14" i="734"/>
  <c r="FG37" i="734"/>
  <c r="L35" i="734"/>
  <c r="AA16" i="734"/>
  <c r="CQ14" i="734"/>
  <c r="BV16" i="734"/>
  <c r="CM11" i="734"/>
  <c r="AQ19" i="734"/>
  <c r="FE14" i="734"/>
  <c r="CR18" i="734"/>
  <c r="BT46" i="734"/>
  <c r="FC49" i="734"/>
  <c r="FD35" i="734"/>
  <c r="CH61" i="734"/>
  <c r="BW32" i="734"/>
  <c r="AQ67" i="734"/>
  <c r="FA47" i="734"/>
  <c r="EV11" i="734"/>
  <c r="BG64" i="734"/>
  <c r="FG56" i="734"/>
  <c r="S34" i="734"/>
  <c r="CB26" i="734"/>
  <c r="CQ65" i="734"/>
  <c r="BG39" i="734"/>
  <c r="BO59" i="734"/>
  <c r="EZ29" i="734"/>
  <c r="FD67" i="734"/>
  <c r="CR47" i="734"/>
  <c r="AA20" i="734"/>
  <c r="AY14" i="734"/>
  <c r="CB69" i="734"/>
  <c r="FE46" i="734"/>
  <c r="DR22" i="734"/>
  <c r="BV54" i="734"/>
  <c r="DJ59" i="734"/>
  <c r="BG68" i="734"/>
  <c r="DO38" i="734"/>
  <c r="BO43" i="734"/>
  <c r="FE25" i="734"/>
  <c r="FA67" i="734"/>
  <c r="BG51" i="734"/>
  <c r="EZ60" i="734"/>
  <c r="AA59" i="734"/>
  <c r="S50" i="734"/>
  <c r="EZ39" i="734"/>
  <c r="CC34" i="734"/>
  <c r="EZ31" i="734"/>
  <c r="FC53" i="734"/>
  <c r="CR20" i="734"/>
  <c r="S49" i="734"/>
  <c r="BX10" i="734"/>
  <c r="BT56" i="734"/>
  <c r="AQ34" i="734"/>
  <c r="AQ65" i="734"/>
  <c r="BY68" i="734"/>
  <c r="AI35" i="734"/>
  <c r="BO35" i="734"/>
  <c r="FF52" i="734"/>
  <c r="AA11" i="734"/>
  <c r="S61" i="734"/>
  <c r="FA31" i="734"/>
  <c r="CC10" i="734"/>
  <c r="FD11" i="734"/>
  <c r="FD56" i="734"/>
  <c r="CR67" i="734"/>
  <c r="S17" i="734"/>
  <c r="BV65" i="734"/>
  <c r="BW52" i="734"/>
  <c r="AQ18" i="734"/>
  <c r="AQ17" i="734"/>
  <c r="CR22" i="734"/>
  <c r="BS64" i="734"/>
  <c r="BZ51" i="734"/>
  <c r="AI19" i="734"/>
  <c r="CM46" i="734"/>
  <c r="FF48" i="734"/>
  <c r="S45" i="734"/>
  <c r="AA30" i="734"/>
  <c r="CB56" i="734"/>
  <c r="L56" i="734"/>
  <c r="DU12" i="734"/>
  <c r="AA14" i="734"/>
  <c r="FA32" i="734"/>
  <c r="CQ48" i="734"/>
  <c r="FD38" i="734"/>
  <c r="BT25" i="734"/>
  <c r="CQ46" i="734"/>
  <c r="DR52" i="734"/>
  <c r="CC69" i="734"/>
  <c r="FG24" i="734"/>
  <c r="BV29" i="734"/>
  <c r="BW27" i="734"/>
  <c r="CH34" i="734"/>
  <c r="BX27" i="734"/>
  <c r="AY53" i="734"/>
  <c r="BX13" i="734"/>
  <c r="BW55" i="734"/>
  <c r="AI51" i="734"/>
  <c r="CH19" i="734"/>
  <c r="BW43" i="734"/>
  <c r="CH17" i="734"/>
  <c r="DQ33" i="734"/>
  <c r="CC15" i="734"/>
  <c r="BX33" i="734"/>
  <c r="BV40" i="734"/>
  <c r="BX63" i="734"/>
  <c r="BS27" i="734"/>
  <c r="AI64" i="734"/>
  <c r="AQ48" i="734"/>
  <c r="CH32" i="734"/>
  <c r="DQ22" i="734"/>
  <c r="CC31" i="734"/>
  <c r="BW37" i="734"/>
  <c r="BZ40" i="734"/>
  <c r="BW63" i="734"/>
  <c r="AI27" i="734"/>
  <c r="BY55" i="734"/>
  <c r="CH27" i="734"/>
  <c r="FC57" i="734"/>
  <c r="FG22" i="734"/>
  <c r="CQ53" i="734"/>
  <c r="EZ20" i="734"/>
  <c r="FE12" i="734"/>
  <c r="FA13" i="734"/>
  <c r="CR25" i="734"/>
  <c r="AY26" i="734"/>
  <c r="BV35" i="734"/>
  <c r="CM10" i="734"/>
  <c r="CQ12" i="734"/>
  <c r="BY63" i="734"/>
  <c r="CH20" i="734"/>
  <c r="AQ38" i="734"/>
  <c r="AY15" i="734"/>
  <c r="BT64" i="734"/>
  <c r="BY51" i="734"/>
  <c r="AI32" i="734"/>
  <c r="CH64" i="734"/>
  <c r="CR43" i="734"/>
  <c r="BW56" i="734"/>
  <c r="AQ33" i="734"/>
  <c r="AA41" i="734"/>
  <c r="CC46" i="734"/>
  <c r="AY38" i="734"/>
  <c r="BS14" i="734"/>
  <c r="BW33" i="734"/>
  <c r="BZ11" i="734"/>
  <c r="CM64" i="734"/>
  <c r="BW46" i="734"/>
  <c r="BX39" i="734"/>
  <c r="CM25" i="734"/>
  <c r="FA23" i="734"/>
  <c r="BS26" i="734"/>
  <c r="BT32" i="734"/>
  <c r="BZ31" i="734"/>
  <c r="AQ10" i="734"/>
  <c r="FA43" i="734"/>
  <c r="BW65" i="734"/>
  <c r="BW51" i="734"/>
  <c r="CW56" i="734"/>
  <c r="FD33" i="734"/>
  <c r="FC11" i="734"/>
  <c r="DQ32" i="734"/>
  <c r="CB53" i="734"/>
  <c r="FA27" i="734"/>
  <c r="S57" i="734"/>
  <c r="CB61" i="734"/>
  <c r="BZ29" i="734"/>
  <c r="AA42" i="734"/>
  <c r="CC60" i="734"/>
  <c r="EZ40" i="734"/>
  <c r="DQ20" i="734"/>
  <c r="CQ51" i="734"/>
  <c r="FD15" i="734"/>
  <c r="S44" i="734"/>
  <c r="CC25" i="734"/>
  <c r="BY61" i="734"/>
  <c r="CB17" i="734"/>
  <c r="BY48" i="734"/>
  <c r="BS39" i="734"/>
  <c r="AQ61" i="734"/>
  <c r="CM29" i="734"/>
  <c r="AQ28" i="734"/>
  <c r="CQ17" i="734"/>
  <c r="BZ60" i="734"/>
  <c r="BZ47" i="734"/>
  <c r="AQ62" i="734"/>
  <c r="CM30" i="734"/>
  <c r="BX35" i="734"/>
  <c r="CH28" i="734"/>
  <c r="DQ28" i="734"/>
  <c r="BY62" i="734"/>
  <c r="BW25" i="734"/>
  <c r="BV36" i="734"/>
  <c r="BT63" i="734"/>
  <c r="BT27" i="734"/>
  <c r="AI48" i="734"/>
  <c r="AQ32" i="734"/>
  <c r="CH16" i="734"/>
  <c r="DR17" i="734"/>
  <c r="CB11" i="734"/>
  <c r="BW29" i="734"/>
  <c r="BS36" i="734"/>
  <c r="BT47" i="734"/>
  <c r="DP27" i="734"/>
  <c r="AA60" i="734"/>
  <c r="CC29" i="734"/>
  <c r="DR16" i="734"/>
  <c r="BS38" i="734"/>
  <c r="AY22" i="734"/>
  <c r="FA15" i="734"/>
  <c r="CR35" i="734"/>
  <c r="DQ51" i="734"/>
  <c r="BZ50" i="734"/>
  <c r="BS42" i="734"/>
  <c r="BT19" i="734"/>
  <c r="CM13" i="734"/>
  <c r="BT66" i="734"/>
  <c r="AI62" i="734"/>
  <c r="BW28" i="734"/>
  <c r="DQ27" i="734"/>
  <c r="BS21" i="734"/>
  <c r="BZ59" i="734"/>
  <c r="AI31" i="734"/>
  <c r="FF67" i="734"/>
  <c r="BZ49" i="734"/>
  <c r="BS12" i="734"/>
  <c r="CH65" i="734"/>
  <c r="L63" i="734"/>
  <c r="FD39" i="734"/>
  <c r="CB20" i="734"/>
  <c r="BW26" i="734"/>
  <c r="AI13" i="734"/>
  <c r="BS31" i="734"/>
  <c r="BZ17" i="734"/>
  <c r="AI67" i="734"/>
  <c r="CM47" i="734"/>
  <c r="FE61" i="734"/>
  <c r="BV61" i="734"/>
  <c r="BW59" i="734"/>
  <c r="AI15" i="734"/>
  <c r="CM42" i="734"/>
  <c r="BV30" i="734"/>
  <c r="BV32" i="734"/>
  <c r="AI12" i="734"/>
  <c r="FA53" i="734"/>
  <c r="S38" i="734"/>
  <c r="BT62" i="734"/>
  <c r="CH24" i="734"/>
  <c r="BS35" i="734"/>
  <c r="CM49" i="734"/>
  <c r="BV28" i="734"/>
  <c r="AQ47" i="734"/>
  <c r="BY17" i="734"/>
  <c r="BW23" i="734"/>
  <c r="CB31" i="734"/>
  <c r="CC68" i="734"/>
  <c r="BX18" i="734"/>
  <c r="CC59" i="734"/>
  <c r="CM58" i="734"/>
  <c r="DQ25" i="734"/>
  <c r="BT40" i="734"/>
  <c r="AI14" i="734"/>
  <c r="BX24" i="734"/>
  <c r="BT21" i="734"/>
  <c r="EZ34" i="734"/>
  <c r="AY41" i="734"/>
  <c r="BS46" i="734"/>
  <c r="L61" i="734"/>
  <c r="BX50" i="734"/>
  <c r="CM23" i="734"/>
  <c r="BY27" i="734"/>
  <c r="CM44" i="734"/>
  <c r="BS28" i="734"/>
  <c r="AQ31" i="734"/>
  <c r="BZ13" i="734"/>
  <c r="EZ51" i="734"/>
  <c r="CR28" i="734"/>
  <c r="BX61" i="734"/>
  <c r="BV56" i="734"/>
  <c r="BV52" i="734"/>
  <c r="BZ68" i="734"/>
  <c r="L27" i="734"/>
  <c r="CH49" i="734"/>
  <c r="DR38" i="734"/>
  <c r="L47" i="734"/>
  <c r="DQ60" i="734"/>
  <c r="BV27" i="734"/>
  <c r="BS62" i="734"/>
  <c r="FA24" i="734"/>
  <c r="AQ66" i="734"/>
  <c r="BS11" i="734"/>
  <c r="BT11" i="734"/>
  <c r="AY29" i="734"/>
  <c r="CB55" i="734"/>
  <c r="EZ23" i="734"/>
  <c r="BS32" i="734"/>
  <c r="CH11" i="734"/>
  <c r="AQ52" i="734"/>
  <c r="AY21" i="734"/>
  <c r="BT55" i="734"/>
  <c r="CH15" i="734"/>
  <c r="FA68" i="734"/>
  <c r="DQ14" i="734"/>
  <c r="BY13" i="734"/>
  <c r="AQ46" i="734"/>
  <c r="BY31" i="734"/>
  <c r="BS51" i="734"/>
  <c r="BX42" i="734"/>
  <c r="BY28" i="734"/>
  <c r="BX41" i="734"/>
  <c r="BY54" i="734"/>
  <c r="AI66" i="734"/>
  <c r="BV13" i="734"/>
  <c r="BV50" i="734"/>
  <c r="FE67" i="734"/>
  <c r="CH43" i="734"/>
  <c r="CM38" i="734"/>
  <c r="BS57" i="734"/>
  <c r="AA39" i="734"/>
  <c r="BX37" i="734"/>
  <c r="AI38" i="734"/>
  <c r="BT42" i="734"/>
  <c r="AY59" i="734"/>
  <c r="DQ12" i="734"/>
  <c r="BS19" i="734"/>
  <c r="DR39" i="734"/>
  <c r="CQ50" i="734"/>
  <c r="AA56" i="734"/>
  <c r="DR60" i="734"/>
  <c r="CH33" i="734"/>
  <c r="AQ41" i="734"/>
  <c r="S31" i="734"/>
  <c r="BZ55" i="734"/>
  <c r="CH31" i="734"/>
  <c r="BX32" i="734"/>
  <c r="CM12" i="734"/>
  <c r="BX53" i="734"/>
  <c r="BT44" i="734"/>
  <c r="BS59" i="734"/>
  <c r="AY28" i="734"/>
  <c r="BW24" i="734"/>
  <c r="BY64" i="734"/>
  <c r="AI33" i="734"/>
  <c r="DQ11" i="734"/>
  <c r="DR49" i="734"/>
  <c r="BX40" i="734"/>
  <c r="AI47" i="734"/>
  <c r="BX25" i="734"/>
  <c r="CC54" i="734"/>
  <c r="AQ56" i="734"/>
  <c r="CH60" i="734"/>
  <c r="BW49" i="734"/>
  <c r="L51" i="734"/>
  <c r="FC26" i="734"/>
  <c r="BY36" i="734"/>
  <c r="CC20" i="734"/>
  <c r="CM68" i="734"/>
  <c r="BX46" i="734"/>
  <c r="BW19" i="734"/>
  <c r="S64" i="734"/>
  <c r="BS47" i="734"/>
  <c r="L32" i="734"/>
  <c r="L10" i="734"/>
  <c r="AI61" i="734"/>
  <c r="CM14" i="734"/>
  <c r="BY43" i="734"/>
  <c r="BZ20" i="734"/>
  <c r="CR46" i="734"/>
  <c r="AI11" i="734"/>
  <c r="S37" i="734"/>
  <c r="AQ63" i="734"/>
  <c r="DS10" i="734"/>
  <c r="FF42" i="734"/>
  <c r="FD34" i="734"/>
  <c r="S21" i="734"/>
  <c r="CC39" i="734"/>
  <c r="BV19" i="734"/>
  <c r="CC19" i="734"/>
  <c r="CM20" i="734"/>
  <c r="BV38" i="734"/>
  <c r="BZ15" i="734"/>
  <c r="AY58" i="734"/>
  <c r="AQ22" i="734"/>
  <c r="AY52" i="734"/>
  <c r="CB25" i="734"/>
  <c r="AI55" i="734"/>
  <c r="AI65" i="734"/>
  <c r="AQ21" i="734"/>
  <c r="CM27" i="734"/>
  <c r="BV60" i="734"/>
  <c r="AQ51" i="734"/>
  <c r="BZ39" i="734"/>
  <c r="BY12" i="734"/>
  <c r="CQ11" i="734"/>
  <c r="AY65" i="734"/>
  <c r="BV44" i="734"/>
  <c r="BW11" i="734"/>
  <c r="AI63" i="734"/>
  <c r="AQ12" i="734"/>
  <c r="AA62" i="734"/>
  <c r="AQ26" i="734"/>
  <c r="BY49" i="734"/>
  <c r="BT37" i="734"/>
  <c r="EZ58" i="734"/>
  <c r="CC41" i="734"/>
  <c r="AQ55" i="734"/>
  <c r="BW68" i="734"/>
  <c r="FG68" i="734"/>
  <c r="BZ28" i="734"/>
  <c r="S15" i="734"/>
  <c r="AQ64" i="734"/>
  <c r="CJ60" i="734" l="1"/>
  <c r="CI60" i="734"/>
  <c r="CL60" i="734"/>
  <c r="CP60" i="734" s="1"/>
  <c r="CK60" i="734"/>
  <c r="AP12" i="734"/>
  <c r="AO12" i="734"/>
  <c r="BU63" i="734"/>
  <c r="CA32" i="734"/>
  <c r="CA30" i="734"/>
  <c r="CV54" i="734"/>
  <c r="CJ58" i="734"/>
  <c r="CI58" i="734"/>
  <c r="CK58" i="734"/>
  <c r="CL58" i="734"/>
  <c r="CP58" i="734" s="1"/>
  <c r="AR64" i="734"/>
  <c r="AS64" i="734"/>
  <c r="AT64" i="734"/>
  <c r="AO15" i="734"/>
  <c r="AP15" i="734"/>
  <c r="AP21" i="734"/>
  <c r="AO21" i="734"/>
  <c r="CA12" i="734"/>
  <c r="CA61" i="734"/>
  <c r="AW49" i="734"/>
  <c r="AX49" i="734"/>
  <c r="BU19" i="734"/>
  <c r="AW51" i="734"/>
  <c r="AX51" i="734"/>
  <c r="AJ67" i="734"/>
  <c r="AL67" i="734"/>
  <c r="AK67" i="734"/>
  <c r="BU55" i="734"/>
  <c r="CD60" i="734"/>
  <c r="AG46" i="734"/>
  <c r="AH46" i="734"/>
  <c r="BU31" i="734"/>
  <c r="AT56" i="734"/>
  <c r="AS56" i="734"/>
  <c r="AR56" i="734"/>
  <c r="AO13" i="734"/>
  <c r="AP13" i="734"/>
  <c r="CA47" i="734"/>
  <c r="CA20" i="734"/>
  <c r="CA60" i="734"/>
  <c r="V54" i="734"/>
  <c r="U54" i="734"/>
  <c r="T54" i="734"/>
  <c r="Y54" i="734"/>
  <c r="AG54" i="734" s="1"/>
  <c r="AW54" i="734" s="1"/>
  <c r="BM54" i="734" s="1"/>
  <c r="CS52" i="734"/>
  <c r="Y15" i="734"/>
  <c r="O63" i="734"/>
  <c r="H63" i="734" s="1"/>
  <c r="N63" i="734"/>
  <c r="M63" i="734"/>
  <c r="CL65" i="734"/>
  <c r="CP65" i="734" s="1"/>
  <c r="CJ65" i="734"/>
  <c r="CK65" i="734"/>
  <c r="CI65" i="734"/>
  <c r="AJ60" i="734"/>
  <c r="AL60" i="734"/>
  <c r="AK60" i="734"/>
  <c r="CA15" i="734"/>
  <c r="BU51" i="734"/>
  <c r="BU12" i="734"/>
  <c r="CJ63" i="734"/>
  <c r="CK63" i="734"/>
  <c r="CI63" i="734"/>
  <c r="CL63" i="734"/>
  <c r="CP63" i="734" s="1"/>
  <c r="AW21" i="734"/>
  <c r="AX21" i="734"/>
  <c r="AP31" i="734"/>
  <c r="AO31" i="734"/>
  <c r="AO37" i="734"/>
  <c r="BE37" i="734" s="1"/>
  <c r="AP37" i="734"/>
  <c r="CA52" i="734"/>
  <c r="BU21" i="734"/>
  <c r="CA58" i="734"/>
  <c r="CG54" i="734"/>
  <c r="AW11" i="734"/>
  <c r="AX11" i="734"/>
  <c r="AL65" i="734"/>
  <c r="AJ65" i="734"/>
  <c r="AK65" i="734"/>
  <c r="AX46" i="734"/>
  <c r="AW46" i="734"/>
  <c r="AL62" i="734"/>
  <c r="AJ62" i="734"/>
  <c r="AK62" i="734"/>
  <c r="CA56" i="734"/>
  <c r="AW45" i="734"/>
  <c r="AX45" i="734"/>
  <c r="AJ55" i="734"/>
  <c r="AL55" i="734"/>
  <c r="AK55" i="734"/>
  <c r="CA55" i="734"/>
  <c r="BU42" i="734"/>
  <c r="AH36" i="734"/>
  <c r="AG36" i="734"/>
  <c r="AZ59" i="734"/>
  <c r="BB59" i="734"/>
  <c r="BA59" i="734"/>
  <c r="BF32" i="734"/>
  <c r="BE32" i="734"/>
  <c r="BU60" i="734"/>
  <c r="BE22" i="734"/>
  <c r="BF22" i="734"/>
  <c r="AG32" i="734"/>
  <c r="AH32" i="734"/>
  <c r="BU38" i="734"/>
  <c r="BB52" i="734"/>
  <c r="BA52" i="734"/>
  <c r="AZ52" i="734"/>
  <c r="FB51" i="734"/>
  <c r="AD60" i="734"/>
  <c r="AC60" i="734"/>
  <c r="AB60" i="734"/>
  <c r="FB63" i="734"/>
  <c r="J27" i="734"/>
  <c r="DT44" i="734"/>
  <c r="DV37" i="734"/>
  <c r="AW22" i="734"/>
  <c r="AX22" i="734"/>
  <c r="CA67" i="734"/>
  <c r="BU16" i="734"/>
  <c r="BU36" i="734"/>
  <c r="CA53" i="734"/>
  <c r="BU18" i="734"/>
  <c r="BB58" i="734"/>
  <c r="AZ58" i="734"/>
  <c r="BA58" i="734"/>
  <c r="AG21" i="734"/>
  <c r="AH21" i="734"/>
  <c r="AW31" i="734"/>
  <c r="AX31" i="734"/>
  <c r="AX32" i="734"/>
  <c r="AW32" i="734"/>
  <c r="AX37" i="734"/>
  <c r="BF37" i="734" s="1"/>
  <c r="AW37" i="734"/>
  <c r="AW42" i="734"/>
  <c r="AX42" i="734"/>
  <c r="AO47" i="734"/>
  <c r="AP47" i="734"/>
  <c r="AO48" i="734"/>
  <c r="AP48" i="734"/>
  <c r="AK53" i="734"/>
  <c r="AJ53" i="734"/>
  <c r="AL53" i="734"/>
  <c r="AJ58" i="734"/>
  <c r="AL58" i="734"/>
  <c r="AK58" i="734"/>
  <c r="CA43" i="734"/>
  <c r="CA69" i="734"/>
  <c r="BU28" i="734"/>
  <c r="CA36" i="734"/>
  <c r="CA38" i="734"/>
  <c r="CV59" i="734"/>
  <c r="BE21" i="734"/>
  <c r="BF21" i="734"/>
  <c r="AH15" i="734"/>
  <c r="AG15" i="734"/>
  <c r="AT59" i="734"/>
  <c r="AS59" i="734"/>
  <c r="AR59" i="734"/>
  <c r="AO43" i="734"/>
  <c r="AP43" i="734"/>
  <c r="AO38" i="734"/>
  <c r="AP38" i="734"/>
  <c r="AR52" i="734"/>
  <c r="AT52" i="734"/>
  <c r="AS52" i="734"/>
  <c r="AS62" i="734"/>
  <c r="AR62" i="734"/>
  <c r="AT62" i="734"/>
  <c r="AJ68" i="734"/>
  <c r="AK68" i="734"/>
  <c r="AL68" i="734"/>
  <c r="BU67" i="734"/>
  <c r="BU33" i="734"/>
  <c r="FH68" i="734"/>
  <c r="AW28" i="734"/>
  <c r="AX28" i="734"/>
  <c r="AL54" i="734"/>
  <c r="AK54" i="734"/>
  <c r="AJ54" i="734"/>
  <c r="AR55" i="734"/>
  <c r="AT55" i="734"/>
  <c r="AS55" i="734"/>
  <c r="AS61" i="734"/>
  <c r="AT61" i="734"/>
  <c r="AR61" i="734"/>
  <c r="AK69" i="734"/>
  <c r="AJ69" i="734"/>
  <c r="AL69" i="734"/>
  <c r="AO18" i="734"/>
  <c r="AP18" i="734"/>
  <c r="CA19" i="734"/>
  <c r="BU39" i="734"/>
  <c r="BU32" i="734"/>
  <c r="Y32" i="734"/>
  <c r="BE28" i="734"/>
  <c r="BF28" i="734"/>
  <c r="Y44" i="734"/>
  <c r="M61" i="734"/>
  <c r="O61" i="734"/>
  <c r="H61" i="734" s="1"/>
  <c r="N61" i="734"/>
  <c r="CS57" i="734"/>
  <c r="AZ64" i="734"/>
  <c r="BB64" i="734"/>
  <c r="BA64" i="734"/>
  <c r="Y21" i="734"/>
  <c r="FB23" i="734"/>
  <c r="FB40" i="734"/>
  <c r="BU68" i="734"/>
  <c r="CA57" i="734"/>
  <c r="BU46" i="734"/>
  <c r="CG60" i="734"/>
  <c r="V59" i="734"/>
  <c r="U59" i="734"/>
  <c r="Y59" i="734"/>
  <c r="AG59" i="734" s="1"/>
  <c r="AW59" i="734" s="1"/>
  <c r="BM59" i="734" s="1"/>
  <c r="T59" i="734"/>
  <c r="AG42" i="734"/>
  <c r="AH42" i="734"/>
  <c r="CD55" i="734"/>
  <c r="CD61" i="734"/>
  <c r="CV69" i="734"/>
  <c r="BF41" i="734"/>
  <c r="BE41" i="734"/>
  <c r="U57" i="734"/>
  <c r="Y57" i="734"/>
  <c r="AG57" i="734" s="1"/>
  <c r="AO57" i="734" s="1"/>
  <c r="BE57" i="734" s="1"/>
  <c r="T57" i="734"/>
  <c r="V57" i="734"/>
  <c r="AG39" i="734"/>
  <c r="AH39" i="734"/>
  <c r="FH25" i="734"/>
  <c r="CD53" i="734"/>
  <c r="CV63" i="734"/>
  <c r="BF29" i="734"/>
  <c r="BE29" i="734"/>
  <c r="AG23" i="734"/>
  <c r="AH23" i="734"/>
  <c r="FB34" i="734"/>
  <c r="FH11" i="734"/>
  <c r="FB58" i="734"/>
  <c r="BP60" i="734"/>
  <c r="BR60" i="734"/>
  <c r="BQ60" i="734"/>
  <c r="DT10" i="734"/>
  <c r="CY56" i="734"/>
  <c r="CX56" i="734"/>
  <c r="DA56" i="734"/>
  <c r="DE56" i="734" s="1"/>
  <c r="CZ56" i="734"/>
  <c r="CN65" i="734"/>
  <c r="CO65" i="734"/>
  <c r="AW44" i="734"/>
  <c r="AX44" i="734"/>
  <c r="CL53" i="734"/>
  <c r="CP53" i="734" s="1"/>
  <c r="CK53" i="734"/>
  <c r="CJ53" i="734"/>
  <c r="CI53" i="734"/>
  <c r="AS63" i="734"/>
  <c r="AR63" i="734"/>
  <c r="AT63" i="734"/>
  <c r="AW10" i="734"/>
  <c r="AX10" i="734"/>
  <c r="AO16" i="734"/>
  <c r="AP16" i="734"/>
  <c r="AO26" i="734"/>
  <c r="AP26" i="734"/>
  <c r="BU11" i="734"/>
  <c r="BU26" i="734"/>
  <c r="CV65" i="734"/>
  <c r="Y37" i="734"/>
  <c r="AO17" i="734"/>
  <c r="AP17" i="734"/>
  <c r="BU59" i="734"/>
  <c r="AS57" i="734"/>
  <c r="AR57" i="734"/>
  <c r="AT57" i="734"/>
  <c r="AO14" i="734"/>
  <c r="AP14" i="734"/>
  <c r="BU57" i="734"/>
  <c r="T63" i="734"/>
  <c r="V63" i="734"/>
  <c r="Y63" i="734"/>
  <c r="AG63" i="734" s="1"/>
  <c r="AO63" i="734" s="1"/>
  <c r="BE63" i="734" s="1"/>
  <c r="U63" i="734"/>
  <c r="AP11" i="734"/>
  <c r="AO11" i="734"/>
  <c r="AS66" i="734"/>
  <c r="AR66" i="734"/>
  <c r="AT66" i="734"/>
  <c r="BU14" i="734"/>
  <c r="BF38" i="734"/>
  <c r="BE38" i="734"/>
  <c r="AB52" i="734"/>
  <c r="AD52" i="734"/>
  <c r="AC52" i="734"/>
  <c r="CS62" i="734"/>
  <c r="AH41" i="734"/>
  <c r="AG41" i="734"/>
  <c r="CA48" i="734"/>
  <c r="AW33" i="734"/>
  <c r="AX33" i="734"/>
  <c r="CA14" i="734"/>
  <c r="BU62" i="734"/>
  <c r="BE48" i="734"/>
  <c r="BF48" i="734"/>
  <c r="CJ64" i="734"/>
  <c r="CI64" i="734"/>
  <c r="CK64" i="734"/>
  <c r="CL64" i="734"/>
  <c r="CP64" i="734" s="1"/>
  <c r="AX15" i="734"/>
  <c r="AW15" i="734"/>
  <c r="AX16" i="734"/>
  <c r="AW16" i="734"/>
  <c r="AW26" i="734"/>
  <c r="AX26" i="734"/>
  <c r="AO32" i="734"/>
  <c r="AP32" i="734"/>
  <c r="AO42" i="734"/>
  <c r="AP42" i="734"/>
  <c r="BU45" i="734"/>
  <c r="CG59" i="734"/>
  <c r="BE15" i="734"/>
  <c r="BF15" i="734"/>
  <c r="AW38" i="734"/>
  <c r="AX38" i="734"/>
  <c r="AW36" i="734"/>
  <c r="AX36" i="734"/>
  <c r="AK52" i="734"/>
  <c r="AJ52" i="734"/>
  <c r="AL52" i="734"/>
  <c r="CA27" i="734"/>
  <c r="AX43" i="734"/>
  <c r="AW43" i="734"/>
  <c r="AO33" i="734"/>
  <c r="AP33" i="734"/>
  <c r="AW39" i="734"/>
  <c r="AX39" i="734"/>
  <c r="AL61" i="734"/>
  <c r="AK61" i="734"/>
  <c r="AJ61" i="734"/>
  <c r="CA35" i="734"/>
  <c r="BU48" i="734"/>
  <c r="BE26" i="734"/>
  <c r="BF26" i="734"/>
  <c r="CG68" i="734"/>
  <c r="Y12" i="734"/>
  <c r="AB62" i="734"/>
  <c r="AD62" i="734"/>
  <c r="AC62" i="734"/>
  <c r="Y48" i="734"/>
  <c r="FB20" i="734"/>
  <c r="CS53" i="734"/>
  <c r="V68" i="734"/>
  <c r="U68" i="734"/>
  <c r="T68" i="734"/>
  <c r="Y68" i="734"/>
  <c r="AG68" i="734" s="1"/>
  <c r="AW68" i="734" s="1"/>
  <c r="BM68" i="734" s="1"/>
  <c r="BF40" i="734"/>
  <c r="BE40" i="734"/>
  <c r="FH57" i="734"/>
  <c r="CI54" i="734"/>
  <c r="CL54" i="734"/>
  <c r="CP54" i="734" s="1"/>
  <c r="CK54" i="734"/>
  <c r="CJ54" i="734"/>
  <c r="AP49" i="734"/>
  <c r="AO49" i="734"/>
  <c r="AW12" i="734"/>
  <c r="AX12" i="734"/>
  <c r="AO27" i="734"/>
  <c r="AP27" i="734"/>
  <c r="AO22" i="734"/>
  <c r="AP22" i="734"/>
  <c r="BU47" i="734"/>
  <c r="CA26" i="734"/>
  <c r="CA50" i="734"/>
  <c r="Y64" i="734"/>
  <c r="AG64" i="734" s="1"/>
  <c r="AO64" i="734" s="1"/>
  <c r="BE64" i="734" s="1"/>
  <c r="T64" i="734"/>
  <c r="V64" i="734"/>
  <c r="U64" i="734"/>
  <c r="CO53" i="734"/>
  <c r="AX47" i="734"/>
  <c r="AW47" i="734"/>
  <c r="AX48" i="734"/>
  <c r="AW48" i="734"/>
  <c r="AS53" i="734"/>
  <c r="AR53" i="734"/>
  <c r="AT53" i="734"/>
  <c r="AR58" i="734"/>
  <c r="AT58" i="734"/>
  <c r="AS58" i="734"/>
  <c r="AK63" i="734"/>
  <c r="AJ63" i="734"/>
  <c r="AL63" i="734"/>
  <c r="AK64" i="734"/>
  <c r="AL64" i="734"/>
  <c r="AJ64" i="734"/>
  <c r="AO10" i="734"/>
  <c r="AP10" i="734"/>
  <c r="CA11" i="734"/>
  <c r="BU27" i="734"/>
  <c r="CA39" i="734"/>
  <c r="BU20" i="734"/>
  <c r="CA28" i="734"/>
  <c r="CA40" i="734"/>
  <c r="CA13" i="734"/>
  <c r="BU22" i="734"/>
  <c r="CV60" i="734"/>
  <c r="Y31" i="734"/>
  <c r="AD61" i="734"/>
  <c r="AC61" i="734"/>
  <c r="AB61" i="734"/>
  <c r="AR60" i="734"/>
  <c r="AT60" i="734"/>
  <c r="AS60" i="734"/>
  <c r="AP28" i="734"/>
  <c r="AO28" i="734"/>
  <c r="AX35" i="734"/>
  <c r="AW35" i="734"/>
  <c r="AW41" i="734"/>
  <c r="AX41" i="734"/>
  <c r="AO51" i="734"/>
  <c r="AP51" i="734"/>
  <c r="AL57" i="734"/>
  <c r="AK57" i="734"/>
  <c r="AJ57" i="734"/>
  <c r="BU35" i="734"/>
  <c r="BU69" i="734"/>
  <c r="CA44" i="734"/>
  <c r="CA42" i="734"/>
  <c r="AZ53" i="734"/>
  <c r="BB53" i="734"/>
  <c r="BA53" i="734"/>
  <c r="AC55" i="734"/>
  <c r="AB55" i="734"/>
  <c r="AD55" i="734"/>
  <c r="AT54" i="734"/>
  <c r="AS54" i="734"/>
  <c r="AR54" i="734"/>
  <c r="AX40" i="734"/>
  <c r="AW40" i="734"/>
  <c r="AW50" i="734"/>
  <c r="AX50" i="734"/>
  <c r="AK56" i="734"/>
  <c r="AJ56" i="734"/>
  <c r="AL56" i="734"/>
  <c r="AL66" i="734"/>
  <c r="AK66" i="734"/>
  <c r="AJ66" i="734"/>
  <c r="CA63" i="734"/>
  <c r="BU56" i="734"/>
  <c r="CA29" i="734"/>
  <c r="BU49" i="734"/>
  <c r="CG69" i="734"/>
  <c r="AZ65" i="734"/>
  <c r="BB65" i="734"/>
  <c r="BA65" i="734"/>
  <c r="Y22" i="734"/>
  <c r="AC69" i="734"/>
  <c r="AB69" i="734"/>
  <c r="AD69" i="734"/>
  <c r="FH20" i="734"/>
  <c r="FH26" i="734"/>
  <c r="BE42" i="734"/>
  <c r="BF42" i="734"/>
  <c r="U58" i="734"/>
  <c r="Y58" i="734"/>
  <c r="AG58" i="734" s="1"/>
  <c r="AW58" i="734" s="1"/>
  <c r="BM58" i="734" s="1"/>
  <c r="V58" i="734"/>
  <c r="T58" i="734"/>
  <c r="AC56" i="734"/>
  <c r="AB56" i="734"/>
  <c r="AD56" i="734"/>
  <c r="CA62" i="734"/>
  <c r="Y38" i="734"/>
  <c r="FH41" i="734"/>
  <c r="J15" i="734"/>
  <c r="CV58" i="734"/>
  <c r="AZ62" i="734"/>
  <c r="BA62" i="734"/>
  <c r="BB62" i="734"/>
  <c r="AG25" i="734"/>
  <c r="AH25" i="734"/>
  <c r="FH43" i="734"/>
  <c r="Y39" i="734"/>
  <c r="AG14" i="734"/>
  <c r="AH14" i="734"/>
  <c r="FB32" i="734"/>
  <c r="DV12" i="734"/>
  <c r="BM17" i="734"/>
  <c r="BN17" i="734"/>
  <c r="BF43" i="734"/>
  <c r="BE43" i="734"/>
  <c r="O56" i="734"/>
  <c r="H56" i="734" s="1"/>
  <c r="N56" i="734"/>
  <c r="M56" i="734"/>
  <c r="FB55" i="734"/>
  <c r="FH40" i="734"/>
  <c r="CD56" i="734"/>
  <c r="CD66" i="734"/>
  <c r="BF35" i="734"/>
  <c r="BE35" i="734"/>
  <c r="Y51" i="734"/>
  <c r="AH30" i="734"/>
  <c r="AG30" i="734"/>
  <c r="CG58" i="734"/>
  <c r="CS64" i="734"/>
  <c r="BE23" i="734"/>
  <c r="BF23" i="734"/>
  <c r="Y45" i="734"/>
  <c r="FH27" i="734"/>
  <c r="N54" i="734"/>
  <c r="M54" i="734"/>
  <c r="O54" i="734"/>
  <c r="H54" i="734" s="1"/>
  <c r="DA28" i="734"/>
  <c r="J67" i="734"/>
  <c r="DT19" i="734"/>
  <c r="EY32" i="734"/>
  <c r="EX32" i="734"/>
  <c r="CK52" i="734"/>
  <c r="CJ52" i="734"/>
  <c r="CL52" i="734"/>
  <c r="CP52" i="734" s="1"/>
  <c r="CI52" i="734"/>
  <c r="CK57" i="734"/>
  <c r="CJ57" i="734"/>
  <c r="CI57" i="734"/>
  <c r="CL57" i="734"/>
  <c r="CP57" i="734" s="1"/>
  <c r="CJ62" i="734"/>
  <c r="CI62" i="734"/>
  <c r="CL62" i="734"/>
  <c r="CP62" i="734" s="1"/>
  <c r="CK62" i="734"/>
  <c r="AS67" i="734"/>
  <c r="AR67" i="734"/>
  <c r="AT67" i="734"/>
  <c r="AS68" i="734"/>
  <c r="AT68" i="734"/>
  <c r="AR68" i="734"/>
  <c r="AX14" i="734"/>
  <c r="AW14" i="734"/>
  <c r="AO19" i="734"/>
  <c r="AP19" i="734"/>
  <c r="AP20" i="734"/>
  <c r="AO20" i="734"/>
  <c r="AP25" i="734"/>
  <c r="AO25" i="734"/>
  <c r="AO30" i="734"/>
  <c r="AP30" i="734"/>
  <c r="CA31" i="734"/>
  <c r="CA59" i="734"/>
  <c r="BU24" i="734"/>
  <c r="BU64" i="734"/>
  <c r="CA37" i="734"/>
  <c r="CG65" i="734"/>
  <c r="Y10" i="734"/>
  <c r="CO60" i="734"/>
  <c r="CN60" i="734"/>
  <c r="CK59" i="734"/>
  <c r="CI59" i="734"/>
  <c r="CL59" i="734"/>
  <c r="CP59" i="734" s="1"/>
  <c r="CJ59" i="734"/>
  <c r="AX17" i="734"/>
  <c r="AW17" i="734"/>
  <c r="AL59" i="734"/>
  <c r="AK59" i="734"/>
  <c r="AJ59" i="734"/>
  <c r="AO59" i="734"/>
  <c r="BE59" i="734" s="1"/>
  <c r="CJ55" i="734"/>
  <c r="CI55" i="734"/>
  <c r="CL55" i="734"/>
  <c r="CP55" i="734" s="1"/>
  <c r="CK55" i="734"/>
  <c r="CL56" i="734"/>
  <c r="CP56" i="734" s="1"/>
  <c r="CK56" i="734"/>
  <c r="CJ56" i="734"/>
  <c r="CI56" i="734"/>
  <c r="CI61" i="734"/>
  <c r="CL61" i="734"/>
  <c r="CP61" i="734" s="1"/>
  <c r="CK61" i="734"/>
  <c r="CJ61" i="734"/>
  <c r="CL66" i="734"/>
  <c r="CP66" i="734" s="1"/>
  <c r="CK66" i="734"/>
  <c r="CJ66" i="734"/>
  <c r="CI66" i="734"/>
  <c r="AT69" i="734"/>
  <c r="AS69" i="734"/>
  <c r="AR69" i="734"/>
  <c r="AW13" i="734"/>
  <c r="AX13" i="734"/>
  <c r="AW18" i="734"/>
  <c r="AX18" i="734"/>
  <c r="AP23" i="734"/>
  <c r="AO23" i="734"/>
  <c r="AO24" i="734"/>
  <c r="AP24" i="734"/>
  <c r="AO29" i="734"/>
  <c r="AP29" i="734"/>
  <c r="AP34" i="734"/>
  <c r="AO34" i="734"/>
  <c r="CA23" i="734"/>
  <c r="BU40" i="734"/>
  <c r="BU30" i="734"/>
  <c r="BU54" i="734"/>
  <c r="Y42" i="734"/>
  <c r="FB42" i="734"/>
  <c r="CA65" i="734"/>
  <c r="CV52" i="734"/>
  <c r="CV57" i="734"/>
  <c r="CV62" i="734"/>
  <c r="BA60" i="734"/>
  <c r="AZ60" i="734"/>
  <c r="BB60" i="734"/>
  <c r="Y11" i="734"/>
  <c r="Y17" i="734"/>
  <c r="O59" i="734"/>
  <c r="H59" i="734" s="1"/>
  <c r="N59" i="734"/>
  <c r="M59" i="734"/>
  <c r="AG37" i="734"/>
  <c r="AH37" i="734"/>
  <c r="FH49" i="734"/>
  <c r="CG52" i="734"/>
  <c r="CG57" i="734"/>
  <c r="CG62" i="734"/>
  <c r="CV67" i="734"/>
  <c r="CV68" i="734"/>
  <c r="BE31" i="734"/>
  <c r="BF31" i="734"/>
  <c r="BB37" i="734"/>
  <c r="AZ37" i="734"/>
  <c r="BA37" i="734"/>
  <c r="Y47" i="734"/>
  <c r="Y53" i="734"/>
  <c r="AG53" i="734" s="1"/>
  <c r="AW53" i="734" s="1"/>
  <c r="BM53" i="734" s="1"/>
  <c r="U53" i="734"/>
  <c r="V53" i="734"/>
  <c r="T53" i="734"/>
  <c r="AG35" i="734"/>
  <c r="AH35" i="734"/>
  <c r="AG26" i="734"/>
  <c r="AH26" i="734"/>
  <c r="BU13" i="734"/>
  <c r="BU37" i="734"/>
  <c r="BU61" i="734"/>
  <c r="BE12" i="734"/>
  <c r="BF12" i="734"/>
  <c r="Y28" i="734"/>
  <c r="FB59" i="734"/>
  <c r="FH21" i="734"/>
  <c r="FH38" i="734"/>
  <c r="CA33" i="734"/>
  <c r="CA49" i="734"/>
  <c r="CG63" i="734"/>
  <c r="CG64" i="734"/>
  <c r="BF51" i="734"/>
  <c r="BE51" i="734"/>
  <c r="BB57" i="734"/>
  <c r="BA57" i="734"/>
  <c r="AZ57" i="734"/>
  <c r="V67" i="734"/>
  <c r="T67" i="734"/>
  <c r="U67" i="734"/>
  <c r="Y67" i="734"/>
  <c r="AG67" i="734" s="1"/>
  <c r="AO67" i="734" s="1"/>
  <c r="BE67" i="734" s="1"/>
  <c r="Y14" i="734"/>
  <c r="O68" i="734"/>
  <c r="H68" i="734" s="1"/>
  <c r="M68" i="734"/>
  <c r="N68" i="734"/>
  <c r="AB63" i="734"/>
  <c r="AD63" i="734"/>
  <c r="AC63" i="734"/>
  <c r="AG50" i="734"/>
  <c r="AH50" i="734"/>
  <c r="FH46" i="734"/>
  <c r="CG56" i="734"/>
  <c r="CG61" i="734"/>
  <c r="CG66" i="734"/>
  <c r="CS69" i="734"/>
  <c r="BE39" i="734"/>
  <c r="BF39" i="734"/>
  <c r="BF45" i="734"/>
  <c r="BE45" i="734"/>
  <c r="T55" i="734"/>
  <c r="Y55" i="734"/>
  <c r="AG55" i="734" s="1"/>
  <c r="AW55" i="734" s="1"/>
  <c r="BM55" i="734" s="1"/>
  <c r="U55" i="734"/>
  <c r="V55" i="734"/>
  <c r="V61" i="734"/>
  <c r="T61" i="734"/>
  <c r="U61" i="734"/>
  <c r="Y61" i="734"/>
  <c r="AG61" i="734" s="1"/>
  <c r="AW61" i="734" s="1"/>
  <c r="BM61" i="734" s="1"/>
  <c r="M52" i="734"/>
  <c r="O52" i="734"/>
  <c r="H52" i="734" s="1"/>
  <c r="N52" i="734"/>
  <c r="AG47" i="734"/>
  <c r="AH47" i="734"/>
  <c r="AH34" i="734"/>
  <c r="AG34" i="734"/>
  <c r="FH55" i="734"/>
  <c r="FB25" i="734"/>
  <c r="FH61" i="734"/>
  <c r="M60" i="734"/>
  <c r="N60" i="734"/>
  <c r="O60" i="734"/>
  <c r="H60" i="734" s="1"/>
  <c r="AH11" i="734"/>
  <c r="AG11" i="734"/>
  <c r="AG17" i="734"/>
  <c r="AH17" i="734"/>
  <c r="FH31" i="734"/>
  <c r="FH47" i="734"/>
  <c r="FH34" i="734"/>
  <c r="FH62" i="734"/>
  <c r="J51" i="734"/>
  <c r="J57" i="734"/>
  <c r="DV60" i="734"/>
  <c r="DA17" i="734"/>
  <c r="DT33" i="734"/>
  <c r="BI65" i="734"/>
  <c r="BJ65" i="734"/>
  <c r="BH65" i="734"/>
  <c r="J68" i="734"/>
  <c r="DA47" i="734"/>
  <c r="J39" i="734"/>
  <c r="DT13" i="734"/>
  <c r="DN45" i="734"/>
  <c r="CK67" i="734"/>
  <c r="CI67" i="734"/>
  <c r="CJ67" i="734"/>
  <c r="CL67" i="734"/>
  <c r="CP67" i="734" s="1"/>
  <c r="CK68" i="734"/>
  <c r="CJ68" i="734"/>
  <c r="CL68" i="734"/>
  <c r="CP68" i="734" s="1"/>
  <c r="CI68" i="734"/>
  <c r="AW19" i="734"/>
  <c r="AX19" i="734"/>
  <c r="AW20" i="734"/>
  <c r="AX20" i="734"/>
  <c r="AW25" i="734"/>
  <c r="AX25" i="734"/>
  <c r="AW30" i="734"/>
  <c r="AX30" i="734"/>
  <c r="AO35" i="734"/>
  <c r="AP35" i="734"/>
  <c r="AO36" i="734"/>
  <c r="AP36" i="734"/>
  <c r="AO41" i="734"/>
  <c r="AP41" i="734"/>
  <c r="AO46" i="734"/>
  <c r="AP46" i="734"/>
  <c r="BU15" i="734"/>
  <c r="BU23" i="734"/>
  <c r="CA24" i="734"/>
  <c r="CA10" i="734"/>
  <c r="BU34" i="734"/>
  <c r="CD63" i="734"/>
  <c r="BE47" i="734"/>
  <c r="BF47" i="734"/>
  <c r="M64" i="734"/>
  <c r="O64" i="734"/>
  <c r="H64" i="734" s="1"/>
  <c r="N64" i="734"/>
  <c r="AW27" i="734"/>
  <c r="AX27" i="734"/>
  <c r="AR65" i="734"/>
  <c r="AT65" i="734"/>
  <c r="AS65" i="734"/>
  <c r="AP44" i="734"/>
  <c r="AO44" i="734"/>
  <c r="CN56" i="734"/>
  <c r="CO56" i="734"/>
  <c r="CN61" i="734"/>
  <c r="CO61" i="734"/>
  <c r="CJ69" i="734"/>
  <c r="CK69" i="734"/>
  <c r="CI69" i="734"/>
  <c r="CL69" i="734"/>
  <c r="CP69" i="734" s="1"/>
  <c r="AW23" i="734"/>
  <c r="AX23" i="734"/>
  <c r="AX24" i="734"/>
  <c r="AW24" i="734"/>
  <c r="AX29" i="734"/>
  <c r="AW29" i="734"/>
  <c r="AW34" i="734"/>
  <c r="AX34" i="734"/>
  <c r="AO39" i="734"/>
  <c r="AP39" i="734"/>
  <c r="AP40" i="734"/>
  <c r="AO40" i="734"/>
  <c r="AO45" i="734"/>
  <c r="AP45" i="734"/>
  <c r="AO50" i="734"/>
  <c r="AP50" i="734"/>
  <c r="BU43" i="734"/>
  <c r="CA51" i="734"/>
  <c r="CA16" i="734"/>
  <c r="BU44" i="734"/>
  <c r="CA68" i="734"/>
  <c r="CA25" i="734"/>
  <c r="BU10" i="734"/>
  <c r="CG67" i="734"/>
  <c r="BF16" i="734"/>
  <c r="BE16" i="734"/>
  <c r="CA34" i="734"/>
  <c r="BU58" i="734"/>
  <c r="CD59" i="734"/>
  <c r="CD52" i="734"/>
  <c r="CD57" i="734"/>
  <c r="CD62" i="734"/>
  <c r="CS67" i="734"/>
  <c r="CS68" i="734"/>
  <c r="BF27" i="734"/>
  <c r="BE27" i="734"/>
  <c r="BE33" i="734"/>
  <c r="BF33" i="734"/>
  <c r="Y43" i="734"/>
  <c r="Y49" i="734"/>
  <c r="AG31" i="734"/>
  <c r="AH31" i="734"/>
  <c r="AG18" i="734"/>
  <c r="AH18" i="734"/>
  <c r="FB12" i="734"/>
  <c r="CD68" i="734"/>
  <c r="AZ63" i="734"/>
  <c r="BB63" i="734"/>
  <c r="BA63" i="734"/>
  <c r="BF10" i="734"/>
  <c r="BE10" i="734"/>
  <c r="Y16" i="734"/>
  <c r="Y26" i="734"/>
  <c r="AG16" i="734"/>
  <c r="AH16" i="734"/>
  <c r="AD66" i="734"/>
  <c r="AC66" i="734"/>
  <c r="AB66" i="734"/>
  <c r="FH53" i="734"/>
  <c r="CA21" i="734"/>
  <c r="CD67" i="734"/>
  <c r="CD65" i="734"/>
  <c r="BF49" i="734"/>
  <c r="BE49" i="734"/>
  <c r="V65" i="734"/>
  <c r="U65" i="734"/>
  <c r="Y65" i="734"/>
  <c r="AG65" i="734" s="1"/>
  <c r="AO65" i="734" s="1"/>
  <c r="BE65" i="734" s="1"/>
  <c r="T65" i="734"/>
  <c r="AH51" i="734"/>
  <c r="AG51" i="734"/>
  <c r="FB31" i="734"/>
  <c r="FB18" i="734"/>
  <c r="FB56" i="734"/>
  <c r="FB37" i="734"/>
  <c r="FB14" i="734"/>
  <c r="BU41" i="734"/>
  <c r="CA18" i="734"/>
  <c r="BE36" i="734"/>
  <c r="BF36" i="734"/>
  <c r="BF46" i="734"/>
  <c r="BE46" i="734"/>
  <c r="V52" i="734"/>
  <c r="U52" i="734"/>
  <c r="T52" i="734"/>
  <c r="Y52" i="734"/>
  <c r="AG52" i="734" s="1"/>
  <c r="AO52" i="734" s="1"/>
  <c r="BE52" i="734" s="1"/>
  <c r="T62" i="734"/>
  <c r="V62" i="734"/>
  <c r="Y62" i="734"/>
  <c r="AG62" i="734" s="1"/>
  <c r="AW62" i="734" s="1"/>
  <c r="BM62" i="734" s="1"/>
  <c r="U62" i="734"/>
  <c r="AC64" i="734"/>
  <c r="AB64" i="734"/>
  <c r="AD64" i="734"/>
  <c r="FB39" i="734"/>
  <c r="FH28" i="734"/>
  <c r="FH18" i="734"/>
  <c r="BF24" i="734"/>
  <c r="BE24" i="734"/>
  <c r="BE34" i="734"/>
  <c r="BF34" i="734"/>
  <c r="Y40" i="734"/>
  <c r="Y50" i="734"/>
  <c r="M57" i="734"/>
  <c r="O57" i="734"/>
  <c r="H57" i="734" s="1"/>
  <c r="N57" i="734"/>
  <c r="AH48" i="734"/>
  <c r="AG48" i="734"/>
  <c r="FB15" i="734"/>
  <c r="FH63" i="734"/>
  <c r="FB24" i="734"/>
  <c r="FH66" i="734"/>
  <c r="AD59" i="734"/>
  <c r="AC59" i="734"/>
  <c r="AB59" i="734"/>
  <c r="AD65" i="734"/>
  <c r="AC65" i="734"/>
  <c r="AB65" i="734"/>
  <c r="FH12" i="734"/>
  <c r="FH48" i="734"/>
  <c r="FH22" i="734"/>
  <c r="FB60" i="734"/>
  <c r="J38" i="734"/>
  <c r="DV22" i="734"/>
  <c r="DA38" i="734"/>
  <c r="DT54" i="734"/>
  <c r="BN11" i="734"/>
  <c r="BM11" i="734"/>
  <c r="CY53" i="734"/>
  <c r="CX53" i="734"/>
  <c r="DA53" i="734"/>
  <c r="DE53" i="734" s="1"/>
  <c r="CZ53" i="734"/>
  <c r="J58" i="734"/>
  <c r="BN51" i="734"/>
  <c r="BM51" i="734"/>
  <c r="J45" i="734"/>
  <c r="EX12" i="734"/>
  <c r="EY12" i="734"/>
  <c r="EY30" i="734"/>
  <c r="EX30" i="734"/>
  <c r="BE50" i="734"/>
  <c r="BF50" i="734"/>
  <c r="T56" i="734"/>
  <c r="V56" i="734"/>
  <c r="U56" i="734"/>
  <c r="Y56" i="734"/>
  <c r="AG56" i="734" s="1"/>
  <c r="AO56" i="734" s="1"/>
  <c r="BE56" i="734" s="1"/>
  <c r="V66" i="734"/>
  <c r="T66" i="734"/>
  <c r="Y66" i="734"/>
  <c r="AG66" i="734" s="1"/>
  <c r="AO66" i="734" s="1"/>
  <c r="BE66" i="734" s="1"/>
  <c r="U66" i="734"/>
  <c r="AD68" i="734"/>
  <c r="AB68" i="734"/>
  <c r="AC68" i="734"/>
  <c r="FH15" i="734"/>
  <c r="FB64" i="734"/>
  <c r="J31" i="734"/>
  <c r="O65" i="734"/>
  <c r="H65" i="734" s="1"/>
  <c r="M65" i="734"/>
  <c r="N65" i="734"/>
  <c r="AH12" i="734"/>
  <c r="AG12" i="734"/>
  <c r="AG22" i="734"/>
  <c r="AH22" i="734"/>
  <c r="FH19" i="734"/>
  <c r="FH32" i="734"/>
  <c r="FH65" i="734"/>
  <c r="FH44" i="734"/>
  <c r="FH60" i="734"/>
  <c r="FB57" i="734"/>
  <c r="FB62" i="734"/>
  <c r="J52" i="734"/>
  <c r="J62" i="734"/>
  <c r="DA11" i="734"/>
  <c r="DT27" i="734"/>
  <c r="BJ59" i="734"/>
  <c r="BI59" i="734"/>
  <c r="BH59" i="734"/>
  <c r="DV31" i="734"/>
  <c r="DT63" i="734"/>
  <c r="BN48" i="734"/>
  <c r="BM48" i="734"/>
  <c r="DV62" i="734"/>
  <c r="DV40" i="734"/>
  <c r="DN29" i="734"/>
  <c r="J28" i="734"/>
  <c r="J33" i="734"/>
  <c r="DV16" i="734"/>
  <c r="DV26" i="734"/>
  <c r="DA32" i="734"/>
  <c r="DA42" i="734"/>
  <c r="DT48" i="734"/>
  <c r="DT58" i="734"/>
  <c r="BQ64" i="734"/>
  <c r="BP64" i="734"/>
  <c r="BR64" i="734"/>
  <c r="BM15" i="734"/>
  <c r="BN15" i="734"/>
  <c r="BJ53" i="734"/>
  <c r="BI53" i="734"/>
  <c r="BH53" i="734"/>
  <c r="J29" i="734"/>
  <c r="DV67" i="734"/>
  <c r="DA20" i="734"/>
  <c r="DT36" i="734"/>
  <c r="BR52" i="734"/>
  <c r="BQ52" i="734"/>
  <c r="BP52" i="734"/>
  <c r="BH68" i="734"/>
  <c r="BJ68" i="734"/>
  <c r="BI68" i="734"/>
  <c r="J16" i="734"/>
  <c r="J26" i="734"/>
  <c r="DV61" i="734"/>
  <c r="DA18" i="734"/>
  <c r="DT34" i="734"/>
  <c r="DN68" i="734"/>
  <c r="DH55" i="734"/>
  <c r="BU52" i="734"/>
  <c r="BU65" i="734"/>
  <c r="CA54" i="734"/>
  <c r="CA66" i="734"/>
  <c r="CS54" i="734"/>
  <c r="BE44" i="734"/>
  <c r="BF44" i="734"/>
  <c r="BA54" i="734"/>
  <c r="AZ54" i="734"/>
  <c r="BB54" i="734"/>
  <c r="U60" i="734"/>
  <c r="T60" i="734"/>
  <c r="Y60" i="734"/>
  <c r="AG60" i="734" s="1"/>
  <c r="AW60" i="734" s="1"/>
  <c r="BM60" i="734" s="1"/>
  <c r="V60" i="734"/>
  <c r="AH13" i="734"/>
  <c r="AG13" i="734"/>
  <c r="FB19" i="734"/>
  <c r="FB43" i="734"/>
  <c r="FH67" i="734"/>
  <c r="FB41" i="734"/>
  <c r="J11" i="734"/>
  <c r="FB22" i="734"/>
  <c r="BU17" i="734"/>
  <c r="BU25" i="734"/>
  <c r="BU53" i="734"/>
  <c r="BU66" i="734"/>
  <c r="CD69" i="734"/>
  <c r="CS55" i="734"/>
  <c r="CV56" i="734"/>
  <c r="CV61" i="734"/>
  <c r="CV66" i="734"/>
  <c r="BB67" i="734"/>
  <c r="BA67" i="734"/>
  <c r="AZ67" i="734"/>
  <c r="AZ68" i="734"/>
  <c r="BB68" i="734"/>
  <c r="BA68" i="734"/>
  <c r="BF14" i="734"/>
  <c r="BE14" i="734"/>
  <c r="Y19" i="734"/>
  <c r="Y20" i="734"/>
  <c r="Y25" i="734"/>
  <c r="Y30" i="734"/>
  <c r="N67" i="734"/>
  <c r="M67" i="734"/>
  <c r="O67" i="734"/>
  <c r="H67" i="734" s="1"/>
  <c r="O58" i="734"/>
  <c r="H58" i="734" s="1"/>
  <c r="N58" i="734"/>
  <c r="M58" i="734"/>
  <c r="AH20" i="734"/>
  <c r="AG20" i="734"/>
  <c r="AH45" i="734"/>
  <c r="AG45" i="734"/>
  <c r="FH23" i="734"/>
  <c r="FB47" i="734"/>
  <c r="FH59" i="734"/>
  <c r="FH56" i="734"/>
  <c r="FH13" i="734"/>
  <c r="CD64" i="734"/>
  <c r="CV53" i="734"/>
  <c r="CS58" i="734"/>
  <c r="BA55" i="734"/>
  <c r="BB55" i="734"/>
  <c r="AZ55" i="734"/>
  <c r="BA56" i="734"/>
  <c r="AZ56" i="734"/>
  <c r="BB56" i="734"/>
  <c r="BB61" i="734"/>
  <c r="AZ61" i="734"/>
  <c r="BA61" i="734"/>
  <c r="AZ66" i="734"/>
  <c r="BB66" i="734"/>
  <c r="BA66" i="734"/>
  <c r="T69" i="734"/>
  <c r="V69" i="734"/>
  <c r="U69" i="734"/>
  <c r="Y69" i="734"/>
  <c r="AG69" i="734" s="1"/>
  <c r="AW69" i="734" s="1"/>
  <c r="BM69" i="734" s="1"/>
  <c r="Y13" i="734"/>
  <c r="Y18" i="734"/>
  <c r="N55" i="734"/>
  <c r="M55" i="734"/>
  <c r="O55" i="734"/>
  <c r="H55" i="734" s="1"/>
  <c r="AB67" i="734"/>
  <c r="AD67" i="734"/>
  <c r="AC67" i="734"/>
  <c r="AG29" i="734"/>
  <c r="AH29" i="734"/>
  <c r="AC58" i="734"/>
  <c r="AD58" i="734"/>
  <c r="AB58" i="734"/>
  <c r="FB68" i="734"/>
  <c r="FB45" i="734"/>
  <c r="FB65" i="734"/>
  <c r="AG27" i="734"/>
  <c r="AH27" i="734"/>
  <c r="AH28" i="734"/>
  <c r="AG28" i="734"/>
  <c r="AH33" i="734"/>
  <c r="AG33" i="734"/>
  <c r="AG38" i="734"/>
  <c r="AH38" i="734"/>
  <c r="FB67" i="734"/>
  <c r="FH16" i="734"/>
  <c r="FH52" i="734"/>
  <c r="FB21" i="734"/>
  <c r="FB29" i="734"/>
  <c r="FB38" i="734"/>
  <c r="FB50" i="734"/>
  <c r="J23" i="734"/>
  <c r="J59" i="734"/>
  <c r="J60" i="734"/>
  <c r="J65" i="734"/>
  <c r="DV11" i="734"/>
  <c r="DV17" i="734"/>
  <c r="DA27" i="734"/>
  <c r="DA33" i="734"/>
  <c r="DT43" i="734"/>
  <c r="DT49" i="734"/>
  <c r="BR59" i="734"/>
  <c r="BQ59" i="734"/>
  <c r="BP59" i="734"/>
  <c r="BR65" i="734"/>
  <c r="BQ65" i="734"/>
  <c r="BP65" i="734"/>
  <c r="BM12" i="734"/>
  <c r="BN12" i="734"/>
  <c r="BN22" i="734"/>
  <c r="BM22" i="734"/>
  <c r="DN59" i="734"/>
  <c r="J41" i="734"/>
  <c r="DV32" i="734"/>
  <c r="DV42" i="734"/>
  <c r="DA48" i="734"/>
  <c r="CZ58" i="734"/>
  <c r="CX58" i="734"/>
  <c r="DA58" i="734"/>
  <c r="DE58" i="734" s="1"/>
  <c r="CY58" i="734"/>
  <c r="DT64" i="734"/>
  <c r="BM31" i="734"/>
  <c r="BN31" i="734"/>
  <c r="BM42" i="734"/>
  <c r="BN42" i="734"/>
  <c r="J47" i="734"/>
  <c r="J53" i="734"/>
  <c r="DV52" i="734"/>
  <c r="CX68" i="734"/>
  <c r="CZ68" i="734"/>
  <c r="DA68" i="734"/>
  <c r="DE68" i="734" s="1"/>
  <c r="I68" i="734" s="1"/>
  <c r="CY68" i="734"/>
  <c r="DT25" i="734"/>
  <c r="BI57" i="734"/>
  <c r="BH57" i="734"/>
  <c r="BJ57" i="734"/>
  <c r="DV50" i="734"/>
  <c r="CX66" i="734"/>
  <c r="CY66" i="734"/>
  <c r="DA66" i="734"/>
  <c r="DE66" i="734" s="1"/>
  <c r="CZ66" i="734"/>
  <c r="BN39" i="734"/>
  <c r="BM39" i="734"/>
  <c r="DN38" i="734"/>
  <c r="DN42" i="734"/>
  <c r="DN28" i="734"/>
  <c r="FB33" i="734"/>
  <c r="CA64" i="734"/>
  <c r="CA41" i="734"/>
  <c r="CA46" i="734"/>
  <c r="CG55" i="734"/>
  <c r="CD54" i="734"/>
  <c r="CS59" i="734"/>
  <c r="CS60" i="734"/>
  <c r="CS65" i="734"/>
  <c r="BF11" i="734"/>
  <c r="BE11" i="734"/>
  <c r="BE17" i="734"/>
  <c r="BF17" i="734"/>
  <c r="Y27" i="734"/>
  <c r="Y33" i="734"/>
  <c r="N66" i="734"/>
  <c r="M66" i="734"/>
  <c r="O66" i="734"/>
  <c r="H66" i="734" s="1"/>
  <c r="AD57" i="734"/>
  <c r="AC57" i="734"/>
  <c r="AB57" i="734"/>
  <c r="FH69" i="734"/>
  <c r="FB44" i="734"/>
  <c r="FB36" i="734"/>
  <c r="FB52" i="734"/>
  <c r="FB26" i="734"/>
  <c r="CA17" i="734"/>
  <c r="BU29" i="734"/>
  <c r="CA45" i="734"/>
  <c r="CA22" i="734"/>
  <c r="BU50" i="734"/>
  <c r="CG53" i="734"/>
  <c r="CD58" i="734"/>
  <c r="CS63" i="734"/>
  <c r="CV64" i="734"/>
  <c r="BF19" i="734"/>
  <c r="BE19" i="734"/>
  <c r="BF20" i="734"/>
  <c r="BE20" i="734"/>
  <c r="BE25" i="734"/>
  <c r="BF25" i="734"/>
  <c r="BF30" i="734"/>
  <c r="BE30" i="734"/>
  <c r="Y35" i="734"/>
  <c r="Y36" i="734"/>
  <c r="Y41" i="734"/>
  <c r="Y46" i="734"/>
  <c r="N53" i="734"/>
  <c r="M53" i="734"/>
  <c r="O53" i="734"/>
  <c r="H53" i="734" s="1"/>
  <c r="AH19" i="734"/>
  <c r="AG19" i="734"/>
  <c r="AG40" i="734"/>
  <c r="AH40" i="734"/>
  <c r="AG10" i="734"/>
  <c r="AH10" i="734"/>
  <c r="FH39" i="734"/>
  <c r="FH51" i="734"/>
  <c r="FH24" i="734"/>
  <c r="FB17" i="734"/>
  <c r="FH14" i="734"/>
  <c r="CV55" i="734"/>
  <c r="CS56" i="734"/>
  <c r="CS61" i="734"/>
  <c r="CS66" i="734"/>
  <c r="AZ69" i="734"/>
  <c r="BA69" i="734"/>
  <c r="BB69" i="734"/>
  <c r="BE13" i="734"/>
  <c r="BF13" i="734"/>
  <c r="BE18" i="734"/>
  <c r="BF18" i="734"/>
  <c r="Y23" i="734"/>
  <c r="Y24" i="734"/>
  <c r="Y29" i="734"/>
  <c r="Y34" i="734"/>
  <c r="O69" i="734"/>
  <c r="H69" i="734" s="1"/>
  <c r="N69" i="734"/>
  <c r="M69" i="734"/>
  <c r="O62" i="734"/>
  <c r="H62" i="734" s="1"/>
  <c r="N62" i="734"/>
  <c r="M62" i="734"/>
  <c r="AG24" i="734"/>
  <c r="AH24" i="734"/>
  <c r="AD53" i="734"/>
  <c r="AC53" i="734"/>
  <c r="AB53" i="734"/>
  <c r="FB11" i="734"/>
  <c r="FH35" i="734"/>
  <c r="FB69" i="734"/>
  <c r="FH10" i="734"/>
  <c r="FH54" i="734"/>
  <c r="AH43" i="734"/>
  <c r="AG43" i="734"/>
  <c r="AH44" i="734"/>
  <c r="AG44" i="734"/>
  <c r="AG49" i="734"/>
  <c r="AH49" i="734"/>
  <c r="AC54" i="734"/>
  <c r="AB54" i="734"/>
  <c r="AD54" i="734"/>
  <c r="FB27" i="734"/>
  <c r="FB35" i="734"/>
  <c r="FB16" i="734"/>
  <c r="FB28" i="734"/>
  <c r="FH36" i="734"/>
  <c r="FB13" i="734"/>
  <c r="FH33" i="734"/>
  <c r="FB49" i="734"/>
  <c r="FB54" i="734"/>
  <c r="FB48" i="734"/>
  <c r="FH64" i="734"/>
  <c r="FH17" i="734"/>
  <c r="FH29" i="734"/>
  <c r="FH50" i="734"/>
  <c r="J19" i="734"/>
  <c r="DV59" i="734"/>
  <c r="DV65" i="734"/>
  <c r="DA12" i="734"/>
  <c r="DA22" i="734"/>
  <c r="DT28" i="734"/>
  <c r="DT38" i="734"/>
  <c r="BP54" i="734"/>
  <c r="BR54" i="734"/>
  <c r="BQ54" i="734"/>
  <c r="BH60" i="734"/>
  <c r="BJ60" i="734"/>
  <c r="BI60" i="734"/>
  <c r="DH11" i="734"/>
  <c r="DV15" i="734"/>
  <c r="DV21" i="734"/>
  <c r="CY31" i="734"/>
  <c r="CZ31" i="734"/>
  <c r="DA31" i="734"/>
  <c r="DE31" i="734" s="1"/>
  <c r="CX31" i="734"/>
  <c r="CX37" i="734"/>
  <c r="CY37" i="734"/>
  <c r="DA37" i="734"/>
  <c r="DE37" i="734" s="1"/>
  <c r="CZ37" i="734"/>
  <c r="DT47" i="734"/>
  <c r="DT53" i="734"/>
  <c r="BR63" i="734"/>
  <c r="BP63" i="734"/>
  <c r="BQ63" i="734"/>
  <c r="BM32" i="734"/>
  <c r="BN32" i="734"/>
  <c r="J34" i="734"/>
  <c r="DV14" i="734"/>
  <c r="DA30" i="734"/>
  <c r="DT46" i="734"/>
  <c r="BP62" i="734"/>
  <c r="BR62" i="734"/>
  <c r="BQ62" i="734"/>
  <c r="DV55" i="734"/>
  <c r="CY69" i="734"/>
  <c r="CX69" i="734"/>
  <c r="DA69" i="734"/>
  <c r="DE69" i="734" s="1"/>
  <c r="CZ69" i="734"/>
  <c r="DT24" i="734"/>
  <c r="BN29" i="734"/>
  <c r="BM29" i="734"/>
  <c r="FH45" i="734"/>
  <c r="FB53" i="734"/>
  <c r="FB61" i="734"/>
  <c r="FB10" i="734"/>
  <c r="FH42" i="734"/>
  <c r="J35" i="734"/>
  <c r="J36" i="734"/>
  <c r="J14" i="734"/>
  <c r="J46" i="734"/>
  <c r="DV27" i="734"/>
  <c r="DV28" i="734"/>
  <c r="DV33" i="734"/>
  <c r="DV38" i="734"/>
  <c r="DA43" i="734"/>
  <c r="DA44" i="734"/>
  <c r="DA49" i="734"/>
  <c r="CX54" i="734"/>
  <c r="DA54" i="734"/>
  <c r="DE54" i="734" s="1"/>
  <c r="CZ54" i="734"/>
  <c r="CY54" i="734"/>
  <c r="DT59" i="734"/>
  <c r="DT60" i="734"/>
  <c r="DT65" i="734"/>
  <c r="BN27" i="734"/>
  <c r="BM27" i="734"/>
  <c r="BN28" i="734"/>
  <c r="BM28" i="734"/>
  <c r="BM33" i="734"/>
  <c r="BN33" i="734"/>
  <c r="BM38" i="734"/>
  <c r="BN38" i="734"/>
  <c r="J12" i="734"/>
  <c r="J17" i="734"/>
  <c r="DV47" i="734"/>
  <c r="DV48" i="734"/>
  <c r="DV53" i="734"/>
  <c r="DV58" i="734"/>
  <c r="DA63" i="734"/>
  <c r="DE63" i="734" s="1"/>
  <c r="CX63" i="734"/>
  <c r="CZ63" i="734"/>
  <c r="CY63" i="734"/>
  <c r="CY64" i="734"/>
  <c r="CX64" i="734"/>
  <c r="DA64" i="734"/>
  <c r="DE64" i="734" s="1"/>
  <c r="CZ64" i="734"/>
  <c r="DA10" i="734"/>
  <c r="DT15" i="734"/>
  <c r="DT16" i="734"/>
  <c r="DT21" i="734"/>
  <c r="DT26" i="734"/>
  <c r="BM47" i="734"/>
  <c r="BN47" i="734"/>
  <c r="BI64" i="734"/>
  <c r="BH64" i="734"/>
  <c r="BJ64" i="734"/>
  <c r="BH58" i="734"/>
  <c r="BJ58" i="734"/>
  <c r="BI58" i="734"/>
  <c r="DH27" i="734"/>
  <c r="J56" i="734"/>
  <c r="J61" i="734"/>
  <c r="J66" i="734"/>
  <c r="DV68" i="734"/>
  <c r="DA19" i="734"/>
  <c r="DA25" i="734"/>
  <c r="DT35" i="734"/>
  <c r="DT41" i="734"/>
  <c r="BP57" i="734"/>
  <c r="BQ57" i="734"/>
  <c r="BR57" i="734"/>
  <c r="BJ67" i="734"/>
  <c r="BI67" i="734"/>
  <c r="BH67" i="734"/>
  <c r="BM14" i="734"/>
  <c r="BN14" i="734"/>
  <c r="J48" i="734"/>
  <c r="DV56" i="734"/>
  <c r="DV66" i="734"/>
  <c r="DA13" i="734"/>
  <c r="DT23" i="734"/>
  <c r="DT29" i="734"/>
  <c r="BJ55" i="734"/>
  <c r="BH55" i="734"/>
  <c r="BI55" i="734"/>
  <c r="DN12" i="734"/>
  <c r="DH48" i="734"/>
  <c r="DN25" i="734"/>
  <c r="DH42" i="734"/>
  <c r="EX28" i="734"/>
  <c r="EY28" i="734"/>
  <c r="DH29" i="734"/>
  <c r="DN65" i="734"/>
  <c r="EY48" i="734"/>
  <c r="EX48" i="734"/>
  <c r="DH59" i="734"/>
  <c r="EY46" i="734"/>
  <c r="EX46" i="734"/>
  <c r="DH49" i="734"/>
  <c r="DN62" i="734"/>
  <c r="FH37" i="734"/>
  <c r="FH58" i="734"/>
  <c r="J43" i="734"/>
  <c r="J44" i="734"/>
  <c r="J49" i="734"/>
  <c r="J22" i="734"/>
  <c r="J54" i="734"/>
  <c r="DV43" i="734"/>
  <c r="DV44" i="734"/>
  <c r="DV49" i="734"/>
  <c r="DV54" i="734"/>
  <c r="CZ59" i="734"/>
  <c r="CY59" i="734"/>
  <c r="CX59" i="734"/>
  <c r="DA59" i="734"/>
  <c r="CX60" i="734"/>
  <c r="DA60" i="734"/>
  <c r="DE60" i="734" s="1"/>
  <c r="CY60" i="734"/>
  <c r="CZ60" i="734"/>
  <c r="CY65" i="734"/>
  <c r="DA65" i="734"/>
  <c r="DE65" i="734" s="1"/>
  <c r="CX65" i="734"/>
  <c r="CZ65" i="734"/>
  <c r="DT11" i="734"/>
  <c r="DT12" i="734"/>
  <c r="DT17" i="734"/>
  <c r="DT22" i="734"/>
  <c r="BN43" i="734"/>
  <c r="BM43" i="734"/>
  <c r="BM44" i="734"/>
  <c r="BN44" i="734"/>
  <c r="BM49" i="734"/>
  <c r="BN49" i="734"/>
  <c r="BJ54" i="734"/>
  <c r="BI54" i="734"/>
  <c r="BH54" i="734"/>
  <c r="DN15" i="734"/>
  <c r="J20" i="734"/>
  <c r="J25" i="734"/>
  <c r="J30" i="734"/>
  <c r="DV63" i="734"/>
  <c r="DV64" i="734"/>
  <c r="DV10" i="734"/>
  <c r="DA15" i="734"/>
  <c r="DA16" i="734"/>
  <c r="DA21" i="734"/>
  <c r="DA26" i="734"/>
  <c r="DT31" i="734"/>
  <c r="DT32" i="734"/>
  <c r="DT37" i="734"/>
  <c r="DT42" i="734"/>
  <c r="BQ53" i="734"/>
  <c r="BP53" i="734"/>
  <c r="BR53" i="734"/>
  <c r="BQ58" i="734"/>
  <c r="BR58" i="734"/>
  <c r="BP58" i="734"/>
  <c r="BJ63" i="734"/>
  <c r="BI63" i="734"/>
  <c r="BH63" i="734"/>
  <c r="BN37" i="734"/>
  <c r="BM37" i="734"/>
  <c r="J21" i="734"/>
  <c r="DV51" i="734"/>
  <c r="DV57" i="734"/>
  <c r="DA67" i="734"/>
  <c r="DE67" i="734" s="1"/>
  <c r="CZ67" i="734"/>
  <c r="CX67" i="734"/>
  <c r="CY67" i="734"/>
  <c r="DA14" i="734"/>
  <c r="DT20" i="734"/>
  <c r="DT30" i="734"/>
  <c r="BI52" i="734"/>
  <c r="BH52" i="734"/>
  <c r="BJ52" i="734"/>
  <c r="BI62" i="734"/>
  <c r="BH62" i="734"/>
  <c r="BJ62" i="734"/>
  <c r="FB30" i="734"/>
  <c r="J13" i="734"/>
  <c r="J18" i="734"/>
  <c r="DV39" i="734"/>
  <c r="DV45" i="734"/>
  <c r="CY55" i="734"/>
  <c r="DA55" i="734"/>
  <c r="DE55" i="734" s="1"/>
  <c r="CX55" i="734"/>
  <c r="CZ55" i="734"/>
  <c r="CZ61" i="734"/>
  <c r="CY61" i="734"/>
  <c r="CX61" i="734"/>
  <c r="DA61" i="734"/>
  <c r="DE61" i="734" s="1"/>
  <c r="DT69" i="734"/>
  <c r="DT18" i="734"/>
  <c r="BN13" i="734"/>
  <c r="BM13" i="734"/>
  <c r="DH41" i="734"/>
  <c r="DH58" i="734"/>
  <c r="EY22" i="734"/>
  <c r="EX22" i="734"/>
  <c r="DH68" i="734"/>
  <c r="DH22" i="734"/>
  <c r="EX42" i="734"/>
  <c r="EY42" i="734"/>
  <c r="DH25" i="734"/>
  <c r="DH61" i="734"/>
  <c r="EY20" i="734"/>
  <c r="EX20" i="734"/>
  <c r="DN39" i="734"/>
  <c r="EY40" i="734"/>
  <c r="EX40" i="734"/>
  <c r="DN58" i="734"/>
  <c r="EX38" i="734"/>
  <c r="EY38" i="734"/>
  <c r="DN32" i="734"/>
  <c r="DN26" i="734"/>
  <c r="EY58" i="734"/>
  <c r="EX58" i="734"/>
  <c r="DH65" i="734"/>
  <c r="EX36" i="734"/>
  <c r="EY36" i="734"/>
  <c r="DH52" i="734"/>
  <c r="EY56" i="734"/>
  <c r="EX56" i="734"/>
  <c r="BM10" i="734"/>
  <c r="BN10" i="734"/>
  <c r="DN11" i="734"/>
  <c r="DH19" i="734"/>
  <c r="DH51" i="734"/>
  <c r="J63" i="734"/>
  <c r="J64" i="734"/>
  <c r="J10" i="734"/>
  <c r="J42" i="734"/>
  <c r="DV19" i="734"/>
  <c r="DV20" i="734"/>
  <c r="DV25" i="734"/>
  <c r="DV30" i="734"/>
  <c r="DA35" i="734"/>
  <c r="DA36" i="734"/>
  <c r="DA41" i="734"/>
  <c r="DA46" i="734"/>
  <c r="DT51" i="734"/>
  <c r="DT52" i="734"/>
  <c r="DT57" i="734"/>
  <c r="DT62" i="734"/>
  <c r="BQ67" i="734"/>
  <c r="BP67" i="734"/>
  <c r="BR67" i="734"/>
  <c r="BR68" i="734"/>
  <c r="BP68" i="734"/>
  <c r="BQ68" i="734"/>
  <c r="BN19" i="734"/>
  <c r="BM19" i="734"/>
  <c r="BM20" i="734"/>
  <c r="BN20" i="734"/>
  <c r="BN25" i="734"/>
  <c r="BM25" i="734"/>
  <c r="BM30" i="734"/>
  <c r="BN30" i="734"/>
  <c r="DH23" i="734"/>
  <c r="DH35" i="734"/>
  <c r="DH63" i="734"/>
  <c r="FB46" i="734"/>
  <c r="J55" i="734"/>
  <c r="J24" i="734"/>
  <c r="DV69" i="734"/>
  <c r="DV13" i="734"/>
  <c r="DV18" i="734"/>
  <c r="DA23" i="734"/>
  <c r="DA24" i="734"/>
  <c r="DA29" i="734"/>
  <c r="DA34" i="734"/>
  <c r="DT39" i="734"/>
  <c r="DT40" i="734"/>
  <c r="DT45" i="734"/>
  <c r="DT50" i="734"/>
  <c r="BP55" i="734"/>
  <c r="BR55" i="734"/>
  <c r="BQ55" i="734"/>
  <c r="BQ56" i="734"/>
  <c r="BR56" i="734"/>
  <c r="BP56" i="734"/>
  <c r="BR61" i="734"/>
  <c r="BP61" i="734"/>
  <c r="BQ61" i="734"/>
  <c r="BR66" i="734"/>
  <c r="BP66" i="734"/>
  <c r="BQ66" i="734"/>
  <c r="BH69" i="734"/>
  <c r="BI69" i="734"/>
  <c r="BJ69" i="734"/>
  <c r="BM18" i="734"/>
  <c r="BN18" i="734"/>
  <c r="DN19" i="734"/>
  <c r="DH33" i="734"/>
  <c r="DN53" i="734"/>
  <c r="EY11" i="734"/>
  <c r="EX11" i="734"/>
  <c r="EX17" i="734"/>
  <c r="EY17" i="734"/>
  <c r="DH31" i="734"/>
  <c r="DN40" i="734"/>
  <c r="DN37" i="734"/>
  <c r="EX31" i="734"/>
  <c r="EY31" i="734"/>
  <c r="EX37" i="734"/>
  <c r="EY37" i="734"/>
  <c r="DN66" i="734"/>
  <c r="EX19" i="734"/>
  <c r="EY19" i="734"/>
  <c r="EY25" i="734"/>
  <c r="EX25" i="734"/>
  <c r="DN21" i="734"/>
  <c r="DN57" i="734"/>
  <c r="DN50" i="734"/>
  <c r="EY39" i="734"/>
  <c r="EX39" i="734"/>
  <c r="EX45" i="734"/>
  <c r="EY45" i="734"/>
  <c r="BN16" i="734"/>
  <c r="BM16" i="734"/>
  <c r="BN21" i="734"/>
  <c r="BM21" i="734"/>
  <c r="BN26" i="734"/>
  <c r="BM26" i="734"/>
  <c r="DN35" i="734"/>
  <c r="J69" i="734"/>
  <c r="J40" i="734"/>
  <c r="J50" i="734"/>
  <c r="DV35" i="734"/>
  <c r="DV36" i="734"/>
  <c r="DV41" i="734"/>
  <c r="DV46" i="734"/>
  <c r="DA51" i="734"/>
  <c r="CX52" i="734"/>
  <c r="DA52" i="734"/>
  <c r="DE52" i="734" s="1"/>
  <c r="CZ52" i="734"/>
  <c r="CY52" i="734"/>
  <c r="DA57" i="734"/>
  <c r="DE57" i="734" s="1"/>
  <c r="CZ57" i="734"/>
  <c r="CY57" i="734"/>
  <c r="CX57" i="734"/>
  <c r="CZ62" i="734"/>
  <c r="DA62" i="734"/>
  <c r="DE62" i="734" s="1"/>
  <c r="CY62" i="734"/>
  <c r="CX62" i="734"/>
  <c r="DT67" i="734"/>
  <c r="DT68" i="734"/>
  <c r="DT14" i="734"/>
  <c r="BN35" i="734"/>
  <c r="BM35" i="734"/>
  <c r="BN36" i="734"/>
  <c r="BM36" i="734"/>
  <c r="BM41" i="734"/>
  <c r="BN41" i="734"/>
  <c r="BM46" i="734"/>
  <c r="BN46" i="734"/>
  <c r="DH15" i="734"/>
  <c r="DN23" i="734"/>
  <c r="FH30" i="734"/>
  <c r="FB66" i="734"/>
  <c r="J32" i="734"/>
  <c r="J37" i="734"/>
  <c r="DV23" i="734"/>
  <c r="DV24" i="734"/>
  <c r="DV29" i="734"/>
  <c r="DV34" i="734"/>
  <c r="DA39" i="734"/>
  <c r="DA40" i="734"/>
  <c r="DA45" i="734"/>
  <c r="DA50" i="734"/>
  <c r="DT55" i="734"/>
  <c r="DT56" i="734"/>
  <c r="DT61" i="734"/>
  <c r="DT66" i="734"/>
  <c r="BP69" i="734"/>
  <c r="BR69" i="734"/>
  <c r="BQ69" i="734"/>
  <c r="BM23" i="734"/>
  <c r="BN23" i="734"/>
  <c r="BN24" i="734"/>
  <c r="BM24" i="734"/>
  <c r="BN34" i="734"/>
  <c r="BM34" i="734"/>
  <c r="DN67" i="734"/>
  <c r="DH53" i="734"/>
  <c r="DN14" i="734"/>
  <c r="EX27" i="734"/>
  <c r="EY27" i="734"/>
  <c r="EX33" i="734"/>
  <c r="EY33" i="734"/>
  <c r="DN31" i="734"/>
  <c r="DH60" i="734"/>
  <c r="DH21" i="734"/>
  <c r="DH37" i="734"/>
  <c r="DH34" i="734"/>
  <c r="DD31" i="734"/>
  <c r="EY47" i="734"/>
  <c r="EX47" i="734"/>
  <c r="EX53" i="734"/>
  <c r="EY53" i="734"/>
  <c r="DN60" i="734"/>
  <c r="DH17" i="734"/>
  <c r="EY35" i="734"/>
  <c r="EX35" i="734"/>
  <c r="EY41" i="734"/>
  <c r="EX41" i="734"/>
  <c r="DN24" i="734"/>
  <c r="DN44" i="734"/>
  <c r="DN34" i="734"/>
  <c r="EX55" i="734"/>
  <c r="EY55" i="734"/>
  <c r="EY61" i="734"/>
  <c r="EX61" i="734"/>
  <c r="EX50" i="734"/>
  <c r="EY50" i="734"/>
  <c r="EY66" i="734"/>
  <c r="EX66" i="734"/>
  <c r="BM40" i="734"/>
  <c r="BN40" i="734"/>
  <c r="BN45" i="734"/>
  <c r="BM45" i="734"/>
  <c r="BM50" i="734"/>
  <c r="BN50" i="734"/>
  <c r="DH39" i="734"/>
  <c r="DH67" i="734"/>
  <c r="DN16" i="734"/>
  <c r="DH32" i="734"/>
  <c r="DN52" i="734"/>
  <c r="DH14" i="734"/>
  <c r="DN54" i="734"/>
  <c r="EX43" i="734"/>
  <c r="EY43" i="734"/>
  <c r="EY44" i="734"/>
  <c r="EX44" i="734"/>
  <c r="EY49" i="734"/>
  <c r="EX49" i="734"/>
  <c r="EX54" i="734"/>
  <c r="EY54" i="734"/>
  <c r="DH43" i="734"/>
  <c r="DN46" i="734"/>
  <c r="EY63" i="734"/>
  <c r="EX63" i="734"/>
  <c r="EY64" i="734"/>
  <c r="EX64" i="734"/>
  <c r="EX10" i="734"/>
  <c r="EY10" i="734"/>
  <c r="DN43" i="734"/>
  <c r="DN51" i="734"/>
  <c r="DN69" i="734"/>
  <c r="I69" i="734" s="1"/>
  <c r="DH24" i="734"/>
  <c r="DH57" i="734"/>
  <c r="DH26" i="734"/>
  <c r="DH54" i="734"/>
  <c r="DH62" i="734"/>
  <c r="EY51" i="734"/>
  <c r="EX51" i="734"/>
  <c r="EX52" i="734"/>
  <c r="EY52" i="734"/>
  <c r="EX57" i="734"/>
  <c r="EY57" i="734"/>
  <c r="EY62" i="734"/>
  <c r="EX62" i="734"/>
  <c r="DH69" i="734"/>
  <c r="DN56" i="734"/>
  <c r="I56" i="734" s="1"/>
  <c r="DN61" i="734"/>
  <c r="DN10" i="734"/>
  <c r="DH18" i="734"/>
  <c r="DN30" i="734"/>
  <c r="EX69" i="734"/>
  <c r="EY69" i="734"/>
  <c r="EY13" i="734"/>
  <c r="EX13" i="734"/>
  <c r="EY18" i="734"/>
  <c r="EX18" i="734"/>
  <c r="BH56" i="734"/>
  <c r="BJ56" i="734"/>
  <c r="BI56" i="734"/>
  <c r="BH61" i="734"/>
  <c r="BI61" i="734"/>
  <c r="BJ61" i="734"/>
  <c r="BI66" i="734"/>
  <c r="BJ66" i="734"/>
  <c r="BH66" i="734"/>
  <c r="DH16" i="734"/>
  <c r="DH36" i="734"/>
  <c r="DN13" i="734"/>
  <c r="DN41" i="734"/>
  <c r="DN49" i="734"/>
  <c r="DH46" i="734"/>
  <c r="DD54" i="734"/>
  <c r="DC54" i="734"/>
  <c r="EX59" i="734"/>
  <c r="EY59" i="734"/>
  <c r="EX60" i="734"/>
  <c r="EY60" i="734"/>
  <c r="EY65" i="734"/>
  <c r="EX65" i="734"/>
  <c r="DN27" i="734"/>
  <c r="DN47" i="734"/>
  <c r="DN55" i="734"/>
  <c r="DN63" i="734"/>
  <c r="DH28" i="734"/>
  <c r="DH40" i="734"/>
  <c r="DH64" i="734"/>
  <c r="DN33" i="734"/>
  <c r="DH10" i="734"/>
  <c r="DH38" i="734"/>
  <c r="DH66" i="734"/>
  <c r="DD63" i="734"/>
  <c r="EX15" i="734"/>
  <c r="EY15" i="734"/>
  <c r="EY16" i="734"/>
  <c r="EX16" i="734"/>
  <c r="EX21" i="734"/>
  <c r="EY21" i="734"/>
  <c r="EX26" i="734"/>
  <c r="EY26" i="734"/>
  <c r="DN20" i="734"/>
  <c r="DN36" i="734"/>
  <c r="DH44" i="734"/>
  <c r="DN64" i="734"/>
  <c r="DH13" i="734"/>
  <c r="DN18" i="734"/>
  <c r="EX67" i="734"/>
  <c r="EY67" i="734"/>
  <c r="EX68" i="734"/>
  <c r="EY68" i="734"/>
  <c r="EY14" i="734"/>
  <c r="EX14" i="734"/>
  <c r="DH47" i="734"/>
  <c r="DH12" i="734"/>
  <c r="DH20" i="734"/>
  <c r="DN48" i="734"/>
  <c r="DH56" i="734"/>
  <c r="DN17" i="734"/>
  <c r="DH45" i="734"/>
  <c r="DN22" i="734"/>
  <c r="DH30" i="734"/>
  <c r="DH50" i="734"/>
  <c r="EY23" i="734"/>
  <c r="EX23" i="734"/>
  <c r="EY24" i="734"/>
  <c r="EX24" i="734"/>
  <c r="EX29" i="734"/>
  <c r="EY29" i="734"/>
  <c r="EY34" i="734"/>
  <c r="EX34" i="734"/>
  <c r="CN67" i="734"/>
  <c r="CO57" i="734"/>
  <c r="AW67" i="734"/>
  <c r="BM67" i="734" s="1"/>
  <c r="CO69" i="734"/>
  <c r="AO61" i="734"/>
  <c r="BE61" i="734" s="1"/>
  <c r="AW63" i="734"/>
  <c r="BM63" i="734" s="1"/>
  <c r="DD53" i="734"/>
  <c r="AO69" i="734"/>
  <c r="BE69" i="734" s="1"/>
  <c r="DC66" i="734"/>
  <c r="AW52" i="734"/>
  <c r="BM52" i="734" s="1"/>
  <c r="CO67" i="734"/>
  <c r="AO68" i="734"/>
  <c r="BE68" i="734" s="1"/>
  <c r="CN57" i="734"/>
  <c r="AO54" i="734"/>
  <c r="BE54" i="734" s="1"/>
  <c r="DD56" i="734"/>
  <c r="I66" i="734"/>
  <c r="DC63" i="734"/>
  <c r="CN64" i="734"/>
  <c r="AW57" i="734"/>
  <c r="BM57" i="734" s="1"/>
  <c r="CO63" i="734"/>
  <c r="CO58" i="734"/>
  <c r="CN66" i="734"/>
  <c r="CO66" i="734"/>
  <c r="DD66" i="734"/>
  <c r="DC53" i="734"/>
  <c r="CN63" i="734"/>
  <c r="AO55" i="734"/>
  <c r="BE55" i="734" s="1"/>
  <c r="CO59" i="734"/>
  <c r="CN58" i="734"/>
  <c r="DC37" i="734"/>
  <c r="DC59" i="734"/>
  <c r="DD69" i="734"/>
  <c r="DC56" i="734"/>
  <c r="DC64" i="734"/>
  <c r="D41" i="26"/>
  <c r="L42" i="26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CD20" i="734"/>
  <c r="AS11" i="734"/>
  <c r="AZ32" i="734"/>
  <c r="CS18" i="734"/>
  <c r="AK26" i="734"/>
  <c r="BA26" i="734"/>
  <c r="AR12" i="734"/>
  <c r="AS41" i="734"/>
  <c r="N11" i="734"/>
  <c r="CS11" i="734"/>
  <c r="AZ23" i="734"/>
  <c r="AK25" i="734"/>
  <c r="AJ29" i="734"/>
  <c r="CD35" i="734"/>
  <c r="BP35" i="734"/>
  <c r="AR30" i="734"/>
  <c r="AR27" i="734"/>
  <c r="AZ33" i="734"/>
  <c r="AZ49" i="734"/>
  <c r="CD33" i="734"/>
  <c r="M12" i="734"/>
  <c r="BQ23" i="734"/>
  <c r="AS49" i="734"/>
  <c r="AK43" i="734"/>
  <c r="BA29" i="734"/>
  <c r="CD27" i="734"/>
  <c r="AR36" i="734"/>
  <c r="AS12" i="734"/>
  <c r="AS35" i="734"/>
  <c r="AR50" i="734"/>
  <c r="AS14" i="734"/>
  <c r="AK30" i="734"/>
  <c r="AJ23" i="734"/>
  <c r="CD46" i="734"/>
  <c r="AJ44" i="734"/>
  <c r="CS30" i="734"/>
  <c r="CD21" i="734"/>
  <c r="BH48" i="734"/>
  <c r="CD37" i="734"/>
  <c r="BQ21" i="734"/>
  <c r="AZ11" i="734"/>
  <c r="CS37" i="734"/>
  <c r="AZ30" i="734"/>
  <c r="AJ12" i="734"/>
  <c r="AR49" i="734"/>
  <c r="CD11" i="734"/>
  <c r="AS42" i="734"/>
  <c r="AK38" i="734"/>
  <c r="CS41" i="734"/>
  <c r="AZ29" i="734"/>
  <c r="AZ38" i="734"/>
  <c r="AS26" i="734"/>
  <c r="AS36" i="734"/>
  <c r="AR47" i="734"/>
  <c r="AR40" i="734"/>
  <c r="CS50" i="734"/>
  <c r="CS16" i="734"/>
  <c r="AJ35" i="734"/>
  <c r="AS29" i="734"/>
  <c r="AJ45" i="734"/>
  <c r="AZ10" i="734"/>
  <c r="BA46" i="734"/>
  <c r="BP26" i="734"/>
  <c r="BI15" i="734"/>
  <c r="AZ44" i="734"/>
  <c r="BP15" i="734"/>
  <c r="BA17" i="734"/>
  <c r="AZ25" i="734"/>
  <c r="AK15" i="734"/>
  <c r="AR21" i="734"/>
  <c r="AS46" i="734"/>
  <c r="AR31" i="734"/>
  <c r="AK47" i="734"/>
  <c r="CD17" i="734"/>
  <c r="AK16" i="734"/>
  <c r="AR15" i="734"/>
  <c r="AK42" i="734"/>
  <c r="AZ26" i="734"/>
  <c r="AS47" i="734"/>
  <c r="CS20" i="734"/>
  <c r="CD32" i="734"/>
  <c r="BA23" i="734"/>
  <c r="AZ31" i="734"/>
  <c r="BA39" i="734"/>
  <c r="AS19" i="734"/>
  <c r="AK35" i="734"/>
  <c r="AS23" i="734"/>
  <c r="AJ39" i="734"/>
  <c r="AZ16" i="734"/>
  <c r="CD24" i="734"/>
  <c r="BH11" i="734"/>
  <c r="BQ50" i="734"/>
  <c r="CD13" i="734"/>
  <c r="BI12" i="734"/>
  <c r="BH39" i="734"/>
  <c r="AZ13" i="734"/>
  <c r="BH32" i="734"/>
  <c r="BP22" i="734"/>
  <c r="BP32" i="734"/>
  <c r="BP45" i="734"/>
  <c r="BQ33" i="734"/>
  <c r="BH13" i="734"/>
  <c r="BP19" i="734"/>
  <c r="BH23" i="734"/>
  <c r="DC25" i="734"/>
  <c r="DD38" i="734"/>
  <c r="DD10" i="734"/>
  <c r="BH28" i="734"/>
  <c r="BQ37" i="734"/>
  <c r="DD12" i="734"/>
  <c r="BI43" i="734"/>
  <c r="BI37" i="734"/>
  <c r="BI13" i="734"/>
  <c r="BH10" i="734"/>
  <c r="BI25" i="734"/>
  <c r="BH16" i="734"/>
  <c r="BI41" i="734"/>
  <c r="DC39" i="734"/>
  <c r="DC47" i="734"/>
  <c r="BQ44" i="734"/>
  <c r="BP17" i="734"/>
  <c r="BI47" i="734"/>
  <c r="BP38" i="734"/>
  <c r="DC16" i="734"/>
  <c r="DD22" i="734"/>
  <c r="BI20" i="734"/>
  <c r="DD29" i="734"/>
  <c r="BP20" i="734"/>
  <c r="BI46" i="734"/>
  <c r="BH50" i="734"/>
  <c r="DD43" i="734"/>
  <c r="DD21" i="734"/>
  <c r="DD49" i="734"/>
  <c r="BP11" i="734"/>
  <c r="BP42" i="734"/>
  <c r="BQ27" i="734"/>
  <c r="BQ46" i="734"/>
  <c r="DC34" i="734"/>
  <c r="BQ20" i="734"/>
  <c r="BI34" i="734"/>
  <c r="BH45" i="734"/>
  <c r="DD48" i="734"/>
  <c r="DC10" i="734"/>
  <c r="DC42" i="734"/>
  <c r="DD51" i="734"/>
  <c r="DE51" i="734"/>
  <c r="DD41" i="734"/>
  <c r="DC15" i="734"/>
  <c r="DD18" i="734"/>
  <c r="DD50" i="734"/>
  <c r="BQ29" i="734"/>
  <c r="AS37" i="734"/>
  <c r="AJ11" i="734"/>
  <c r="AR43" i="734"/>
  <c r="AZ42" i="734"/>
  <c r="AK23" i="734"/>
  <c r="AR25" i="734"/>
  <c r="AK41" i="734"/>
  <c r="AK45" i="734"/>
  <c r="BA24" i="734"/>
  <c r="CS44" i="734"/>
  <c r="BQ15" i="734"/>
  <c r="DD16" i="734"/>
  <c r="BH47" i="734"/>
  <c r="DD40" i="734"/>
  <c r="DE40" i="734" s="1"/>
  <c r="BH34" i="734"/>
  <c r="DC36" i="734"/>
  <c r="BI14" i="734"/>
  <c r="BH49" i="734"/>
  <c r="DC22" i="734"/>
  <c r="BH18" i="734"/>
  <c r="DD28" i="734"/>
  <c r="BH29" i="734"/>
  <c r="BQ31" i="734"/>
  <c r="BI44" i="734"/>
  <c r="BH30" i="734"/>
  <c r="BI21" i="734"/>
  <c r="DC17" i="734"/>
  <c r="DC13" i="734"/>
  <c r="DE10" i="734"/>
  <c r="BP39" i="734"/>
  <c r="DD42" i="734"/>
  <c r="BH35" i="734"/>
  <c r="DD25" i="734"/>
  <c r="DC23" i="734"/>
  <c r="DC26" i="734"/>
  <c r="BI35" i="734"/>
  <c r="BI49" i="734"/>
  <c r="BH41" i="734"/>
  <c r="DE16" i="734"/>
  <c r="BQ32" i="734"/>
  <c r="BI26" i="734"/>
  <c r="BI40" i="734"/>
  <c r="DD15" i="734"/>
  <c r="AS21" i="734"/>
  <c r="AS45" i="734"/>
  <c r="BA22" i="734"/>
  <c r="AR44" i="734"/>
  <c r="AS33" i="734"/>
  <c r="N10" i="734"/>
  <c r="AK27" i="734"/>
  <c r="AJ51" i="734"/>
  <c r="CS48" i="734"/>
  <c r="BA43" i="734"/>
  <c r="AR14" i="734"/>
  <c r="AJ30" i="734"/>
  <c r="AJ34" i="734"/>
  <c r="BA12" i="734"/>
  <c r="AR19" i="734"/>
  <c r="AJ41" i="734"/>
  <c r="AK44" i="734"/>
  <c r="CS25" i="734"/>
  <c r="CD29" i="734"/>
  <c r="CD39" i="734"/>
  <c r="BP21" i="734"/>
  <c r="BI39" i="734"/>
  <c r="AZ22" i="734"/>
  <c r="AJ38" i="734"/>
  <c r="AS44" i="734"/>
  <c r="BA38" i="734"/>
  <c r="AS39" i="734"/>
  <c r="AJ27" i="734"/>
  <c r="AR41" i="734"/>
  <c r="CD30" i="734"/>
  <c r="AK19" i="734"/>
  <c r="AS17" i="734"/>
  <c r="AK24" i="734"/>
  <c r="CS15" i="734"/>
  <c r="AR24" i="734"/>
  <c r="CS39" i="734"/>
  <c r="BQ26" i="734"/>
  <c r="BH15" i="734"/>
  <c r="CS26" i="734"/>
  <c r="BH31" i="734"/>
  <c r="AZ17" i="734"/>
  <c r="BA19" i="734"/>
  <c r="CS23" i="734"/>
  <c r="AJ15" i="734"/>
  <c r="AS51" i="734"/>
  <c r="AS31" i="734"/>
  <c r="AJ47" i="734"/>
  <c r="CS17" i="734"/>
  <c r="BA28" i="734"/>
  <c r="AK17" i="734"/>
  <c r="AZ48" i="734"/>
  <c r="AJ32" i="734"/>
  <c r="AS43" i="734"/>
  <c r="AR48" i="734"/>
  <c r="AS50" i="734"/>
  <c r="AR17" i="734"/>
  <c r="AZ51" i="734"/>
  <c r="AJ36" i="734"/>
  <c r="AR34" i="734"/>
  <c r="AJ50" i="734"/>
  <c r="CD23" i="734"/>
  <c r="CS31" i="734"/>
  <c r="BI51" i="734"/>
  <c r="BP50" i="734"/>
  <c r="CD40" i="734"/>
  <c r="BP41" i="734"/>
  <c r="CD16" i="734"/>
  <c r="BA30" i="734"/>
  <c r="AR51" i="734"/>
  <c r="AJ31" i="734"/>
  <c r="AR45" i="734"/>
  <c r="AR32" i="734"/>
  <c r="AJ48" i="734"/>
  <c r="CS51" i="734"/>
  <c r="AJ26" i="734"/>
  <c r="AS16" i="734"/>
  <c r="CS12" i="734"/>
  <c r="M10" i="734"/>
  <c r="AS48" i="734"/>
  <c r="CS46" i="734"/>
  <c r="BH17" i="734"/>
  <c r="AR18" i="734"/>
  <c r="AZ12" i="734"/>
  <c r="AZ45" i="734"/>
  <c r="AS20" i="734"/>
  <c r="AK36" i="734"/>
  <c r="AS24" i="734"/>
  <c r="AJ40" i="734"/>
  <c r="CD19" i="734"/>
  <c r="CS32" i="734"/>
  <c r="BH51" i="734"/>
  <c r="CD28" i="734"/>
  <c r="BA14" i="734"/>
  <c r="BI22" i="734"/>
  <c r="CD48" i="734"/>
  <c r="AZ18" i="734"/>
  <c r="BI32" i="734"/>
  <c r="BH27" i="734"/>
  <c r="BQ42" i="734"/>
  <c r="DD32" i="734"/>
  <c r="BQ48" i="734"/>
  <c r="DC20" i="734"/>
  <c r="BP25" i="734"/>
  <c r="BH24" i="734"/>
  <c r="DD39" i="734"/>
  <c r="DE39" i="734" s="1"/>
  <c r="DD47" i="734"/>
  <c r="BQ10" i="734"/>
  <c r="BH33" i="734"/>
  <c r="BQ51" i="734"/>
  <c r="DC30" i="734"/>
  <c r="BH44" i="734"/>
  <c r="DD14" i="734"/>
  <c r="DD26" i="734"/>
  <c r="BQ14" i="734"/>
  <c r="BI30" i="734"/>
  <c r="BQ19" i="734"/>
  <c r="BP13" i="734"/>
  <c r="BH40" i="734"/>
  <c r="DD36" i="734"/>
  <c r="BQ40" i="734"/>
  <c r="BI27" i="734"/>
  <c r="BQ39" i="734"/>
  <c r="BH43" i="734"/>
  <c r="BQ47" i="734"/>
  <c r="BI10" i="734"/>
  <c r="BH25" i="734"/>
  <c r="BI16" i="734"/>
  <c r="BQ30" i="734"/>
  <c r="BQ13" i="734"/>
  <c r="DC33" i="734"/>
  <c r="DC49" i="734"/>
  <c r="DD44" i="734"/>
  <c r="DE12" i="734"/>
  <c r="BQ17" i="734"/>
  <c r="BH14" i="734"/>
  <c r="BP33" i="734"/>
  <c r="BQ34" i="734"/>
  <c r="DC29" i="734"/>
  <c r="BP30" i="734"/>
  <c r="BP18" i="734"/>
  <c r="DD17" i="734"/>
  <c r="BI50" i="734"/>
  <c r="DD35" i="734"/>
  <c r="DD13" i="734"/>
  <c r="DE32" i="734"/>
  <c r="DE18" i="734"/>
  <c r="DD45" i="734"/>
  <c r="CD43" i="734"/>
  <c r="AK13" i="734"/>
  <c r="AR28" i="734"/>
  <c r="AR26" i="734"/>
  <c r="CD31" i="734"/>
  <c r="AZ43" i="734"/>
  <c r="CS21" i="734"/>
  <c r="AR29" i="734"/>
  <c r="CD14" i="734"/>
  <c r="CD42" i="734"/>
  <c r="BP44" i="734"/>
  <c r="BI33" i="734"/>
  <c r="DD30" i="734"/>
  <c r="DE30" i="734" s="1"/>
  <c r="BH46" i="734"/>
  <c r="BI45" i="734"/>
  <c r="BQ12" i="734"/>
  <c r="BQ28" i="734"/>
  <c r="BQ36" i="734"/>
  <c r="BH19" i="734"/>
  <c r="DC11" i="734"/>
  <c r="DC44" i="734"/>
  <c r="DC12" i="734"/>
  <c r="BP46" i="734"/>
  <c r="BI36" i="734"/>
  <c r="DC48" i="734"/>
  <c r="DC28" i="734"/>
  <c r="BI28" i="734"/>
  <c r="BP48" i="734"/>
  <c r="BH21" i="734"/>
  <c r="BI23" i="734"/>
  <c r="DC46" i="734"/>
  <c r="DE35" i="734"/>
  <c r="DC41" i="734"/>
  <c r="DC51" i="734"/>
  <c r="DD19" i="734"/>
  <c r="BI19" i="734"/>
  <c r="DC19" i="734"/>
  <c r="DE28" i="734"/>
  <c r="BH37" i="734"/>
  <c r="BH36" i="734"/>
  <c r="BI24" i="734"/>
  <c r="DE48" i="734"/>
  <c r="DE17" i="734"/>
  <c r="AK31" i="734"/>
  <c r="CS19" i="734"/>
  <c r="AR22" i="734"/>
  <c r="AS10" i="734"/>
  <c r="AZ15" i="734"/>
  <c r="AZ40" i="734"/>
  <c r="AK22" i="734"/>
  <c r="CS28" i="734"/>
  <c r="CD34" i="734"/>
  <c r="CS13" i="734"/>
  <c r="AJ19" i="734"/>
  <c r="AS13" i="734"/>
  <c r="CD41" i="734"/>
  <c r="AZ39" i="734"/>
  <c r="AR20" i="734"/>
  <c r="AJ46" i="734"/>
  <c r="CS27" i="734"/>
  <c r="BA10" i="734"/>
  <c r="BI11" i="734"/>
  <c r="CD45" i="734"/>
  <c r="BI31" i="734"/>
  <c r="BA20" i="734"/>
  <c r="CS47" i="734"/>
  <c r="CS35" i="734"/>
  <c r="AJ17" i="734"/>
  <c r="AR33" i="734"/>
  <c r="CD12" i="734"/>
  <c r="AJ22" i="734"/>
  <c r="AK51" i="734"/>
  <c r="CS38" i="734"/>
  <c r="AK20" i="734"/>
  <c r="AR13" i="734"/>
  <c r="AK29" i="734"/>
  <c r="BQ35" i="734"/>
  <c r="BA27" i="734"/>
  <c r="BA36" i="734"/>
  <c r="BP29" i="734"/>
  <c r="CD38" i="734"/>
  <c r="BH12" i="734"/>
  <c r="BI42" i="734"/>
  <c r="CD15" i="734"/>
  <c r="AZ20" i="734"/>
  <c r="CS29" i="734"/>
  <c r="AK21" i="734"/>
  <c r="AJ13" i="734"/>
  <c r="AS32" i="734"/>
  <c r="AK48" i="734"/>
  <c r="AS28" i="734"/>
  <c r="AZ41" i="734"/>
  <c r="AK14" i="734"/>
  <c r="AS15" i="734"/>
  <c r="AJ42" i="734"/>
  <c r="AJ33" i="734"/>
  <c r="AK10" i="734"/>
  <c r="CS36" i="734"/>
  <c r="CD47" i="734"/>
  <c r="BA45" i="734"/>
  <c r="AZ47" i="734"/>
  <c r="AK39" i="734"/>
  <c r="CS14" i="734"/>
  <c r="CS45" i="734"/>
  <c r="AZ24" i="734"/>
  <c r="CD50" i="734"/>
  <c r="CD44" i="734"/>
  <c r="CS42" i="734"/>
  <c r="BA18" i="734"/>
  <c r="AJ37" i="734"/>
  <c r="BA32" i="734"/>
  <c r="BA41" i="734"/>
  <c r="AJ10" i="734"/>
  <c r="BP49" i="734"/>
  <c r="BQ43" i="734"/>
  <c r="CS24" i="734"/>
  <c r="BP36" i="734"/>
  <c r="BH38" i="734"/>
  <c r="BQ25" i="734"/>
  <c r="BP14" i="734"/>
  <c r="BP40" i="734"/>
  <c r="DD27" i="734"/>
  <c r="DC18" i="734"/>
  <c r="BP28" i="734"/>
  <c r="BI18" i="734"/>
  <c r="DC35" i="734"/>
  <c r="BI29" i="734"/>
  <c r="DD20" i="734"/>
  <c r="DD33" i="734"/>
  <c r="DE20" i="734"/>
  <c r="AK37" i="734"/>
  <c r="CD25" i="734"/>
  <c r="BA21" i="734"/>
  <c r="AJ16" i="734"/>
  <c r="AS38" i="734"/>
  <c r="AK49" i="734"/>
  <c r="AR35" i="734"/>
  <c r="CD22" i="734"/>
  <c r="BI17" i="734"/>
  <c r="BA35" i="734"/>
  <c r="AJ20" i="734"/>
  <c r="AJ24" i="734"/>
  <c r="BA31" i="734"/>
  <c r="BQ49" i="734"/>
  <c r="AS25" i="734"/>
  <c r="BA47" i="734"/>
  <c r="BA16" i="734"/>
  <c r="CS22" i="734"/>
  <c r="BP43" i="734"/>
  <c r="AZ14" i="734"/>
  <c r="BH42" i="734"/>
  <c r="AJ21" i="734"/>
  <c r="AZ21" i="734"/>
  <c r="AZ28" i="734"/>
  <c r="AJ14" i="734"/>
  <c r="BA15" i="734"/>
  <c r="AJ49" i="734"/>
  <c r="CS49" i="734"/>
  <c r="AS40" i="734"/>
  <c r="CS40" i="734"/>
  <c r="AJ25" i="734"/>
  <c r="AS18" i="734"/>
  <c r="AK34" i="734"/>
  <c r="AS27" i="734"/>
  <c r="BA33" i="734"/>
  <c r="AZ46" i="734"/>
  <c r="AZ50" i="734"/>
  <c r="CD18" i="734"/>
  <c r="BH22" i="734"/>
  <c r="BP23" i="734"/>
  <c r="CD26" i="734"/>
  <c r="BA25" i="734"/>
  <c r="BA13" i="734"/>
  <c r="CD49" i="734"/>
  <c r="AR46" i="734"/>
  <c r="AR37" i="734"/>
  <c r="AJ43" i="734"/>
  <c r="AK18" i="734"/>
  <c r="CS10" i="734"/>
  <c r="AK11" i="734"/>
  <c r="AR16" i="734"/>
  <c r="AR38" i="734"/>
  <c r="AR39" i="734"/>
  <c r="AJ28" i="734"/>
  <c r="BA42" i="734"/>
  <c r="CD51" i="734"/>
  <c r="BP16" i="734"/>
  <c r="AR23" i="734"/>
  <c r="AK40" i="734"/>
  <c r="AZ27" i="734"/>
  <c r="AZ36" i="734"/>
  <c r="AZ34" i="734"/>
  <c r="BA50" i="734"/>
  <c r="CS43" i="734"/>
  <c r="CD10" i="734"/>
  <c r="BA11" i="734"/>
  <c r="AZ19" i="734"/>
  <c r="AK12" i="734"/>
  <c r="CS33" i="734"/>
  <c r="AR11" i="734"/>
  <c r="AS22" i="734"/>
  <c r="AR42" i="734"/>
  <c r="AJ18" i="734"/>
  <c r="AR10" i="734"/>
  <c r="BA48" i="734"/>
  <c r="AK32" i="734"/>
  <c r="AK33" i="734"/>
  <c r="BA40" i="734"/>
  <c r="AK28" i="734"/>
  <c r="M11" i="734"/>
  <c r="AZ35" i="734"/>
  <c r="CD36" i="734"/>
  <c r="BA51" i="734"/>
  <c r="BQ16" i="734"/>
  <c r="AS30" i="734"/>
  <c r="AK46" i="734"/>
  <c r="AS34" i="734"/>
  <c r="AK50" i="734"/>
  <c r="BA49" i="734"/>
  <c r="BA34" i="734"/>
  <c r="BI48" i="734"/>
  <c r="BA44" i="734"/>
  <c r="N12" i="734"/>
  <c r="BQ41" i="734"/>
  <c r="CS34" i="734"/>
  <c r="BP10" i="734"/>
  <c r="BP12" i="734"/>
  <c r="BI38" i="734"/>
  <c r="BP51" i="734"/>
  <c r="BP27" i="734"/>
  <c r="BP34" i="734"/>
  <c r="DC21" i="734"/>
  <c r="BQ18" i="734"/>
  <c r="DD11" i="734"/>
  <c r="DE11" i="734" s="1"/>
  <c r="DC27" i="734"/>
  <c r="DD46" i="734"/>
  <c r="BQ22" i="734"/>
  <c r="BP31" i="734"/>
  <c r="BQ45" i="734"/>
  <c r="BQ38" i="734"/>
  <c r="BP47" i="734"/>
  <c r="BQ24" i="734"/>
  <c r="DC40" i="734"/>
  <c r="BH20" i="734"/>
  <c r="DD23" i="734"/>
  <c r="DC38" i="734"/>
  <c r="BQ11" i="734"/>
  <c r="BP37" i="734"/>
  <c r="BP24" i="734"/>
  <c r="BH26" i="734"/>
  <c r="DE23" i="734"/>
  <c r="DC32" i="734"/>
  <c r="DC43" i="734"/>
  <c r="DD24" i="734"/>
  <c r="I58" i="734" l="1"/>
  <c r="DC69" i="734"/>
  <c r="DD58" i="734"/>
  <c r="I54" i="734"/>
  <c r="CN55" i="734"/>
  <c r="DC58" i="734"/>
  <c r="DC68" i="734"/>
  <c r="DD68" i="734"/>
  <c r="DC55" i="734"/>
  <c r="I53" i="734"/>
  <c r="CN62" i="734"/>
  <c r="I55" i="734"/>
  <c r="DD61" i="734"/>
  <c r="CO55" i="734"/>
  <c r="CO62" i="734"/>
  <c r="DD62" i="734"/>
  <c r="DD37" i="734"/>
  <c r="I64" i="734"/>
  <c r="I63" i="734"/>
  <c r="DD64" i="734"/>
  <c r="DC31" i="734"/>
  <c r="CO52" i="734"/>
  <c r="DC65" i="734"/>
  <c r="DD52" i="734"/>
  <c r="DD55" i="734"/>
  <c r="I61" i="734"/>
  <c r="I60" i="734"/>
  <c r="I62" i="734"/>
  <c r="CN52" i="734"/>
  <c r="DC61" i="734"/>
  <c r="DC57" i="734"/>
  <c r="CN53" i="734"/>
  <c r="DC62" i="734"/>
  <c r="I52" i="734"/>
  <c r="DD57" i="734"/>
  <c r="I67" i="734"/>
  <c r="DC52" i="734"/>
  <c r="I57" i="734"/>
  <c r="DD67" i="734"/>
  <c r="CO64" i="734"/>
  <c r="BR18" i="734"/>
  <c r="BR30" i="734"/>
  <c r="BR33" i="734"/>
  <c r="BR42" i="734"/>
  <c r="BR40" i="734"/>
  <c r="BR20" i="734"/>
  <c r="BR24" i="734"/>
  <c r="BR46" i="734"/>
  <c r="BR38" i="734"/>
  <c r="BR17" i="734"/>
  <c r="BR13" i="734"/>
  <c r="BR47" i="734"/>
  <c r="BR25" i="734"/>
  <c r="BR34" i="734"/>
  <c r="BR36" i="734"/>
  <c r="BR27" i="734"/>
  <c r="BR45" i="734"/>
  <c r="BR51" i="734"/>
  <c r="BR10" i="734"/>
  <c r="BR49" i="734"/>
  <c r="BR15" i="734"/>
  <c r="BR50" i="734"/>
  <c r="BR26" i="734"/>
  <c r="BR16" i="734"/>
  <c r="BR21" i="734"/>
  <c r="BR43" i="734"/>
  <c r="BR35" i="734"/>
  <c r="DC60" i="734"/>
  <c r="DC67" i="734"/>
  <c r="DD65" i="734"/>
  <c r="DD60" i="734"/>
  <c r="DE59" i="734"/>
  <c r="I59" i="734" s="1"/>
  <c r="DD59" i="734"/>
  <c r="I65" i="734"/>
  <c r="AO58" i="734"/>
  <c r="BE58" i="734" s="1"/>
  <c r="AO53" i="734"/>
  <c r="BE53" i="734" s="1"/>
  <c r="AO62" i="734"/>
  <c r="BE62" i="734" s="1"/>
  <c r="AW56" i="734"/>
  <c r="BM56" i="734" s="1"/>
  <c r="AW64" i="734"/>
  <c r="BM64" i="734" s="1"/>
  <c r="CN69" i="734"/>
  <c r="CN59" i="734"/>
  <c r="CN54" i="734"/>
  <c r="AW65" i="734"/>
  <c r="BM65" i="734" s="1"/>
  <c r="CO68" i="734"/>
  <c r="CO54" i="734"/>
  <c r="AO60" i="734"/>
  <c r="BE60" i="734" s="1"/>
  <c r="CN68" i="734"/>
  <c r="AW66" i="734"/>
  <c r="BM66" i="734" s="1"/>
  <c r="D42" i="26"/>
  <c r="L43" i="26"/>
  <c r="BR11" i="734"/>
  <c r="BJ38" i="734"/>
  <c r="BJ32" i="734"/>
  <c r="BB31" i="734"/>
  <c r="AL18" i="734"/>
  <c r="BB44" i="734"/>
  <c r="BB51" i="734"/>
  <c r="AL43" i="734"/>
  <c r="BJ15" i="734"/>
  <c r="AT33" i="734"/>
  <c r="AT19" i="734"/>
  <c r="AL16" i="734"/>
  <c r="AL14" i="734"/>
  <c r="AT44" i="734"/>
  <c r="AT41" i="734"/>
  <c r="AL51" i="734"/>
  <c r="BJ26" i="734"/>
  <c r="BJ49" i="734"/>
  <c r="BJ27" i="734"/>
  <c r="O11" i="734"/>
  <c r="AT31" i="734"/>
  <c r="AL45" i="734"/>
  <c r="AL42" i="734"/>
  <c r="BB20" i="734"/>
  <c r="AL41" i="734"/>
  <c r="BJ37" i="734"/>
  <c r="BR37" i="734"/>
  <c r="BJ46" i="734"/>
  <c r="AL39" i="734"/>
  <c r="AT43" i="734"/>
  <c r="AT21" i="734"/>
  <c r="AL35" i="734"/>
  <c r="BB29" i="734"/>
  <c r="BJ22" i="734"/>
  <c r="AL49" i="734"/>
  <c r="BB33" i="734"/>
  <c r="BB23" i="734"/>
  <c r="BR48" i="734"/>
  <c r="BJ16" i="734"/>
  <c r="BJ47" i="734"/>
  <c r="AT29" i="734"/>
  <c r="AT26" i="734"/>
  <c r="AT51" i="734"/>
  <c r="AL33" i="734"/>
  <c r="BB11" i="734"/>
  <c r="AL21" i="734"/>
  <c r="AL26" i="734"/>
  <c r="AT37" i="734"/>
  <c r="AL17" i="734"/>
  <c r="BB40" i="734"/>
  <c r="BR12" i="734"/>
  <c r="AT10" i="734"/>
  <c r="BJ12" i="734"/>
  <c r="BB18" i="734"/>
  <c r="AT42" i="734"/>
  <c r="AL23" i="734"/>
  <c r="BR14" i="734"/>
  <c r="BJ24" i="734"/>
  <c r="BB13" i="734"/>
  <c r="BJ17" i="734"/>
  <c r="AT32" i="734"/>
  <c r="BB24" i="734"/>
  <c r="AT48" i="734"/>
  <c r="AL13" i="734"/>
  <c r="BB46" i="734"/>
  <c r="AL38" i="734"/>
  <c r="AL29" i="734"/>
  <c r="BJ31" i="734"/>
  <c r="BB49" i="734"/>
  <c r="AL28" i="734"/>
  <c r="BB28" i="734"/>
  <c r="BB32" i="734"/>
  <c r="BR28" i="734"/>
  <c r="BJ33" i="734"/>
  <c r="BJ39" i="734"/>
  <c r="BB26" i="734"/>
  <c r="AL31" i="734"/>
  <c r="AL36" i="734"/>
  <c r="BB38" i="734"/>
  <c r="BJ48" i="734"/>
  <c r="AT14" i="734"/>
  <c r="BJ14" i="734"/>
  <c r="BJ19" i="734"/>
  <c r="BR22" i="734"/>
  <c r="BB45" i="734"/>
  <c r="AT40" i="734"/>
  <c r="BJ41" i="734"/>
  <c r="AT16" i="734"/>
  <c r="BJ29" i="734"/>
  <c r="BR19" i="734"/>
  <c r="BB16" i="734"/>
  <c r="O10" i="734"/>
  <c r="AL37" i="734"/>
  <c r="AL50" i="734"/>
  <c r="AT38" i="734"/>
  <c r="BB30" i="734"/>
  <c r="AT13" i="734"/>
  <c r="BJ42" i="734"/>
  <c r="AL19" i="734"/>
  <c r="AT24" i="734"/>
  <c r="AL24" i="734"/>
  <c r="AL12" i="734"/>
  <c r="AT27" i="734"/>
  <c r="BJ21" i="734"/>
  <c r="BJ40" i="734"/>
  <c r="BJ23" i="734"/>
  <c r="AL40" i="734"/>
  <c r="AL11" i="734"/>
  <c r="BB19" i="734"/>
  <c r="AT17" i="734"/>
  <c r="AL47" i="734"/>
  <c r="AL25" i="734"/>
  <c r="BB14" i="734"/>
  <c r="BJ50" i="734"/>
  <c r="BJ44" i="734"/>
  <c r="BR44" i="734"/>
  <c r="BB35" i="734"/>
  <c r="AL48" i="734"/>
  <c r="BB10" i="734"/>
  <c r="AT39" i="734"/>
  <c r="AL15" i="734"/>
  <c r="AL44" i="734"/>
  <c r="BB22" i="734"/>
  <c r="BB39" i="734"/>
  <c r="AT22" i="734"/>
  <c r="BR31" i="734"/>
  <c r="BB27" i="734"/>
  <c r="BJ45" i="734"/>
  <c r="BJ18" i="734"/>
  <c r="BR32" i="734"/>
  <c r="AT25" i="734"/>
  <c r="AT15" i="734"/>
  <c r="BB25" i="734"/>
  <c r="BB47" i="734"/>
  <c r="BB48" i="734"/>
  <c r="BR23" i="734"/>
  <c r="AL22" i="734"/>
  <c r="AL46" i="734"/>
  <c r="AT35" i="734"/>
  <c r="AL27" i="734"/>
  <c r="AT12" i="734"/>
  <c r="BR29" i="734"/>
  <c r="AL34" i="734"/>
  <c r="BR39" i="734"/>
  <c r="BJ20" i="734"/>
  <c r="BJ13" i="734"/>
  <c r="AT18" i="734"/>
  <c r="AT28" i="734"/>
  <c r="BB36" i="734"/>
  <c r="AT47" i="734"/>
  <c r="AT49" i="734"/>
  <c r="BB21" i="734"/>
  <c r="BJ36" i="734"/>
  <c r="BJ30" i="734"/>
  <c r="BJ28" i="734"/>
  <c r="BJ51" i="734"/>
  <c r="BB42" i="734"/>
  <c r="AT45" i="734"/>
  <c r="AT34" i="734"/>
  <c r="AL32" i="734"/>
  <c r="BB17" i="734"/>
  <c r="AT50" i="734"/>
  <c r="O12" i="734"/>
  <c r="AL30" i="734"/>
  <c r="BJ35" i="734"/>
  <c r="BJ43" i="734"/>
  <c r="BJ34" i="734"/>
  <c r="BJ11" i="734"/>
  <c r="AL10" i="734"/>
  <c r="AT11" i="734"/>
  <c r="AT23" i="734"/>
  <c r="AT46" i="734"/>
  <c r="AT36" i="734"/>
  <c r="BB15" i="734"/>
  <c r="BR41" i="734"/>
  <c r="BB50" i="734"/>
  <c r="AT30" i="734"/>
  <c r="BJ10" i="734"/>
  <c r="BB12" i="734"/>
  <c r="BB34" i="734"/>
  <c r="AT20" i="734"/>
  <c r="BJ25" i="734"/>
  <c r="BB43" i="734"/>
  <c r="BB41" i="734"/>
  <c r="AL20" i="734"/>
  <c r="DE24" i="734"/>
  <c r="DE44" i="734"/>
  <c r="DE41" i="734"/>
  <c r="DE22" i="734"/>
  <c r="DC14" i="734"/>
  <c r="DE21" i="734"/>
  <c r="DC45" i="734"/>
  <c r="DE33" i="734"/>
  <c r="DE25" i="734"/>
  <c r="DE43" i="734"/>
  <c r="DC24" i="734"/>
  <c r="DE27" i="734"/>
  <c r="DE42" i="734"/>
  <c r="DE45" i="734"/>
  <c r="DE50" i="734"/>
  <c r="DE29" i="734"/>
  <c r="DE15" i="734"/>
  <c r="DE26" i="734"/>
  <c r="DE46" i="734"/>
  <c r="DE49" i="734"/>
  <c r="DE47" i="734"/>
  <c r="DE36" i="734"/>
  <c r="DE19" i="734"/>
  <c r="DC50" i="734"/>
  <c r="DE13" i="734"/>
  <c r="DD34" i="734"/>
  <c r="DE38" i="734"/>
  <c r="DE14" i="734"/>
  <c r="D43" i="26" l="1"/>
  <c r="L44" i="26"/>
  <c r="E10" i="26"/>
  <c r="DE34" i="734"/>
  <c r="D44" i="26" l="1"/>
  <c r="L45" i="26"/>
  <c r="F147" i="960"/>
  <c r="B147" i="960"/>
  <c r="A88" i="960"/>
  <c r="A89" i="960" s="1"/>
  <c r="A90" i="960" s="1"/>
  <c r="A91" i="960" s="1"/>
  <c r="A92" i="960" s="1"/>
  <c r="A93" i="960" s="1"/>
  <c r="A94" i="960" s="1"/>
  <c r="A95" i="960" s="1"/>
  <c r="A96" i="960" s="1"/>
  <c r="A97" i="960" s="1"/>
  <c r="A98" i="960" s="1"/>
  <c r="A99" i="960" s="1"/>
  <c r="A100" i="960" s="1"/>
  <c r="A101" i="960" s="1"/>
  <c r="A102" i="960" s="1"/>
  <c r="A103" i="960" s="1"/>
  <c r="A104" i="960" s="1"/>
  <c r="A105" i="960" s="1"/>
  <c r="A106" i="960" s="1"/>
  <c r="A107" i="960" s="1"/>
  <c r="A108" i="960" s="1"/>
  <c r="A109" i="960" s="1"/>
  <c r="A110" i="960" s="1"/>
  <c r="A111" i="960" s="1"/>
  <c r="A112" i="960" s="1"/>
  <c r="A113" i="960" s="1"/>
  <c r="A114" i="960" s="1"/>
  <c r="A115" i="960" s="1"/>
  <c r="A116" i="960" s="1"/>
  <c r="A117" i="960" s="1"/>
  <c r="A118" i="960" s="1"/>
  <c r="A119" i="960" s="1"/>
  <c r="A120" i="960" s="1"/>
  <c r="A121" i="960" s="1"/>
  <c r="A122" i="960" s="1"/>
  <c r="A123" i="960" s="1"/>
  <c r="A124" i="960" s="1"/>
  <c r="A125" i="960" s="1"/>
  <c r="A126" i="960" s="1"/>
  <c r="A127" i="960" s="1"/>
  <c r="A128" i="960" s="1"/>
  <c r="A129" i="960" s="1"/>
  <c r="A130" i="960" s="1"/>
  <c r="A131" i="960" s="1"/>
  <c r="A132" i="960" s="1"/>
  <c r="A133" i="960" s="1"/>
  <c r="A134" i="960" s="1"/>
  <c r="A135" i="960" s="1"/>
  <c r="A136" i="960" s="1"/>
  <c r="A137" i="960" s="1"/>
  <c r="A138" i="960" s="1"/>
  <c r="A139" i="960" s="1"/>
  <c r="A140" i="960" s="1"/>
  <c r="A141" i="960" s="1"/>
  <c r="A142" i="960" s="1"/>
  <c r="A143" i="960" s="1"/>
  <c r="A144" i="960" s="1"/>
  <c r="A145" i="960" s="1"/>
  <c r="A146" i="960" s="1"/>
  <c r="F70" i="960"/>
  <c r="B70" i="960"/>
  <c r="A2" i="960"/>
  <c r="A1" i="960"/>
  <c r="A11" i="960"/>
  <c r="B2" i="734"/>
  <c r="D45" i="26" l="1"/>
  <c r="L46" i="26"/>
  <c r="A81" i="960"/>
  <c r="A4" i="960"/>
  <c r="A12" i="960"/>
  <c r="B2" i="910"/>
  <c r="D46" i="26" l="1"/>
  <c r="L47" i="26"/>
  <c r="A13" i="960"/>
  <c r="D47" i="26" l="1"/>
  <c r="L48" i="26"/>
  <c r="A14" i="960"/>
  <c r="D48" i="26" l="1"/>
  <c r="L49" i="26"/>
  <c r="A15" i="960"/>
  <c r="D49" i="26" l="1"/>
  <c r="L50" i="26"/>
  <c r="A16" i="960"/>
  <c r="D50" i="26" l="1"/>
  <c r="L51" i="26"/>
  <c r="A17" i="960"/>
  <c r="D48" i="910"/>
  <c r="F48" i="910" s="1"/>
  <c r="H48" i="910" s="1"/>
  <c r="J48" i="910" s="1"/>
  <c r="B50" i="910" s="1"/>
  <c r="D50" i="910" s="1"/>
  <c r="F50" i="910" s="1"/>
  <c r="H50" i="910" s="1"/>
  <c r="J50" i="910" s="1"/>
  <c r="B52" i="910" s="1"/>
  <c r="D52" i="910" s="1"/>
  <c r="F52" i="910" s="1"/>
  <c r="H52" i="910" s="1"/>
  <c r="J52" i="910" s="1"/>
  <c r="B1" i="734"/>
  <c r="W6" i="734"/>
  <c r="CL6" i="734"/>
  <c r="P6" i="734"/>
  <c r="DU3" i="734"/>
  <c r="K3" i="734"/>
  <c r="CV6" i="734"/>
  <c r="EU3" i="734"/>
  <c r="DS3" i="734"/>
  <c r="R3" i="734"/>
  <c r="DO3" i="734"/>
  <c r="BS3" i="734"/>
  <c r="CG6" i="734"/>
  <c r="CQ3" i="734"/>
  <c r="W68" i="734" l="1"/>
  <c r="W69" i="734"/>
  <c r="W67" i="734"/>
  <c r="W65" i="734"/>
  <c r="W66" i="734"/>
  <c r="W64" i="734"/>
  <c r="W61" i="734"/>
  <c r="W60" i="734"/>
  <c r="W63" i="734"/>
  <c r="W58" i="734"/>
  <c r="W57" i="734"/>
  <c r="W62" i="734"/>
  <c r="W59" i="734"/>
  <c r="W56" i="734"/>
  <c r="W55" i="734"/>
  <c r="W54" i="734"/>
  <c r="W53" i="734"/>
  <c r="W52" i="734"/>
  <c r="W50" i="734"/>
  <c r="Z50" i="734" s="1"/>
  <c r="W47" i="734"/>
  <c r="Z47" i="734" s="1"/>
  <c r="W43" i="734"/>
  <c r="Z43" i="734" s="1"/>
  <c r="W46" i="734"/>
  <c r="Z46" i="734" s="1"/>
  <c r="W42" i="734"/>
  <c r="Z42" i="734" s="1"/>
  <c r="W49" i="734"/>
  <c r="Z49" i="734" s="1"/>
  <c r="W39" i="734"/>
  <c r="Z39" i="734" s="1"/>
  <c r="W48" i="734"/>
  <c r="Z48" i="734" s="1"/>
  <c r="W45" i="734"/>
  <c r="Z45" i="734" s="1"/>
  <c r="W41" i="734"/>
  <c r="Z41" i="734" s="1"/>
  <c r="W37" i="734"/>
  <c r="Z37" i="734" s="1"/>
  <c r="W51" i="734"/>
  <c r="Z51" i="734" s="1"/>
  <c r="W38" i="734"/>
  <c r="Z38" i="734" s="1"/>
  <c r="W34" i="734"/>
  <c r="Z34" i="734" s="1"/>
  <c r="W30" i="734"/>
  <c r="Z30" i="734" s="1"/>
  <c r="W40" i="734"/>
  <c r="Z40" i="734" s="1"/>
  <c r="W36" i="734"/>
  <c r="Z36" i="734" s="1"/>
  <c r="W32" i="734"/>
  <c r="Z32" i="734" s="1"/>
  <c r="W31" i="734"/>
  <c r="Z31" i="734" s="1"/>
  <c r="W27" i="734"/>
  <c r="Z27" i="734" s="1"/>
  <c r="W23" i="734"/>
  <c r="Z23" i="734" s="1"/>
  <c r="W44" i="734"/>
  <c r="Z44" i="734" s="1"/>
  <c r="W26" i="734"/>
  <c r="Z26" i="734" s="1"/>
  <c r="W22" i="734"/>
  <c r="Z22" i="734" s="1"/>
  <c r="W18" i="734"/>
  <c r="Z18" i="734" s="1"/>
  <c r="W14" i="734"/>
  <c r="Z14" i="734" s="1"/>
  <c r="W28" i="734"/>
  <c r="Z28" i="734" s="1"/>
  <c r="W24" i="734"/>
  <c r="Z24" i="734" s="1"/>
  <c r="W20" i="734"/>
  <c r="Z20" i="734" s="1"/>
  <c r="W16" i="734"/>
  <c r="Z16" i="734" s="1"/>
  <c r="W12" i="734"/>
  <c r="Z12" i="734" s="1"/>
  <c r="W35" i="734"/>
  <c r="Z35" i="734" s="1"/>
  <c r="W33" i="734"/>
  <c r="Z33" i="734" s="1"/>
  <c r="W11" i="734"/>
  <c r="Z11" i="734" s="1"/>
  <c r="W13" i="734"/>
  <c r="Z13" i="734" s="1"/>
  <c r="W21" i="734"/>
  <c r="Z21" i="734" s="1"/>
  <c r="W17" i="734"/>
  <c r="Z17" i="734" s="1"/>
  <c r="W29" i="734"/>
  <c r="Z29" i="734" s="1"/>
  <c r="W25" i="734"/>
  <c r="Z25" i="734" s="1"/>
  <c r="W19" i="734"/>
  <c r="Z19" i="734" s="1"/>
  <c r="W15" i="734"/>
  <c r="Z15" i="734" s="1"/>
  <c r="CG13" i="734"/>
  <c r="CG38" i="734"/>
  <c r="CG44" i="734"/>
  <c r="CG50" i="734"/>
  <c r="CG23" i="734"/>
  <c r="CG20" i="734"/>
  <c r="CG15" i="734"/>
  <c r="CG24" i="734"/>
  <c r="CG32" i="734"/>
  <c r="CG36" i="734"/>
  <c r="CG40" i="734"/>
  <c r="CG27" i="734"/>
  <c r="CG16" i="734"/>
  <c r="CG11" i="734"/>
  <c r="CG19" i="734"/>
  <c r="CG28" i="734"/>
  <c r="CG31" i="734"/>
  <c r="CG48" i="734"/>
  <c r="CG49" i="734"/>
  <c r="CG26" i="734"/>
  <c r="CG25" i="734"/>
  <c r="CG17" i="734"/>
  <c r="CG42" i="734"/>
  <c r="CG30" i="734"/>
  <c r="CG14" i="734"/>
  <c r="CG45" i="734"/>
  <c r="CG51" i="734"/>
  <c r="CG29" i="734"/>
  <c r="CG21" i="734"/>
  <c r="CG47" i="734"/>
  <c r="CG12" i="734"/>
  <c r="CG34" i="734"/>
  <c r="CG33" i="734"/>
  <c r="CG43" i="734"/>
  <c r="CG46" i="734"/>
  <c r="CG41" i="734"/>
  <c r="CG37" i="734"/>
  <c r="CG22" i="734"/>
  <c r="CG35" i="734"/>
  <c r="CG39" i="734"/>
  <c r="CG18" i="734"/>
  <c r="CV13" i="734"/>
  <c r="CV39" i="734"/>
  <c r="CV23" i="734"/>
  <c r="CV50" i="734"/>
  <c r="CV48" i="734"/>
  <c r="CV38" i="734"/>
  <c r="CV20" i="734"/>
  <c r="CV19" i="734"/>
  <c r="CV31" i="734"/>
  <c r="CV47" i="734"/>
  <c r="CV34" i="734"/>
  <c r="CV15" i="734"/>
  <c r="CV16" i="734"/>
  <c r="CV24" i="734"/>
  <c r="CV32" i="734"/>
  <c r="CV27" i="734"/>
  <c r="CV28" i="734"/>
  <c r="CV44" i="734"/>
  <c r="CV43" i="734"/>
  <c r="CV51" i="734"/>
  <c r="CV33" i="734"/>
  <c r="CV30" i="734"/>
  <c r="CV17" i="734"/>
  <c r="CV29" i="734"/>
  <c r="CV25" i="734"/>
  <c r="CV46" i="734"/>
  <c r="CV37" i="734"/>
  <c r="CV49" i="734"/>
  <c r="CV36" i="734"/>
  <c r="CV22" i="734"/>
  <c r="CV26" i="734"/>
  <c r="CV40" i="734"/>
  <c r="CV18" i="734"/>
  <c r="CV41" i="734"/>
  <c r="CV21" i="734"/>
  <c r="CV12" i="734"/>
  <c r="CV45" i="734"/>
  <c r="CV42" i="734"/>
  <c r="CV35" i="734"/>
  <c r="CV11" i="734"/>
  <c r="CV14" i="734"/>
  <c r="CL16" i="734"/>
  <c r="CL11" i="734"/>
  <c r="CL37" i="734"/>
  <c r="CL34" i="734"/>
  <c r="CL41" i="734"/>
  <c r="CL14" i="734"/>
  <c r="CL20" i="734"/>
  <c r="CL18" i="734"/>
  <c r="CL26" i="734"/>
  <c r="CL30" i="734"/>
  <c r="CL31" i="734"/>
  <c r="CL28" i="734"/>
  <c r="CL45" i="734"/>
  <c r="CL42" i="734"/>
  <c r="CL51" i="734"/>
  <c r="CL22" i="734"/>
  <c r="CL46" i="734"/>
  <c r="CL43" i="734"/>
  <c r="CL38" i="734"/>
  <c r="CL23" i="734"/>
  <c r="CL17" i="734"/>
  <c r="CL27" i="734"/>
  <c r="CL25" i="734"/>
  <c r="CL35" i="734"/>
  <c r="CL33" i="734"/>
  <c r="CL48" i="734"/>
  <c r="CL24" i="734"/>
  <c r="CL32" i="734"/>
  <c r="CL13" i="734"/>
  <c r="CL50" i="734"/>
  <c r="CL39" i="734"/>
  <c r="CL19" i="734"/>
  <c r="CL47" i="734"/>
  <c r="CL36" i="734"/>
  <c r="CL29" i="734"/>
  <c r="CL12" i="734"/>
  <c r="CL44" i="734"/>
  <c r="CL40" i="734"/>
  <c r="CL21" i="734"/>
  <c r="CL15" i="734"/>
  <c r="CL49" i="734"/>
  <c r="P69" i="734"/>
  <c r="P68" i="734"/>
  <c r="P67" i="734"/>
  <c r="P66" i="734"/>
  <c r="P64" i="734"/>
  <c r="P63" i="734"/>
  <c r="P62" i="734"/>
  <c r="P65" i="734"/>
  <c r="P61" i="734"/>
  <c r="P56" i="734"/>
  <c r="P59" i="734"/>
  <c r="P55" i="734"/>
  <c r="P60" i="734"/>
  <c r="P58" i="734"/>
  <c r="P57" i="734"/>
  <c r="P51" i="734"/>
  <c r="R51" i="734" s="1"/>
  <c r="P54" i="734"/>
  <c r="P50" i="734"/>
  <c r="R50" i="734" s="1"/>
  <c r="P49" i="734"/>
  <c r="R49" i="734" s="1"/>
  <c r="P45" i="734"/>
  <c r="R45" i="734" s="1"/>
  <c r="P53" i="734"/>
  <c r="P48" i="734"/>
  <c r="R48" i="734" s="1"/>
  <c r="P44" i="734"/>
  <c r="R44" i="734" s="1"/>
  <c r="P47" i="734"/>
  <c r="R47" i="734" s="1"/>
  <c r="P41" i="734"/>
  <c r="R41" i="734" s="1"/>
  <c r="P37" i="734"/>
  <c r="R37" i="734" s="1"/>
  <c r="P52" i="734"/>
  <c r="P46" i="734"/>
  <c r="R46" i="734" s="1"/>
  <c r="P39" i="734"/>
  <c r="R39" i="734" s="1"/>
  <c r="P35" i="734"/>
  <c r="R35" i="734" s="1"/>
  <c r="P33" i="734"/>
  <c r="R33" i="734" s="1"/>
  <c r="P43" i="734"/>
  <c r="R43" i="734" s="1"/>
  <c r="P40" i="734"/>
  <c r="R40" i="734" s="1"/>
  <c r="P36" i="734"/>
  <c r="R36" i="734" s="1"/>
  <c r="P32" i="734"/>
  <c r="R32" i="734" s="1"/>
  <c r="P38" i="734"/>
  <c r="R38" i="734" s="1"/>
  <c r="P31" i="734"/>
  <c r="R31" i="734" s="1"/>
  <c r="P29" i="734"/>
  <c r="R29" i="734" s="1"/>
  <c r="P25" i="734"/>
  <c r="R25" i="734" s="1"/>
  <c r="P42" i="734"/>
  <c r="R42" i="734" s="1"/>
  <c r="P28" i="734"/>
  <c r="R28" i="734" s="1"/>
  <c r="P24" i="734"/>
  <c r="R24" i="734" s="1"/>
  <c r="P20" i="734"/>
  <c r="R20" i="734" s="1"/>
  <c r="P16" i="734"/>
  <c r="R16" i="734" s="1"/>
  <c r="P30" i="734"/>
  <c r="R30" i="734" s="1"/>
  <c r="P27" i="734"/>
  <c r="R27" i="734" s="1"/>
  <c r="P23" i="734"/>
  <c r="R23" i="734" s="1"/>
  <c r="P21" i="734"/>
  <c r="R21" i="734" s="1"/>
  <c r="P17" i="734"/>
  <c r="R17" i="734" s="1"/>
  <c r="P34" i="734"/>
  <c r="R34" i="734" s="1"/>
  <c r="P19" i="734"/>
  <c r="R19" i="734" s="1"/>
  <c r="P15" i="734"/>
  <c r="R15" i="734" s="1"/>
  <c r="P12" i="734"/>
  <c r="R12" i="734" s="1"/>
  <c r="P11" i="734"/>
  <c r="R11" i="734" s="1"/>
  <c r="P22" i="734"/>
  <c r="R22" i="734" s="1"/>
  <c r="P18" i="734"/>
  <c r="R18" i="734" s="1"/>
  <c r="P26" i="734"/>
  <c r="R26" i="734" s="1"/>
  <c r="P14" i="734"/>
  <c r="R14" i="734" s="1"/>
  <c r="P13" i="734"/>
  <c r="R13" i="734" s="1"/>
  <c r="W10" i="734"/>
  <c r="Z10" i="734" s="1"/>
  <c r="CG10" i="734"/>
  <c r="CV10" i="734"/>
  <c r="CL10" i="734"/>
  <c r="P10" i="734"/>
  <c r="R10" i="734" s="1"/>
  <c r="CR3" i="734"/>
  <c r="BV3" i="734"/>
  <c r="D51" i="26"/>
  <c r="L52" i="26"/>
  <c r="A18" i="960"/>
  <c r="AB42" i="734"/>
  <c r="AB17" i="734"/>
  <c r="CI29" i="734"/>
  <c r="CX33" i="734"/>
  <c r="T33" i="734"/>
  <c r="CI37" i="734"/>
  <c r="AB43" i="734"/>
  <c r="AC13" i="734"/>
  <c r="CI45" i="734"/>
  <c r="CY43" i="734"/>
  <c r="T39" i="734"/>
  <c r="CJ10" i="734"/>
  <c r="CI12" i="734"/>
  <c r="CX10" i="734"/>
  <c r="AB35" i="734"/>
  <c r="CJ42" i="734"/>
  <c r="CX27" i="734"/>
  <c r="U41" i="734"/>
  <c r="T14" i="734"/>
  <c r="CI15" i="734"/>
  <c r="CY35" i="734"/>
  <c r="CJ18" i="734"/>
  <c r="CX47" i="734"/>
  <c r="U27" i="734"/>
  <c r="T15" i="734"/>
  <c r="AB26" i="734"/>
  <c r="CJ11" i="734"/>
  <c r="CX48" i="734"/>
  <c r="CX11" i="734"/>
  <c r="U17" i="734"/>
  <c r="T24" i="734"/>
  <c r="AC23" i="734"/>
  <c r="CJ27" i="734"/>
  <c r="CY23" i="734"/>
  <c r="CY42" i="734"/>
  <c r="U23" i="734"/>
  <c r="AB21" i="734"/>
  <c r="U50" i="734"/>
  <c r="AB32" i="734"/>
  <c r="CX19" i="734"/>
  <c r="U46" i="734"/>
  <c r="AB18" i="734"/>
  <c r="CJ28" i="734"/>
  <c r="CX20" i="734"/>
  <c r="U51" i="734"/>
  <c r="T19" i="734"/>
  <c r="T21" i="734"/>
  <c r="AC26" i="734"/>
  <c r="CI11" i="734"/>
  <c r="CY48" i="734"/>
  <c r="CY11" i="734"/>
  <c r="T17" i="734"/>
  <c r="CJ13" i="734"/>
  <c r="T41" i="734"/>
  <c r="AC27" i="734"/>
  <c r="CI40" i="734"/>
  <c r="CX39" i="734"/>
  <c r="CX45" i="734"/>
  <c r="U10" i="734"/>
  <c r="AC43" i="734"/>
  <c r="AB13" i="734"/>
  <c r="CJ45" i="734"/>
  <c r="CX43" i="734"/>
  <c r="U39" i="734"/>
  <c r="CI32" i="734"/>
  <c r="AB50" i="734"/>
  <c r="AC33" i="734"/>
  <c r="CJ30" i="734"/>
  <c r="CY28" i="734"/>
  <c r="U37" i="734"/>
  <c r="T13" i="734"/>
  <c r="CI14" i="734"/>
  <c r="AB10" i="734"/>
  <c r="AB16" i="734"/>
  <c r="CJ25" i="734"/>
  <c r="CX24" i="734"/>
  <c r="U44" i="734"/>
  <c r="T18" i="734"/>
  <c r="CJ44" i="734"/>
  <c r="CX26" i="734"/>
  <c r="U38" i="734"/>
  <c r="T34" i="734"/>
  <c r="CY15" i="734"/>
  <c r="AC37" i="734"/>
  <c r="CJ38" i="734"/>
  <c r="T31" i="734"/>
  <c r="AC45" i="734"/>
  <c r="CJ34" i="734"/>
  <c r="AB48" i="734"/>
  <c r="AC49" i="734"/>
  <c r="CJ21" i="734"/>
  <c r="CI49" i="734"/>
  <c r="CJ33" i="734"/>
  <c r="T45" i="734"/>
  <c r="U20" i="734"/>
  <c r="AC34" i="734"/>
  <c r="T42" i="734"/>
  <c r="CY44" i="734"/>
  <c r="AC38" i="734"/>
  <c r="CI50" i="734"/>
  <c r="CI41" i="734"/>
  <c r="CX22" i="734"/>
  <c r="T25" i="734"/>
  <c r="CY45" i="734"/>
  <c r="AB37" i="734"/>
  <c r="CI38" i="734"/>
  <c r="CJ43" i="734"/>
  <c r="CY49" i="734"/>
  <c r="U31" i="734"/>
  <c r="AC51" i="734"/>
  <c r="CX15" i="734"/>
  <c r="AC48" i="734"/>
  <c r="AB19" i="734"/>
  <c r="CJ12" i="734"/>
  <c r="CX29" i="734"/>
  <c r="T36" i="734"/>
  <c r="AB49" i="734"/>
  <c r="CI42" i="734"/>
  <c r="U42" i="734"/>
  <c r="CX46" i="734"/>
  <c r="AB22" i="734"/>
  <c r="T11" i="734"/>
  <c r="T10" i="734"/>
  <c r="AB12" i="734"/>
  <c r="CJ17" i="734"/>
  <c r="CX32" i="734"/>
  <c r="T47" i="734"/>
  <c r="U26" i="734"/>
  <c r="AC10" i="734"/>
  <c r="AC20" i="734"/>
  <c r="CJ26" i="734"/>
  <c r="CX16" i="734"/>
  <c r="T48" i="734"/>
  <c r="T22" i="734"/>
  <c r="CI19" i="734"/>
  <c r="T16" i="734"/>
  <c r="AC14" i="734"/>
  <c r="T46" i="734"/>
  <c r="AC50" i="734"/>
  <c r="AB33" i="734"/>
  <c r="CI30" i="734"/>
  <c r="CX28" i="734"/>
  <c r="T37" i="734"/>
  <c r="U13" i="734"/>
  <c r="CY10" i="734"/>
  <c r="AC12" i="734"/>
  <c r="CI17" i="734"/>
  <c r="CY32" i="734"/>
  <c r="U47" i="734"/>
  <c r="T26" i="734"/>
  <c r="AC24" i="734"/>
  <c r="CJ49" i="734"/>
  <c r="U45" i="734"/>
  <c r="CX49" i="734"/>
  <c r="CY25" i="734"/>
  <c r="U43" i="734"/>
  <c r="CJ37" i="734"/>
  <c r="CI33" i="734"/>
  <c r="AC41" i="734"/>
  <c r="AB23" i="734"/>
  <c r="CI27" i="734"/>
  <c r="CX23" i="734"/>
  <c r="CX42" i="734"/>
  <c r="T23" i="734"/>
  <c r="T38" i="734"/>
  <c r="AC31" i="734"/>
  <c r="CJ36" i="734"/>
  <c r="CX13" i="734"/>
  <c r="CY12" i="734"/>
  <c r="T30" i="734"/>
  <c r="AC16" i="734"/>
  <c r="CX21" i="734"/>
  <c r="AC40" i="734"/>
  <c r="CJ15" i="734"/>
  <c r="CJ35" i="734"/>
  <c r="CX18" i="734"/>
  <c r="U24" i="734"/>
  <c r="AB27" i="734"/>
  <c r="CI35" i="734"/>
  <c r="CO10" i="734"/>
  <c r="T50" i="734"/>
  <c r="CI51" i="734"/>
  <c r="AB34" i="734"/>
  <c r="AC39" i="734"/>
  <c r="AB25" i="734"/>
  <c r="CI47" i="734"/>
  <c r="CY17" i="734"/>
  <c r="T40" i="734"/>
  <c r="CY24" i="734"/>
  <c r="AC42" i="734"/>
  <c r="AC17" i="734"/>
  <c r="CJ29" i="734"/>
  <c r="CY33" i="734"/>
  <c r="U33" i="734"/>
  <c r="BQ6" i="734"/>
  <c r="CJ46" i="734"/>
  <c r="AC47" i="734"/>
  <c r="CI13" i="734"/>
  <c r="CI16" i="734"/>
  <c r="AB45" i="734"/>
  <c r="AB15" i="734"/>
  <c r="CI34" i="734"/>
  <c r="CX25" i="734"/>
  <c r="T32" i="734"/>
  <c r="CY29" i="734"/>
  <c r="AB39" i="734"/>
  <c r="AC25" i="734"/>
  <c r="CJ47" i="734"/>
  <c r="CX17" i="734"/>
  <c r="U40" i="734"/>
  <c r="AC46" i="734"/>
  <c r="CI18" i="734"/>
  <c r="AB46" i="734"/>
  <c r="AC21" i="734"/>
  <c r="CJ51" i="734"/>
  <c r="CY51" i="734"/>
  <c r="T35" i="734"/>
  <c r="CY46" i="734"/>
  <c r="AB31" i="734"/>
  <c r="CI36" i="734"/>
  <c r="CY13" i="734"/>
  <c r="CX12" i="734"/>
  <c r="U30" i="734"/>
  <c r="U35" i="734"/>
  <c r="AC36" i="734"/>
  <c r="CI24" i="734"/>
  <c r="CX41" i="734"/>
  <c r="AB14" i="734"/>
  <c r="CI23" i="734"/>
  <c r="AB40" i="734"/>
  <c r="U29" i="734"/>
  <c r="CI10" i="734"/>
  <c r="AB20" i="734"/>
  <c r="CI26" i="734"/>
  <c r="CY16" i="734"/>
  <c r="U48" i="734"/>
  <c r="U22" i="734"/>
  <c r="U14" i="734"/>
  <c r="AC28" i="734"/>
  <c r="CI48" i="734"/>
  <c r="CY34" i="734"/>
  <c r="T49" i="734"/>
  <c r="U12" i="734"/>
  <c r="CJ40" i="734"/>
  <c r="T29" i="734"/>
  <c r="AC22" i="734"/>
  <c r="CJ19" i="734"/>
  <c r="CX38" i="734"/>
  <c r="CX14" i="734"/>
  <c r="U34" i="734"/>
  <c r="AB11" i="734"/>
  <c r="CY27" i="734"/>
  <c r="CJ32" i="734"/>
  <c r="U16" i="734"/>
  <c r="CX51" i="734"/>
  <c r="CI21" i="734"/>
  <c r="AC30" i="734"/>
  <c r="CI20" i="734"/>
  <c r="CJ22" i="734"/>
  <c r="CY40" i="734"/>
  <c r="T28" i="734"/>
  <c r="CY14" i="734"/>
  <c r="AB38" i="734"/>
  <c r="CJ50" i="734"/>
  <c r="CJ41" i="734"/>
  <c r="CY22" i="734"/>
  <c r="U25" i="734"/>
  <c r="AC32" i="734"/>
  <c r="CX44" i="734"/>
  <c r="AB41" i="734"/>
  <c r="CI31" i="734"/>
  <c r="CJ31" i="734"/>
  <c r="AB36" i="734"/>
  <c r="CJ24" i="734"/>
  <c r="CI39" i="734"/>
  <c r="CY41" i="734"/>
  <c r="T20" i="734"/>
  <c r="T44" i="734"/>
  <c r="AB30" i="734"/>
  <c r="CJ20" i="734"/>
  <c r="CI22" i="734"/>
  <c r="CX40" i="734"/>
  <c r="U28" i="734"/>
  <c r="AB44" i="734"/>
  <c r="CX30" i="734"/>
  <c r="AB51" i="734"/>
  <c r="CI44" i="734"/>
  <c r="CI46" i="734"/>
  <c r="CY36" i="734"/>
  <c r="T27" i="734"/>
  <c r="CY47" i="734"/>
  <c r="AB28" i="734"/>
  <c r="CJ48" i="734"/>
  <c r="CX34" i="734"/>
  <c r="U49" i="734"/>
  <c r="T12" i="734"/>
  <c r="U11" i="734"/>
  <c r="AC18" i="734"/>
  <c r="CI28" i="734"/>
  <c r="CY20" i="734"/>
  <c r="T51" i="734"/>
  <c r="U19" i="734"/>
  <c r="CJ23" i="734"/>
  <c r="T43" i="734"/>
  <c r="AC44" i="734"/>
  <c r="CJ16" i="734"/>
  <c r="CX50" i="734"/>
  <c r="CX35" i="734"/>
  <c r="U21" i="734"/>
  <c r="AC35" i="734"/>
  <c r="CY19" i="734"/>
  <c r="AC11" i="734"/>
  <c r="CY21" i="734"/>
  <c r="AB29" i="734"/>
  <c r="AB24" i="734"/>
  <c r="CJ14" i="734"/>
  <c r="CY39" i="734"/>
  <c r="CY50" i="734"/>
  <c r="CI25" i="734"/>
  <c r="AC19" i="734"/>
  <c r="CI43" i="734"/>
  <c r="CY18" i="734"/>
  <c r="AC15" i="734"/>
  <c r="U32" i="734"/>
  <c r="CY38" i="734"/>
  <c r="AC29" i="734"/>
  <c r="CY30" i="734"/>
  <c r="AB47" i="734"/>
  <c r="U36" i="734"/>
  <c r="U15" i="734"/>
  <c r="CJ39" i="734"/>
  <c r="CX36" i="734"/>
  <c r="CY26" i="734"/>
  <c r="U18" i="734"/>
  <c r="CP12" i="734" l="1"/>
  <c r="CO12" i="734"/>
  <c r="CN12" i="734"/>
  <c r="CP37" i="734"/>
  <c r="CO37" i="734"/>
  <c r="CN37" i="734"/>
  <c r="D52" i="26"/>
  <c r="L53" i="26"/>
  <c r="A19" i="960"/>
  <c r="AD46" i="734"/>
  <c r="V22" i="734"/>
  <c r="AD20" i="734"/>
  <c r="V17" i="734"/>
  <c r="AD10" i="734"/>
  <c r="V15" i="734"/>
  <c r="V25" i="734"/>
  <c r="V21" i="734"/>
  <c r="V49" i="734"/>
  <c r="AD36" i="734"/>
  <c r="V42" i="734"/>
  <c r="AD33" i="734"/>
  <c r="V16" i="734"/>
  <c r="V26" i="734"/>
  <c r="AD41" i="734"/>
  <c r="AD43" i="734"/>
  <c r="V46" i="734"/>
  <c r="AD29" i="734"/>
  <c r="V51" i="734"/>
  <c r="V23" i="734"/>
  <c r="AD19" i="734"/>
  <c r="AD44" i="734"/>
  <c r="AD39" i="734"/>
  <c r="V31" i="734"/>
  <c r="V37" i="734"/>
  <c r="AD27" i="734"/>
  <c r="AD30" i="734"/>
  <c r="AD50" i="734"/>
  <c r="AD23" i="734"/>
  <c r="AD13" i="734"/>
  <c r="AD45" i="734"/>
  <c r="V11" i="734"/>
  <c r="V19" i="734"/>
  <c r="V44" i="734"/>
  <c r="V13" i="734"/>
  <c r="AD17" i="734"/>
  <c r="V48" i="734"/>
  <c r="AD51" i="734"/>
  <c r="AD40" i="734"/>
  <c r="V50" i="734"/>
  <c r="AD49" i="734"/>
  <c r="V18" i="734"/>
  <c r="V35" i="734"/>
  <c r="V14" i="734"/>
  <c r="V24" i="734"/>
  <c r="V40" i="734"/>
  <c r="AD32" i="734"/>
  <c r="AD28" i="734"/>
  <c r="V33" i="734"/>
  <c r="V45" i="734"/>
  <c r="AD16" i="734"/>
  <c r="AD47" i="734"/>
  <c r="AD37" i="734"/>
  <c r="AD25" i="734"/>
  <c r="AD31" i="734"/>
  <c r="AD18" i="734"/>
  <c r="V36" i="734"/>
  <c r="V32" i="734"/>
  <c r="AD24" i="734"/>
  <c r="V43" i="734"/>
  <c r="AD35" i="734"/>
  <c r="V10" i="734"/>
  <c r="V30" i="734"/>
  <c r="AD48" i="734"/>
  <c r="V39" i="734"/>
  <c r="AD11" i="734"/>
  <c r="V27" i="734"/>
  <c r="V29" i="734"/>
  <c r="AD38" i="734"/>
  <c r="AD22" i="734"/>
  <c r="AD34" i="734"/>
  <c r="V41" i="734"/>
  <c r="AD14" i="734"/>
  <c r="V12" i="734"/>
  <c r="V28" i="734"/>
  <c r="V34" i="734"/>
  <c r="AD26" i="734"/>
  <c r="V20" i="734"/>
  <c r="AD42" i="734"/>
  <c r="AD12" i="734"/>
  <c r="V47" i="734"/>
  <c r="AD15" i="734"/>
  <c r="AD21" i="734"/>
  <c r="V38" i="734"/>
  <c r="CK27" i="734"/>
  <c r="CO11" i="734"/>
  <c r="CK21" i="734"/>
  <c r="CN10" i="734"/>
  <c r="CO46" i="734"/>
  <c r="CZ28" i="734"/>
  <c r="CN29" i="734"/>
  <c r="CN31" i="734"/>
  <c r="CO27" i="734"/>
  <c r="CK34" i="734"/>
  <c r="CZ46" i="734"/>
  <c r="CN19" i="734"/>
  <c r="CK31" i="734"/>
  <c r="CP10" i="734"/>
  <c r="CZ10" i="734"/>
  <c r="CO32" i="734"/>
  <c r="CK25" i="734"/>
  <c r="CO36" i="734"/>
  <c r="CN15" i="734"/>
  <c r="CN46" i="734"/>
  <c r="CK22" i="734"/>
  <c r="CK39" i="734"/>
  <c r="CN27" i="734"/>
  <c r="CZ51" i="734"/>
  <c r="CK17" i="734"/>
  <c r="CO19" i="734"/>
  <c r="CZ11" i="734"/>
  <c r="CO26" i="734"/>
  <c r="CN39" i="734"/>
  <c r="CZ12" i="734"/>
  <c r="CN41" i="734"/>
  <c r="CZ35" i="734"/>
  <c r="CZ14" i="734"/>
  <c r="CN49" i="734"/>
  <c r="CK49" i="734"/>
  <c r="CN47" i="734"/>
  <c r="CO33" i="734"/>
  <c r="CZ18" i="734"/>
  <c r="CO21" i="734"/>
  <c r="CO50" i="734"/>
  <c r="CN40" i="734"/>
  <c r="CN38" i="734"/>
  <c r="CO25" i="734"/>
  <c r="CZ42" i="734"/>
  <c r="CO47" i="734"/>
  <c r="CZ30" i="734"/>
  <c r="CK45" i="734"/>
  <c r="CO41" i="734"/>
  <c r="CK10" i="734"/>
  <c r="CO30" i="734"/>
  <c r="CN35" i="734"/>
  <c r="CK20" i="734"/>
  <c r="CO51" i="734"/>
  <c r="CK33" i="734"/>
  <c r="CN14" i="734"/>
  <c r="CO42" i="734"/>
  <c r="CZ45" i="734"/>
  <c r="CZ27" i="734"/>
  <c r="CO39" i="734"/>
  <c r="CK18" i="734"/>
  <c r="CK11" i="734"/>
  <c r="CN23" i="734"/>
  <c r="CZ22" i="734"/>
  <c r="CN11" i="734"/>
  <c r="CK37" i="734"/>
  <c r="CO17" i="734"/>
  <c r="CP17" i="734" s="1"/>
  <c r="CZ19" i="734"/>
  <c r="CZ29" i="734"/>
  <c r="CN28" i="734"/>
  <c r="CK32" i="734"/>
  <c r="CO48" i="734"/>
  <c r="CP48" i="734"/>
  <c r="CK43" i="734"/>
  <c r="CO43" i="734"/>
  <c r="CP43" i="734" s="1"/>
  <c r="CZ36" i="734"/>
  <c r="CK47" i="734"/>
  <c r="CO31" i="734"/>
  <c r="CK35" i="734"/>
  <c r="CK24" i="734"/>
  <c r="CN32" i="734"/>
  <c r="CZ49" i="734"/>
  <c r="CO16" i="734"/>
  <c r="CP16" i="734" s="1"/>
  <c r="CO44" i="734"/>
  <c r="CZ32" i="734"/>
  <c r="CK28" i="734"/>
  <c r="CN43" i="734"/>
  <c r="CZ15" i="734"/>
  <c r="CN51" i="734"/>
  <c r="CK50" i="734"/>
  <c r="CK16" i="734"/>
  <c r="CO13" i="734"/>
  <c r="CP13" i="734" s="1"/>
  <c r="CN24" i="734"/>
  <c r="CK41" i="734"/>
  <c r="CO38" i="734"/>
  <c r="CZ44" i="734"/>
  <c r="CK48" i="734"/>
  <c r="CO35" i="734"/>
  <c r="CZ25" i="734"/>
  <c r="CP27" i="734"/>
  <c r="CP11" i="734"/>
  <c r="CK38" i="734"/>
  <c r="CZ23" i="734"/>
  <c r="CN22" i="734"/>
  <c r="CZ38" i="734"/>
  <c r="CN17" i="734"/>
  <c r="CN13" i="734"/>
  <c r="CK29" i="734"/>
  <c r="CN30" i="734"/>
  <c r="CK40" i="734"/>
  <c r="CK14" i="734"/>
  <c r="CK12" i="734"/>
  <c r="CZ47" i="734"/>
  <c r="CN26" i="734"/>
  <c r="CZ43" i="734"/>
  <c r="CO40" i="734"/>
  <c r="CZ39" i="734"/>
  <c r="CZ41" i="734"/>
  <c r="CO23" i="734"/>
  <c r="CK19" i="734"/>
  <c r="CK44" i="734"/>
  <c r="CZ17" i="734"/>
  <c r="CN18" i="734"/>
  <c r="CK46" i="734"/>
  <c r="CK30" i="734"/>
  <c r="CO20" i="734"/>
  <c r="CN42" i="734"/>
  <c r="CZ33" i="734"/>
  <c r="CN21" i="734"/>
  <c r="CZ50" i="734"/>
  <c r="CZ24" i="734"/>
  <c r="CN25" i="734"/>
  <c r="CK15" i="734"/>
  <c r="CN33" i="734"/>
  <c r="CN34" i="734"/>
  <c r="CZ40" i="734"/>
  <c r="CO22" i="734"/>
  <c r="CO18" i="734"/>
  <c r="CN48" i="734"/>
  <c r="CO14" i="734"/>
  <c r="CO34" i="734"/>
  <c r="CZ34" i="734"/>
  <c r="CN50" i="734"/>
  <c r="CZ21" i="734"/>
  <c r="CZ16" i="734"/>
  <c r="CO29" i="734"/>
  <c r="CZ48" i="734"/>
  <c r="CO28" i="734"/>
  <c r="CK13" i="734"/>
  <c r="CO45" i="734"/>
  <c r="CN16" i="734"/>
  <c r="CK36" i="734"/>
  <c r="CN36" i="734"/>
  <c r="CK51" i="734"/>
  <c r="CO49" i="734"/>
  <c r="CO15" i="734"/>
  <c r="CK26" i="734"/>
  <c r="CK42" i="734"/>
  <c r="CN44" i="734"/>
  <c r="CP45" i="734"/>
  <c r="CZ20" i="734"/>
  <c r="CO24" i="734"/>
  <c r="CZ26" i="734"/>
  <c r="CZ13" i="734"/>
  <c r="CN20" i="734"/>
  <c r="CK23" i="734"/>
  <c r="CN45" i="734"/>
  <c r="CP30" i="734"/>
  <c r="H10" i="734" l="1"/>
  <c r="I10" i="734"/>
  <c r="I12" i="734"/>
  <c r="I37" i="734"/>
  <c r="I16" i="734"/>
  <c r="I13" i="734"/>
  <c r="I30" i="734"/>
  <c r="I43" i="734"/>
  <c r="I48" i="734"/>
  <c r="I45" i="734"/>
  <c r="I17" i="734"/>
  <c r="I11" i="734"/>
  <c r="I27" i="734"/>
  <c r="H12" i="734"/>
  <c r="H11" i="734"/>
  <c r="G11" i="734" s="1"/>
  <c r="D53" i="26"/>
  <c r="L54" i="26"/>
  <c r="A20" i="960"/>
  <c r="CP40" i="734"/>
  <c r="CP50" i="734"/>
  <c r="CP46" i="734"/>
  <c r="CP44" i="734"/>
  <c r="CP29" i="734"/>
  <c r="CP15" i="734"/>
  <c r="CP38" i="734"/>
  <c r="CP21" i="734"/>
  <c r="CP41" i="734"/>
  <c r="CP36" i="734"/>
  <c r="CP35" i="734"/>
  <c r="CP23" i="734"/>
  <c r="CP18" i="734"/>
  <c r="CP14" i="734"/>
  <c r="CP33" i="734"/>
  <c r="CP31" i="734"/>
  <c r="CP39" i="734"/>
  <c r="CP20" i="734"/>
  <c r="CP47" i="734"/>
  <c r="CP25" i="734"/>
  <c r="CP22" i="734"/>
  <c r="CP34" i="734"/>
  <c r="CP51" i="734"/>
  <c r="CP26" i="734"/>
  <c r="CP49" i="734"/>
  <c r="CP32" i="734"/>
  <c r="CP28" i="734"/>
  <c r="CP24" i="734"/>
  <c r="CP42" i="734"/>
  <c r="CP19" i="734"/>
  <c r="I40" i="734" l="1"/>
  <c r="G10" i="734"/>
  <c r="I36" i="734"/>
  <c r="I49" i="734"/>
  <c r="I42" i="734"/>
  <c r="I26" i="734"/>
  <c r="I14" i="734"/>
  <c r="I50" i="734"/>
  <c r="G12" i="734"/>
  <c r="I24" i="734"/>
  <c r="I35" i="734"/>
  <c r="I25" i="734"/>
  <c r="I32" i="734"/>
  <c r="I20" i="734"/>
  <c r="I34" i="734"/>
  <c r="I41" i="734"/>
  <c r="I29" i="734"/>
  <c r="I51" i="734"/>
  <c r="I33" i="734"/>
  <c r="I21" i="734"/>
  <c r="I47" i="734"/>
  <c r="I31" i="734"/>
  <c r="I46" i="734"/>
  <c r="I39" i="734"/>
  <c r="I38" i="734"/>
  <c r="I15" i="734"/>
  <c r="I28" i="734"/>
  <c r="I19" i="734"/>
  <c r="I23" i="734"/>
  <c r="I44" i="734"/>
  <c r="I22" i="734"/>
  <c r="I18" i="734"/>
  <c r="D54" i="26"/>
  <c r="L55" i="26"/>
  <c r="A21" i="960"/>
  <c r="C69" i="434"/>
  <c r="G69" i="434" s="1"/>
  <c r="H69" i="434" s="1"/>
  <c r="C68" i="434"/>
  <c r="G68" i="434" s="1"/>
  <c r="H68" i="434" s="1"/>
  <c r="C67" i="434"/>
  <c r="G67" i="434" s="1"/>
  <c r="H67" i="434" s="1"/>
  <c r="C66" i="434"/>
  <c r="G66" i="434" s="1"/>
  <c r="H66" i="434" s="1"/>
  <c r="C65" i="434"/>
  <c r="G65" i="434" s="1"/>
  <c r="H65" i="434" s="1"/>
  <c r="C64" i="434"/>
  <c r="G64" i="434" s="1"/>
  <c r="H64" i="434" s="1"/>
  <c r="C63" i="434"/>
  <c r="G63" i="434" s="1"/>
  <c r="H63" i="434" s="1"/>
  <c r="C62" i="434"/>
  <c r="G62" i="434" s="1"/>
  <c r="H62" i="434" s="1"/>
  <c r="C61" i="434"/>
  <c r="G61" i="434" s="1"/>
  <c r="H61" i="434" s="1"/>
  <c r="C60" i="434"/>
  <c r="G60" i="434" s="1"/>
  <c r="H60" i="434" s="1"/>
  <c r="C59" i="434"/>
  <c r="G59" i="434" s="1"/>
  <c r="H59" i="434" s="1"/>
  <c r="C58" i="434"/>
  <c r="G58" i="434" s="1"/>
  <c r="H58" i="434" s="1"/>
  <c r="C57" i="434"/>
  <c r="G57" i="434" s="1"/>
  <c r="H57" i="434" s="1"/>
  <c r="C56" i="434"/>
  <c r="G56" i="434" s="1"/>
  <c r="H56" i="434" s="1"/>
  <c r="C55" i="434"/>
  <c r="G55" i="434" s="1"/>
  <c r="H55" i="434" s="1"/>
  <c r="C54" i="434"/>
  <c r="G54" i="434" s="1"/>
  <c r="H54" i="434" s="1"/>
  <c r="C53" i="434"/>
  <c r="G53" i="434" s="1"/>
  <c r="H53" i="434" s="1"/>
  <c r="C52" i="434"/>
  <c r="G52" i="434" s="1"/>
  <c r="H52" i="434" s="1"/>
  <c r="C51" i="434"/>
  <c r="G51" i="434" s="1"/>
  <c r="H51" i="434" s="1"/>
  <c r="C50" i="434"/>
  <c r="G50" i="434" s="1"/>
  <c r="H50" i="434" s="1"/>
  <c r="C49" i="434"/>
  <c r="G49" i="434" s="1"/>
  <c r="H49" i="434" s="1"/>
  <c r="C48" i="434"/>
  <c r="G48" i="434" s="1"/>
  <c r="H48" i="434" s="1"/>
  <c r="C47" i="434"/>
  <c r="G47" i="434" s="1"/>
  <c r="H47" i="434" s="1"/>
  <c r="C46" i="434"/>
  <c r="G46" i="434" s="1"/>
  <c r="H46" i="434" s="1"/>
  <c r="C45" i="434"/>
  <c r="G45" i="434" s="1"/>
  <c r="H45" i="434" s="1"/>
  <c r="C44" i="434"/>
  <c r="G44" i="434" s="1"/>
  <c r="H44" i="434" s="1"/>
  <c r="C43" i="434"/>
  <c r="G43" i="434" s="1"/>
  <c r="H43" i="434" s="1"/>
  <c r="C42" i="434"/>
  <c r="G42" i="434" s="1"/>
  <c r="H42" i="434" s="1"/>
  <c r="C41" i="434"/>
  <c r="G41" i="434" s="1"/>
  <c r="H41" i="434" s="1"/>
  <c r="C40" i="434"/>
  <c r="G40" i="434" s="1"/>
  <c r="H40" i="434" s="1"/>
  <c r="C39" i="434"/>
  <c r="G39" i="434" s="1"/>
  <c r="H39" i="434" s="1"/>
  <c r="C38" i="434"/>
  <c r="G38" i="434" s="1"/>
  <c r="H38" i="434" s="1"/>
  <c r="C37" i="434"/>
  <c r="G37" i="434" s="1"/>
  <c r="H37" i="434" s="1"/>
  <c r="C36" i="434"/>
  <c r="G36" i="434" s="1"/>
  <c r="H36" i="434" s="1"/>
  <c r="C35" i="434"/>
  <c r="G35" i="434" s="1"/>
  <c r="H35" i="434" s="1"/>
  <c r="C34" i="434"/>
  <c r="G34" i="434" s="1"/>
  <c r="H34" i="434" s="1"/>
  <c r="C33" i="434"/>
  <c r="G33" i="434" s="1"/>
  <c r="H33" i="434" s="1"/>
  <c r="C32" i="434"/>
  <c r="G32" i="434" s="1"/>
  <c r="H32" i="434" s="1"/>
  <c r="C31" i="434"/>
  <c r="G31" i="434" s="1"/>
  <c r="H31" i="434" s="1"/>
  <c r="C30" i="434"/>
  <c r="G30" i="434" s="1"/>
  <c r="H30" i="434" s="1"/>
  <c r="C29" i="434"/>
  <c r="G29" i="434" s="1"/>
  <c r="H29" i="434" s="1"/>
  <c r="C28" i="434"/>
  <c r="G28" i="434" s="1"/>
  <c r="H28" i="434" s="1"/>
  <c r="C27" i="434"/>
  <c r="G27" i="434" s="1"/>
  <c r="H27" i="434" s="1"/>
  <c r="C26" i="434"/>
  <c r="G26" i="434" s="1"/>
  <c r="H26" i="434" s="1"/>
  <c r="C25" i="434"/>
  <c r="G25" i="434" s="1"/>
  <c r="H25" i="434" s="1"/>
  <c r="C24" i="434"/>
  <c r="G24" i="434" s="1"/>
  <c r="H24" i="434" s="1"/>
  <c r="C23" i="434"/>
  <c r="G23" i="434" s="1"/>
  <c r="H23" i="434" s="1"/>
  <c r="C22" i="434"/>
  <c r="G22" i="434" s="1"/>
  <c r="H22" i="434" s="1"/>
  <c r="C21" i="434"/>
  <c r="G21" i="434" s="1"/>
  <c r="H21" i="434" s="1"/>
  <c r="C20" i="434"/>
  <c r="G20" i="434" s="1"/>
  <c r="H20" i="434" s="1"/>
  <c r="C19" i="434"/>
  <c r="G19" i="434" s="1"/>
  <c r="H19" i="434" s="1"/>
  <c r="C18" i="434"/>
  <c r="G18" i="434" s="1"/>
  <c r="H18" i="434" s="1"/>
  <c r="C17" i="434"/>
  <c r="G17" i="434" s="1"/>
  <c r="H17" i="434" s="1"/>
  <c r="C16" i="434"/>
  <c r="G16" i="434" s="1"/>
  <c r="H16" i="434" s="1"/>
  <c r="C15" i="434"/>
  <c r="G15" i="434" s="1"/>
  <c r="H15" i="434" s="1"/>
  <c r="C14" i="434"/>
  <c r="G14" i="434" s="1"/>
  <c r="H14" i="434" s="1"/>
  <c r="C13" i="434"/>
  <c r="G13" i="434" s="1"/>
  <c r="H13" i="434" s="1"/>
  <c r="C12" i="434"/>
  <c r="G12" i="434" s="1"/>
  <c r="H12" i="434" s="1"/>
  <c r="C11" i="434"/>
  <c r="G11" i="434" s="1"/>
  <c r="H11" i="434" s="1"/>
  <c r="C10" i="434"/>
  <c r="G10" i="434" s="1"/>
  <c r="H10" i="434" s="1"/>
  <c r="D55" i="26" l="1"/>
  <c r="L56" i="26"/>
  <c r="A22" i="960"/>
  <c r="D56" i="26" l="1"/>
  <c r="L57" i="26"/>
  <c r="H182" i="1678"/>
  <c r="H40" i="1678"/>
  <c r="H36" i="1678"/>
  <c r="H32" i="1678"/>
  <c r="H26" i="1678"/>
  <c r="H22" i="1678"/>
  <c r="H18" i="1678"/>
  <c r="H14" i="1678"/>
  <c r="H174" i="1678"/>
  <c r="H164" i="1678"/>
  <c r="H150" i="1678"/>
  <c r="H140" i="1678"/>
  <c r="H120" i="1678"/>
  <c r="H112" i="1678"/>
  <c r="H106" i="1678"/>
  <c r="H88" i="1678"/>
  <c r="H78" i="1678"/>
  <c r="H66" i="1678"/>
  <c r="H62" i="1678"/>
  <c r="H42" i="1678"/>
  <c r="H28" i="1678"/>
  <c r="H10" i="1678"/>
  <c r="H180" i="1678"/>
  <c r="H176" i="1678"/>
  <c r="H172" i="1678"/>
  <c r="H168" i="1678"/>
  <c r="H146" i="1678"/>
  <c r="H136" i="1678"/>
  <c r="H108" i="1678"/>
  <c r="H86" i="1678"/>
  <c r="H64" i="1678"/>
  <c r="H178" i="1678"/>
  <c r="H170" i="1678"/>
  <c r="H154" i="1678"/>
  <c r="H144" i="1678"/>
  <c r="H134" i="1678"/>
  <c r="H102" i="1678"/>
  <c r="H72" i="1678"/>
  <c r="H46" i="1678"/>
  <c r="G1" i="1678"/>
  <c r="H152" i="1678"/>
  <c r="H132" i="1678"/>
  <c r="H104" i="1678"/>
  <c r="H76" i="1678"/>
  <c r="H44" i="1678"/>
  <c r="H38" i="1678"/>
  <c r="H34" i="1678"/>
  <c r="H30" i="1678"/>
  <c r="H24" i="1678"/>
  <c r="H20" i="1678"/>
  <c r="H16" i="1678"/>
  <c r="H12" i="1678"/>
  <c r="H162" i="1678"/>
  <c r="H142" i="1678"/>
  <c r="H114" i="1678"/>
  <c r="H100" i="1678"/>
  <c r="H70" i="1678"/>
  <c r="H58" i="1678"/>
  <c r="A23" i="960"/>
  <c r="A1" i="436"/>
  <c r="D57" i="26" l="1"/>
  <c r="L58" i="26"/>
  <c r="A24" i="960"/>
  <c r="A1" i="47"/>
  <c r="F59" i="778"/>
  <c r="C59" i="778"/>
  <c r="A59" i="778"/>
  <c r="F58" i="778"/>
  <c r="C58" i="778"/>
  <c r="A58" i="778"/>
  <c r="F57" i="778"/>
  <c r="C57" i="778"/>
  <c r="A57" i="778"/>
  <c r="F56" i="778"/>
  <c r="C56" i="778"/>
  <c r="A56" i="778"/>
  <c r="F55" i="778"/>
  <c r="C55" i="778"/>
  <c r="A55" i="778"/>
  <c r="F54" i="778"/>
  <c r="C54" i="778"/>
  <c r="A54" i="778"/>
  <c r="F53" i="778"/>
  <c r="C53" i="778"/>
  <c r="A53" i="778"/>
  <c r="F52" i="778"/>
  <c r="C52" i="778"/>
  <c r="A52" i="778"/>
  <c r="F51" i="778"/>
  <c r="C51" i="778"/>
  <c r="A51" i="778"/>
  <c r="F50" i="778"/>
  <c r="C50" i="778"/>
  <c r="A50" i="778"/>
  <c r="B10" i="26"/>
  <c r="B70" i="26" s="1"/>
  <c r="G10" i="26"/>
  <c r="R10" i="26" s="1"/>
  <c r="I10" i="26"/>
  <c r="L10" i="26"/>
  <c r="L11" i="26" s="1"/>
  <c r="B50" i="778"/>
  <c r="E50" i="778"/>
  <c r="B51" i="778"/>
  <c r="E51" i="778"/>
  <c r="B52" i="778"/>
  <c r="E52" i="778"/>
  <c r="B53" i="778"/>
  <c r="E53" i="778"/>
  <c r="B54" i="778"/>
  <c r="E54" i="778"/>
  <c r="B55" i="778"/>
  <c r="E55" i="778"/>
  <c r="B56" i="778"/>
  <c r="E56" i="778"/>
  <c r="B57" i="778"/>
  <c r="E57" i="778"/>
  <c r="B58" i="778"/>
  <c r="E58" i="778"/>
  <c r="B59" i="778"/>
  <c r="E59" i="778"/>
  <c r="D11" i="26" l="1"/>
  <c r="L12" i="26"/>
  <c r="D12" i="26" s="1"/>
  <c r="G11" i="26"/>
  <c r="R11" i="26" s="1"/>
  <c r="Q10" i="26"/>
  <c r="D58" i="26"/>
  <c r="L59" i="26"/>
  <c r="D10" i="26"/>
  <c r="D70" i="26" s="1"/>
  <c r="A25" i="960"/>
  <c r="A1" i="778"/>
  <c r="Q11" i="26" l="1"/>
  <c r="G12" i="26"/>
  <c r="R12" i="26" s="1"/>
  <c r="D59" i="26"/>
  <c r="L60" i="26"/>
  <c r="A26" i="960"/>
  <c r="Q12" i="26" l="1"/>
  <c r="G13" i="26"/>
  <c r="R13" i="26" s="1"/>
  <c r="L61" i="26"/>
  <c r="D60" i="26"/>
  <c r="A27" i="960"/>
  <c r="Q13" i="26" l="1"/>
  <c r="G14" i="26"/>
  <c r="R14" i="26" s="1"/>
  <c r="D61" i="26"/>
  <c r="L62" i="26"/>
  <c r="A28" i="960"/>
  <c r="A69" i="778"/>
  <c r="A68" i="778"/>
  <c r="A67" i="778"/>
  <c r="A66" i="778"/>
  <c r="A65" i="778"/>
  <c r="A64" i="778"/>
  <c r="A63" i="778"/>
  <c r="A62" i="778"/>
  <c r="A61" i="778"/>
  <c r="A60" i="778"/>
  <c r="A49" i="778"/>
  <c r="A48" i="778"/>
  <c r="A47" i="778"/>
  <c r="A46" i="778"/>
  <c r="A45" i="778"/>
  <c r="A44" i="778"/>
  <c r="A43" i="778"/>
  <c r="A42" i="778"/>
  <c r="A41" i="778"/>
  <c r="A40" i="778"/>
  <c r="A39" i="778"/>
  <c r="A38" i="778"/>
  <c r="A37" i="778"/>
  <c r="A36" i="778"/>
  <c r="A35" i="778"/>
  <c r="A34" i="778"/>
  <c r="A33" i="778"/>
  <c r="A32" i="778"/>
  <c r="A31" i="778"/>
  <c r="A30" i="778"/>
  <c r="A29" i="778"/>
  <c r="A28" i="778"/>
  <c r="A27" i="778"/>
  <c r="A26" i="778"/>
  <c r="A25" i="778"/>
  <c r="A24" i="778"/>
  <c r="A23" i="778"/>
  <c r="A22" i="778"/>
  <c r="A21" i="778"/>
  <c r="A20" i="778"/>
  <c r="A19" i="778"/>
  <c r="A18" i="778"/>
  <c r="A17" i="778"/>
  <c r="A16" i="778"/>
  <c r="A15" i="778"/>
  <c r="A14" i="778"/>
  <c r="A13" i="778"/>
  <c r="A12" i="778"/>
  <c r="A11" i="778"/>
  <c r="A10" i="778"/>
  <c r="A72" i="778" s="1"/>
  <c r="F69" i="778"/>
  <c r="E69" i="778"/>
  <c r="C69" i="778"/>
  <c r="B69" i="778"/>
  <c r="F68" i="778"/>
  <c r="E68" i="778"/>
  <c r="C68" i="778"/>
  <c r="B68" i="778"/>
  <c r="F67" i="778"/>
  <c r="E67" i="778"/>
  <c r="C67" i="778"/>
  <c r="B67" i="778"/>
  <c r="F66" i="778"/>
  <c r="E66" i="778"/>
  <c r="C66" i="778"/>
  <c r="B66" i="778"/>
  <c r="F65" i="778"/>
  <c r="E65" i="778"/>
  <c r="C65" i="778"/>
  <c r="B65" i="778"/>
  <c r="F64" i="778"/>
  <c r="E64" i="778"/>
  <c r="C64" i="778"/>
  <c r="B64" i="778"/>
  <c r="F63" i="778"/>
  <c r="E63" i="778"/>
  <c r="C63" i="778"/>
  <c r="B63" i="778"/>
  <c r="F62" i="778"/>
  <c r="E62" i="778"/>
  <c r="C62" i="778"/>
  <c r="B62" i="778"/>
  <c r="F61" i="778"/>
  <c r="E61" i="778"/>
  <c r="C61" i="778"/>
  <c r="B61" i="778"/>
  <c r="F60" i="778"/>
  <c r="E60" i="778"/>
  <c r="C60" i="778"/>
  <c r="B60" i="778"/>
  <c r="F49" i="778"/>
  <c r="E49" i="778"/>
  <c r="C49" i="778"/>
  <c r="B49" i="778"/>
  <c r="F48" i="778"/>
  <c r="E48" i="778"/>
  <c r="C48" i="778"/>
  <c r="B48" i="778"/>
  <c r="F47" i="778"/>
  <c r="E47" i="778"/>
  <c r="C47" i="778"/>
  <c r="B47" i="778"/>
  <c r="F46" i="778"/>
  <c r="E46" i="778"/>
  <c r="C46" i="778"/>
  <c r="B46" i="778"/>
  <c r="F45" i="778"/>
  <c r="E45" i="778"/>
  <c r="C45" i="778"/>
  <c r="B45" i="778"/>
  <c r="F44" i="778"/>
  <c r="E44" i="778"/>
  <c r="C44" i="778"/>
  <c r="B44" i="778"/>
  <c r="F43" i="778"/>
  <c r="E43" i="778"/>
  <c r="C43" i="778"/>
  <c r="B43" i="778"/>
  <c r="F42" i="778"/>
  <c r="E42" i="778"/>
  <c r="C42" i="778"/>
  <c r="B42" i="778"/>
  <c r="F41" i="778"/>
  <c r="E41" i="778"/>
  <c r="C41" i="778"/>
  <c r="B41" i="778"/>
  <c r="F40" i="778"/>
  <c r="E40" i="778"/>
  <c r="C40" i="778"/>
  <c r="B40" i="778"/>
  <c r="F39" i="778"/>
  <c r="E39" i="778"/>
  <c r="C39" i="778"/>
  <c r="B39" i="778"/>
  <c r="F38" i="778"/>
  <c r="E38" i="778"/>
  <c r="C38" i="778"/>
  <c r="B38" i="778"/>
  <c r="F37" i="778"/>
  <c r="E37" i="778"/>
  <c r="C37" i="778"/>
  <c r="B37" i="778"/>
  <c r="F36" i="778"/>
  <c r="E36" i="778"/>
  <c r="C36" i="778"/>
  <c r="B36" i="778"/>
  <c r="F35" i="778"/>
  <c r="E35" i="778"/>
  <c r="C35" i="778"/>
  <c r="B35" i="778"/>
  <c r="F34" i="778"/>
  <c r="E34" i="778"/>
  <c r="C34" i="778"/>
  <c r="B34" i="778"/>
  <c r="F33" i="778"/>
  <c r="E33" i="778"/>
  <c r="C33" i="778"/>
  <c r="B33" i="778"/>
  <c r="F32" i="778"/>
  <c r="C32" i="778"/>
  <c r="B32" i="778"/>
  <c r="F31" i="778"/>
  <c r="E31" i="778"/>
  <c r="C31" i="778"/>
  <c r="B31" i="778"/>
  <c r="F30" i="778"/>
  <c r="C30" i="778"/>
  <c r="B30" i="778"/>
  <c r="F29" i="778"/>
  <c r="C29" i="778"/>
  <c r="B29" i="778"/>
  <c r="F28" i="778"/>
  <c r="C28" i="778"/>
  <c r="B28" i="778"/>
  <c r="F27" i="778"/>
  <c r="C27" i="778"/>
  <c r="B27" i="778"/>
  <c r="F26" i="778"/>
  <c r="C26" i="778"/>
  <c r="B26" i="778"/>
  <c r="F25" i="778"/>
  <c r="C25" i="778"/>
  <c r="B25" i="778"/>
  <c r="F24" i="778"/>
  <c r="C24" i="778"/>
  <c r="B24" i="778"/>
  <c r="F23" i="778"/>
  <c r="C23" i="778"/>
  <c r="B23" i="778"/>
  <c r="F22" i="778"/>
  <c r="C22" i="778"/>
  <c r="B22" i="778"/>
  <c r="F21" i="778"/>
  <c r="C21" i="778"/>
  <c r="B21" i="778"/>
  <c r="F20" i="778"/>
  <c r="C20" i="778"/>
  <c r="B20" i="778"/>
  <c r="F19" i="778"/>
  <c r="C19" i="778"/>
  <c r="B19" i="778"/>
  <c r="F18" i="778"/>
  <c r="C18" i="778"/>
  <c r="B18" i="778"/>
  <c r="F17" i="778"/>
  <c r="C17" i="778"/>
  <c r="B17" i="778"/>
  <c r="F16" i="778"/>
  <c r="C16" i="778"/>
  <c r="B16" i="778"/>
  <c r="F15" i="778"/>
  <c r="C15" i="778"/>
  <c r="B15" i="778"/>
  <c r="F14" i="778"/>
  <c r="E14" i="778"/>
  <c r="C14" i="778"/>
  <c r="B14" i="778"/>
  <c r="F13" i="778"/>
  <c r="E13" i="778"/>
  <c r="D13" i="778"/>
  <c r="C13" i="778"/>
  <c r="B13" i="778"/>
  <c r="F12" i="778"/>
  <c r="E12" i="778"/>
  <c r="D12" i="778"/>
  <c r="C12" i="778"/>
  <c r="B12" i="778"/>
  <c r="F11" i="778"/>
  <c r="E11" i="778"/>
  <c r="D11" i="778"/>
  <c r="C11" i="778"/>
  <c r="B11" i="778"/>
  <c r="G10" i="778"/>
  <c r="F10" i="778"/>
  <c r="E10" i="778"/>
  <c r="D10" i="778"/>
  <c r="C10" i="778"/>
  <c r="B10" i="778"/>
  <c r="Q14" i="26" l="1"/>
  <c r="G15" i="26"/>
  <c r="R15" i="26" s="1"/>
  <c r="L63" i="26"/>
  <c r="D62" i="26"/>
  <c r="A29" i="960"/>
  <c r="C70" i="778"/>
  <c r="D14" i="778"/>
  <c r="B70" i="778"/>
  <c r="Q15" i="26" l="1"/>
  <c r="G16" i="26"/>
  <c r="R16" i="26" s="1"/>
  <c r="D63" i="26"/>
  <c r="L64" i="26"/>
  <c r="A30" i="960"/>
  <c r="J10" i="26"/>
  <c r="M10" i="26" s="1"/>
  <c r="E15" i="778"/>
  <c r="E16" i="778"/>
  <c r="D15" i="778"/>
  <c r="Q16" i="26" l="1"/>
  <c r="G17" i="26"/>
  <c r="R17" i="26" s="1"/>
  <c r="L65" i="26"/>
  <c r="D64" i="26"/>
  <c r="A31" i="960"/>
  <c r="D16" i="778"/>
  <c r="EU9" i="734"/>
  <c r="EU37" i="734"/>
  <c r="EU10" i="734"/>
  <c r="EU42" i="734"/>
  <c r="EU28" i="734"/>
  <c r="EU29" i="734"/>
  <c r="EU39" i="734"/>
  <c r="EU48" i="734"/>
  <c r="EU14" i="734"/>
  <c r="EU51" i="734"/>
  <c r="EU50" i="734"/>
  <c r="EU16" i="734"/>
  <c r="EU36" i="734"/>
  <c r="EU26" i="734"/>
  <c r="EU13" i="734"/>
  <c r="EU38" i="734"/>
  <c r="EU30" i="734"/>
  <c r="EU11" i="734"/>
  <c r="EU32" i="734"/>
  <c r="EU21" i="734"/>
  <c r="EU40" i="734"/>
  <c r="EU35" i="734"/>
  <c r="EU45" i="734"/>
  <c r="EU20" i="734"/>
  <c r="EU18" i="734"/>
  <c r="EU25" i="734"/>
  <c r="EU19" i="734"/>
  <c r="EU24" i="734"/>
  <c r="EU33" i="734"/>
  <c r="EU44" i="734"/>
  <c r="EU31" i="734"/>
  <c r="EU49" i="734"/>
  <c r="EU15" i="734"/>
  <c r="EU47" i="734"/>
  <c r="EU41" i="734"/>
  <c r="EU43" i="734"/>
  <c r="EU17" i="734"/>
  <c r="EU27" i="734"/>
  <c r="EU22" i="734"/>
  <c r="EU23" i="734"/>
  <c r="EU34" i="734"/>
  <c r="EU12" i="734"/>
  <c r="EU46" i="734"/>
  <c r="EW10" i="734" l="1"/>
  <c r="EW51" i="734"/>
  <c r="EW50" i="734"/>
  <c r="EW49" i="734"/>
  <c r="EW45" i="734"/>
  <c r="EW48" i="734"/>
  <c r="EW44" i="734"/>
  <c r="EW47" i="734"/>
  <c r="EW41" i="734"/>
  <c r="EW37" i="734"/>
  <c r="EW46" i="734"/>
  <c r="EW39" i="734"/>
  <c r="EW35" i="734"/>
  <c r="EW33" i="734"/>
  <c r="EW43" i="734"/>
  <c r="EW40" i="734"/>
  <c r="EW36" i="734"/>
  <c r="EW32" i="734"/>
  <c r="EW38" i="734"/>
  <c r="EW31" i="734"/>
  <c r="EW29" i="734"/>
  <c r="EW25" i="734"/>
  <c r="EW42" i="734"/>
  <c r="EW28" i="734"/>
  <c r="EW24" i="734"/>
  <c r="EW20" i="734"/>
  <c r="EW16" i="734"/>
  <c r="EW30" i="734"/>
  <c r="EW27" i="734"/>
  <c r="EW23" i="734"/>
  <c r="EW21" i="734"/>
  <c r="EW17" i="734"/>
  <c r="EW34" i="734"/>
  <c r="EW19" i="734"/>
  <c r="EW15" i="734"/>
  <c r="EW12" i="734"/>
  <c r="EW11" i="734"/>
  <c r="EW22" i="734"/>
  <c r="EW18" i="734"/>
  <c r="EW26" i="734"/>
  <c r="EW14" i="734"/>
  <c r="EW13" i="734"/>
  <c r="Q17" i="26"/>
  <c r="G18" i="26"/>
  <c r="R18" i="26" s="1"/>
  <c r="D65" i="26"/>
  <c r="L66" i="26"/>
  <c r="E18" i="778"/>
  <c r="G11" i="778"/>
  <c r="A32" i="960"/>
  <c r="E17" i="778"/>
  <c r="D17" i="778"/>
  <c r="EV9" i="734"/>
  <c r="Q18" i="26" l="1"/>
  <c r="G19" i="26"/>
  <c r="R19" i="26" s="1"/>
  <c r="L67" i="26"/>
  <c r="D66" i="26"/>
  <c r="A33" i="960"/>
  <c r="D18" i="778"/>
  <c r="Q19" i="26" l="1"/>
  <c r="G20" i="26"/>
  <c r="R20" i="26" s="1"/>
  <c r="D67" i="26"/>
  <c r="L68" i="26"/>
  <c r="E20" i="778"/>
  <c r="A34" i="960"/>
  <c r="E19" i="778"/>
  <c r="E21" i="778"/>
  <c r="D19" i="778"/>
  <c r="Q20" i="26" l="1"/>
  <c r="G21" i="26"/>
  <c r="R21" i="26" s="1"/>
  <c r="L69" i="26"/>
  <c r="D69" i="26" s="1"/>
  <c r="D68" i="26"/>
  <c r="A35" i="960"/>
  <c r="D20" i="778"/>
  <c r="Q21" i="26" l="1"/>
  <c r="G22" i="26"/>
  <c r="R22" i="26" s="1"/>
  <c r="G12" i="778"/>
  <c r="A36" i="960"/>
  <c r="D21" i="778"/>
  <c r="Q22" i="26" l="1"/>
  <c r="G23" i="26"/>
  <c r="R23" i="26" s="1"/>
  <c r="G13" i="778"/>
  <c r="E23" i="778"/>
  <c r="A37" i="960"/>
  <c r="E22" i="778"/>
  <c r="D22" i="778"/>
  <c r="Q23" i="26" l="1"/>
  <c r="G24" i="26"/>
  <c r="R24" i="26" s="1"/>
  <c r="E24" i="778"/>
  <c r="A38" i="960"/>
  <c r="D23" i="778"/>
  <c r="Q24" i="26" l="1"/>
  <c r="G25" i="26"/>
  <c r="R25" i="26" s="1"/>
  <c r="G14" i="778"/>
  <c r="E25" i="778"/>
  <c r="A39" i="960"/>
  <c r="D24" i="778"/>
  <c r="H71" i="434"/>
  <c r="B72" i="434" s="1"/>
  <c r="Q25" i="26" l="1"/>
  <c r="G26" i="26"/>
  <c r="R26" i="26" s="1"/>
  <c r="G15" i="778"/>
  <c r="E26" i="778"/>
  <c r="A40" i="960"/>
  <c r="E27" i="778"/>
  <c r="D25" i="778"/>
  <c r="A1" i="45"/>
  <c r="Q26" i="26" l="1"/>
  <c r="G27" i="26"/>
  <c r="R27" i="26" s="1"/>
  <c r="G16" i="778"/>
  <c r="A41" i="960"/>
  <c r="D26" i="778"/>
  <c r="A43" i="655"/>
  <c r="A1" i="655"/>
  <c r="Q27" i="26" l="1"/>
  <c r="G28" i="26"/>
  <c r="R28" i="26" s="1"/>
  <c r="G17" i="778"/>
  <c r="E28" i="778"/>
  <c r="A42" i="960"/>
  <c r="D27" i="778"/>
  <c r="H13" i="47"/>
  <c r="K13" i="734"/>
  <c r="M13" i="734" s="1"/>
  <c r="N13" i="734"/>
  <c r="B13" i="2138" l="1"/>
  <c r="H14" i="47"/>
  <c r="Q28" i="26"/>
  <c r="G29" i="26"/>
  <c r="R29" i="26" s="1"/>
  <c r="G18" i="778"/>
  <c r="G19" i="778"/>
  <c r="E29" i="778"/>
  <c r="A43" i="960"/>
  <c r="D28" i="778"/>
  <c r="O13" i="734"/>
  <c r="K14" i="734"/>
  <c r="M14" i="734" s="1"/>
  <c r="N14" i="734"/>
  <c r="H13" i="734" l="1"/>
  <c r="G13" i="734" s="1"/>
  <c r="B14" i="2138"/>
  <c r="H15" i="47"/>
  <c r="Q29" i="26"/>
  <c r="G30" i="26"/>
  <c r="R30" i="26" s="1"/>
  <c r="G20" i="778"/>
  <c r="E30" i="778"/>
  <c r="A44" i="960"/>
  <c r="D29" i="778"/>
  <c r="O14" i="734"/>
  <c r="K15" i="734"/>
  <c r="H14" i="734" l="1"/>
  <c r="G14" i="734" s="1"/>
  <c r="B15" i="2138"/>
  <c r="H16" i="47"/>
  <c r="Q30" i="26"/>
  <c r="G31" i="26"/>
  <c r="R31" i="26" s="1"/>
  <c r="G21" i="778"/>
  <c r="A45" i="960"/>
  <c r="D30" i="778"/>
  <c r="M15" i="734"/>
  <c r="N15" i="734"/>
  <c r="K16" i="734"/>
  <c r="M16" i="734"/>
  <c r="B16" i="2138" l="1"/>
  <c r="H17" i="47"/>
  <c r="Q31" i="26"/>
  <c r="G32" i="26"/>
  <c r="R32" i="26" s="1"/>
  <c r="E32" i="778"/>
  <c r="A46" i="960"/>
  <c r="D31" i="778"/>
  <c r="O15" i="734"/>
  <c r="N16" i="734"/>
  <c r="O16" i="734" s="1"/>
  <c r="K17" i="734"/>
  <c r="N17" i="734"/>
  <c r="M17" i="734"/>
  <c r="H15" i="734" l="1"/>
  <c r="G15" i="734" s="1"/>
  <c r="H16" i="734"/>
  <c r="G16" i="734" s="1"/>
  <c r="B17" i="2138"/>
  <c r="H18" i="47"/>
  <c r="Q32" i="26"/>
  <c r="G33" i="26"/>
  <c r="R33" i="26" s="1"/>
  <c r="G22" i="778"/>
  <c r="A47" i="960"/>
  <c r="D32" i="778"/>
  <c r="O17" i="734"/>
  <c r="K18" i="734"/>
  <c r="M18" i="734"/>
  <c r="H17" i="734" l="1"/>
  <c r="G17" i="734" s="1"/>
  <c r="B18" i="2138"/>
  <c r="H19" i="47"/>
  <c r="Q33" i="26"/>
  <c r="G34" i="26"/>
  <c r="R34" i="26" s="1"/>
  <c r="G23" i="778"/>
  <c r="A48" i="960"/>
  <c r="D33" i="778"/>
  <c r="N18" i="734"/>
  <c r="K19" i="734"/>
  <c r="M19" i="734"/>
  <c r="B19" i="2138" l="1"/>
  <c r="H20" i="47"/>
  <c r="Q34" i="26"/>
  <c r="G35" i="26"/>
  <c r="R35" i="26" s="1"/>
  <c r="G24" i="778"/>
  <c r="A49" i="960"/>
  <c r="D34" i="778"/>
  <c r="O18" i="734"/>
  <c r="N19" i="734"/>
  <c r="O19" i="734" s="1"/>
  <c r="K20" i="734"/>
  <c r="M20" i="734" s="1"/>
  <c r="H18" i="734" l="1"/>
  <c r="G18" i="734" s="1"/>
  <c r="H19" i="734"/>
  <c r="G19" i="734" s="1"/>
  <c r="B20" i="2138"/>
  <c r="H21" i="47"/>
  <c r="Q35" i="26"/>
  <c r="G36" i="26"/>
  <c r="R36" i="26" s="1"/>
  <c r="G25" i="778"/>
  <c r="A50" i="960"/>
  <c r="D35" i="778"/>
  <c r="N20" i="734"/>
  <c r="K21" i="734"/>
  <c r="N21" i="734"/>
  <c r="B21" i="2138" l="1"/>
  <c r="H22" i="47"/>
  <c r="Q36" i="26"/>
  <c r="G37" i="26"/>
  <c r="R37" i="26" s="1"/>
  <c r="G26" i="778"/>
  <c r="A51" i="960"/>
  <c r="D36" i="778"/>
  <c r="O20" i="734"/>
  <c r="K22" i="734"/>
  <c r="M21" i="734"/>
  <c r="M22" i="734"/>
  <c r="H20" i="734" l="1"/>
  <c r="G20" i="734" s="1"/>
  <c r="B22" i="2138"/>
  <c r="H23" i="47"/>
  <c r="Q37" i="26"/>
  <c r="G38" i="26"/>
  <c r="R38" i="26" s="1"/>
  <c r="G27" i="778"/>
  <c r="A52" i="960"/>
  <c r="D37" i="778"/>
  <c r="O21" i="734"/>
  <c r="N22" i="734"/>
  <c r="O22" i="734" s="1"/>
  <c r="K23" i="734"/>
  <c r="M23" i="734"/>
  <c r="H21" i="734" l="1"/>
  <c r="G21" i="734" s="1"/>
  <c r="H22" i="734"/>
  <c r="G22" i="734" s="1"/>
  <c r="B23" i="2138"/>
  <c r="H24" i="47"/>
  <c r="Q38" i="26"/>
  <c r="G39" i="26"/>
  <c r="R39" i="26" s="1"/>
  <c r="G28" i="778"/>
  <c r="A53" i="960"/>
  <c r="D38" i="778"/>
  <c r="N23" i="734"/>
  <c r="O23" i="734" s="1"/>
  <c r="K24" i="734"/>
  <c r="M24" i="734"/>
  <c r="N24" i="734"/>
  <c r="H23" i="734" l="1"/>
  <c r="G23" i="734" s="1"/>
  <c r="B24" i="2138"/>
  <c r="H25" i="47"/>
  <c r="Q39" i="26"/>
  <c r="G40" i="26"/>
  <c r="R40" i="26" s="1"/>
  <c r="G29" i="778"/>
  <c r="A54" i="960"/>
  <c r="D39" i="778"/>
  <c r="O24" i="734"/>
  <c r="K25" i="734"/>
  <c r="N25" i="734" s="1"/>
  <c r="H24" i="734" l="1"/>
  <c r="G24" i="734" s="1"/>
  <c r="B25" i="2138"/>
  <c r="H26" i="47"/>
  <c r="Q40" i="26"/>
  <c r="G41" i="26"/>
  <c r="R41" i="26" s="1"/>
  <c r="G30" i="778"/>
  <c r="A55" i="960"/>
  <c r="D40" i="778"/>
  <c r="M25" i="734"/>
  <c r="K26" i="734"/>
  <c r="N26" i="734" s="1"/>
  <c r="B26" i="2138" l="1"/>
  <c r="H27" i="47"/>
  <c r="Q41" i="26"/>
  <c r="G42" i="26"/>
  <c r="R42" i="26" s="1"/>
  <c r="G31" i="778"/>
  <c r="A56" i="960"/>
  <c r="D41" i="778"/>
  <c r="O25" i="734"/>
  <c r="M26" i="734"/>
  <c r="K27" i="734"/>
  <c r="N27" i="734"/>
  <c r="H25" i="734" l="1"/>
  <c r="G25" i="734" s="1"/>
  <c r="B27" i="2138"/>
  <c r="H28" i="47"/>
  <c r="Q42" i="26"/>
  <c r="G43" i="26"/>
  <c r="R43" i="26" s="1"/>
  <c r="G32" i="778"/>
  <c r="A57" i="960"/>
  <c r="D42" i="778"/>
  <c r="O26" i="734"/>
  <c r="A5" i="665"/>
  <c r="A4" i="661"/>
  <c r="A5" i="664"/>
  <c r="A4" i="99"/>
  <c r="K28" i="734"/>
  <c r="A5" i="99"/>
  <c r="A5" i="663"/>
  <c r="A1" i="662"/>
  <c r="A2" i="663"/>
  <c r="A1" i="100"/>
  <c r="A4" i="664"/>
  <c r="A4" i="100"/>
  <c r="A5" i="662"/>
  <c r="A1" i="99"/>
  <c r="A1" i="663"/>
  <c r="A2" i="99"/>
  <c r="A4" i="726"/>
  <c r="A5" i="726"/>
  <c r="A3" i="99"/>
  <c r="A2" i="662"/>
  <c r="A4" i="662"/>
  <c r="A3" i="661"/>
  <c r="A5" i="100"/>
  <c r="A3" i="663"/>
  <c r="A3" i="662"/>
  <c r="A2" i="726"/>
  <c r="A3" i="726"/>
  <c r="A5" i="661"/>
  <c r="M27" i="734"/>
  <c r="A5" i="98"/>
  <c r="A2" i="665"/>
  <c r="A4" i="98"/>
  <c r="A1" i="98"/>
  <c r="A1" i="664"/>
  <c r="A3" i="100"/>
  <c r="M28" i="734"/>
  <c r="A1" i="726"/>
  <c r="A1" i="665"/>
  <c r="A2" i="98"/>
  <c r="A4" i="663"/>
  <c r="A3" i="98"/>
  <c r="A2" i="661"/>
  <c r="A3" i="664"/>
  <c r="A2" i="664"/>
  <c r="A4" i="665"/>
  <c r="A3" i="665"/>
  <c r="A2" i="100"/>
  <c r="H26" i="734" l="1"/>
  <c r="G26" i="734" s="1"/>
  <c r="B28" i="2138"/>
  <c r="H29" i="47"/>
  <c r="Q43" i="26"/>
  <c r="G44" i="26"/>
  <c r="R44" i="26" s="1"/>
  <c r="G33" i="778"/>
  <c r="A58" i="960"/>
  <c r="D43" i="778"/>
  <c r="O27" i="734"/>
  <c r="N28" i="734"/>
  <c r="O28" i="734" s="1"/>
  <c r="K29" i="734"/>
  <c r="M29" i="734"/>
  <c r="H27" i="734" l="1"/>
  <c r="G27" i="734" s="1"/>
  <c r="H28" i="734"/>
  <c r="G28" i="734" s="1"/>
  <c r="B29" i="2138"/>
  <c r="H30" i="47"/>
  <c r="Q44" i="26"/>
  <c r="G45" i="26"/>
  <c r="R45" i="26" s="1"/>
  <c r="G34" i="778"/>
  <c r="A59" i="960"/>
  <c r="D44" i="778"/>
  <c r="N29" i="734"/>
  <c r="O29" i="734" s="1"/>
  <c r="K30" i="734"/>
  <c r="N30" i="734"/>
  <c r="M30" i="734"/>
  <c r="H29" i="734" l="1"/>
  <c r="G29" i="734" s="1"/>
  <c r="B30" i="2138"/>
  <c r="H31" i="47"/>
  <c r="Q45" i="26"/>
  <c r="G46" i="26"/>
  <c r="R46" i="26" s="1"/>
  <c r="G35" i="778"/>
  <c r="A60" i="960"/>
  <c r="D45" i="778"/>
  <c r="O30" i="734"/>
  <c r="K31" i="734"/>
  <c r="N31" i="734" s="1"/>
  <c r="H30" i="734" l="1"/>
  <c r="G30" i="734" s="1"/>
  <c r="B31" i="2138"/>
  <c r="H32" i="47"/>
  <c r="Q46" i="26"/>
  <c r="G47" i="26"/>
  <c r="R47" i="26" s="1"/>
  <c r="G36" i="778"/>
  <c r="A61" i="960"/>
  <c r="D46" i="778"/>
  <c r="M31" i="734"/>
  <c r="K32" i="734"/>
  <c r="N32" i="734" s="1"/>
  <c r="M32" i="734"/>
  <c r="B32" i="2138" l="1"/>
  <c r="H33" i="47"/>
  <c r="Q47" i="26"/>
  <c r="G48" i="26"/>
  <c r="R48" i="26" s="1"/>
  <c r="G37" i="778"/>
  <c r="A62" i="960"/>
  <c r="D47" i="778"/>
  <c r="O31" i="734"/>
  <c r="O32" i="734"/>
  <c r="K33" i="734"/>
  <c r="M33" i="734"/>
  <c r="N33" i="734"/>
  <c r="H31" i="734" l="1"/>
  <c r="G31" i="734" s="1"/>
  <c r="H32" i="734"/>
  <c r="G32" i="734" s="1"/>
  <c r="B33" i="2138"/>
  <c r="H34" i="47"/>
  <c r="Q48" i="26"/>
  <c r="G49" i="26"/>
  <c r="R49" i="26" s="1"/>
  <c r="G38" i="778"/>
  <c r="A63" i="960"/>
  <c r="D48" i="778"/>
  <c r="O33" i="734"/>
  <c r="K34" i="734"/>
  <c r="N34" i="734"/>
  <c r="M34" i="734"/>
  <c r="H33" i="734" l="1"/>
  <c r="G33" i="734" s="1"/>
  <c r="B34" i="2138"/>
  <c r="H35" i="47"/>
  <c r="Q49" i="26"/>
  <c r="G50" i="26"/>
  <c r="R50" i="26" s="1"/>
  <c r="G39" i="778"/>
  <c r="A64" i="960"/>
  <c r="D49" i="778"/>
  <c r="O34" i="734"/>
  <c r="K35" i="734"/>
  <c r="M35" i="734"/>
  <c r="H34" i="734" l="1"/>
  <c r="G34" i="734" s="1"/>
  <c r="B35" i="2138"/>
  <c r="H36" i="47"/>
  <c r="Q50" i="26"/>
  <c r="G51" i="26"/>
  <c r="R51" i="26" s="1"/>
  <c r="G40" i="778"/>
  <c r="A65" i="960"/>
  <c r="A1" i="438"/>
  <c r="N35" i="734"/>
  <c r="K36" i="734"/>
  <c r="B36" i="2138" l="1"/>
  <c r="H37" i="47"/>
  <c r="Q51" i="26"/>
  <c r="G52" i="26"/>
  <c r="R52" i="26" s="1"/>
  <c r="G41" i="778"/>
  <c r="A66" i="960"/>
  <c r="D50" i="778"/>
  <c r="D51" i="778"/>
  <c r="O35" i="734"/>
  <c r="M36" i="734"/>
  <c r="K37" i="734"/>
  <c r="N37" i="734"/>
  <c r="M37" i="734"/>
  <c r="N36" i="734"/>
  <c r="H35" i="734" l="1"/>
  <c r="G35" i="734" s="1"/>
  <c r="B37" i="2138"/>
  <c r="H38" i="47"/>
  <c r="Q52" i="26"/>
  <c r="G53" i="26"/>
  <c r="R53" i="26" s="1"/>
  <c r="G42" i="778"/>
  <c r="A67" i="960"/>
  <c r="O36" i="734"/>
  <c r="O37" i="734"/>
  <c r="K38" i="734"/>
  <c r="M38" i="734" s="1"/>
  <c r="N38" i="734"/>
  <c r="H36" i="734" l="1"/>
  <c r="G36" i="734" s="1"/>
  <c r="H37" i="734"/>
  <c r="G37" i="734" s="1"/>
  <c r="B38" i="2138"/>
  <c r="H39" i="47"/>
  <c r="Q53" i="26"/>
  <c r="G54" i="26"/>
  <c r="R54" i="26" s="1"/>
  <c r="G43" i="778"/>
  <c r="A68" i="960"/>
  <c r="D52" i="778"/>
  <c r="D53" i="778"/>
  <c r="O38" i="734"/>
  <c r="K39" i="734"/>
  <c r="N39" i="734" s="1"/>
  <c r="H38" i="734" l="1"/>
  <c r="G38" i="734" s="1"/>
  <c r="B39" i="2138"/>
  <c r="H40" i="47"/>
  <c r="Q54" i="26"/>
  <c r="G55" i="26"/>
  <c r="R55" i="26" s="1"/>
  <c r="G44" i="778"/>
  <c r="A69" i="960"/>
  <c r="K40" i="734"/>
  <c r="N40" i="734"/>
  <c r="M39" i="734"/>
  <c r="M40" i="734"/>
  <c r="B40" i="2138" l="1"/>
  <c r="H41" i="47"/>
  <c r="Q55" i="26"/>
  <c r="G56" i="26"/>
  <c r="R56" i="26" s="1"/>
  <c r="G45" i="778"/>
  <c r="D54" i="778"/>
  <c r="D55" i="778"/>
  <c r="A43" i="438"/>
  <c r="O39" i="734"/>
  <c r="O40" i="734"/>
  <c r="K41" i="734"/>
  <c r="H39" i="734" l="1"/>
  <c r="G39" i="734" s="1"/>
  <c r="H40" i="734"/>
  <c r="G40" i="734" s="1"/>
  <c r="B41" i="2138"/>
  <c r="H42" i="47"/>
  <c r="Q56" i="26"/>
  <c r="G57" i="26"/>
  <c r="R57" i="26" s="1"/>
  <c r="G46" i="778"/>
  <c r="D56" i="778"/>
  <c r="M41" i="734"/>
  <c r="N41" i="734"/>
  <c r="K42" i="734"/>
  <c r="M42" i="734"/>
  <c r="N42" i="734"/>
  <c r="B42" i="2138" l="1"/>
  <c r="H43" i="47"/>
  <c r="Q57" i="26"/>
  <c r="G58" i="26"/>
  <c r="R58" i="26" s="1"/>
  <c r="G47" i="778"/>
  <c r="O41" i="734"/>
  <c r="O42" i="734"/>
  <c r="K43" i="734"/>
  <c r="N43" i="734"/>
  <c r="M43" i="734"/>
  <c r="H41" i="734" l="1"/>
  <c r="G41" i="734" s="1"/>
  <c r="H42" i="734"/>
  <c r="G42" i="734" s="1"/>
  <c r="B43" i="2138"/>
  <c r="H44" i="47"/>
  <c r="Q58" i="26"/>
  <c r="G59" i="26"/>
  <c r="R59" i="26" s="1"/>
  <c r="G48" i="778"/>
  <c r="D58" i="778"/>
  <c r="D57" i="778"/>
  <c r="H72" i="434"/>
  <c r="O43" i="734"/>
  <c r="K44" i="734"/>
  <c r="M44" i="734" s="1"/>
  <c r="H43" i="734" l="1"/>
  <c r="G43" i="734" s="1"/>
  <c r="B44" i="2138"/>
  <c r="H45" i="47"/>
  <c r="Q59" i="26"/>
  <c r="G60" i="26"/>
  <c r="R60" i="26" s="1"/>
  <c r="G49" i="778"/>
  <c r="D59" i="778"/>
  <c r="K45" i="734"/>
  <c r="N45" i="734"/>
  <c r="N44" i="734"/>
  <c r="M45" i="734"/>
  <c r="B45" i="2138" l="1"/>
  <c r="H46" i="47"/>
  <c r="Q60" i="26"/>
  <c r="G61" i="26"/>
  <c r="R61" i="26" s="1"/>
  <c r="G50" i="778"/>
  <c r="D60" i="778"/>
  <c r="O44" i="734"/>
  <c r="O45" i="734"/>
  <c r="K46" i="734"/>
  <c r="N46" i="734"/>
  <c r="M46" i="734"/>
  <c r="H44" i="734" l="1"/>
  <c r="G44" i="734" s="1"/>
  <c r="H45" i="734"/>
  <c r="G45" i="734" s="1"/>
  <c r="B46" i="2138"/>
  <c r="H47" i="47"/>
  <c r="Q61" i="26"/>
  <c r="G62" i="26"/>
  <c r="R62" i="26" s="1"/>
  <c r="G51" i="778"/>
  <c r="D61" i="778"/>
  <c r="O46" i="734"/>
  <c r="K47" i="734"/>
  <c r="M47" i="734"/>
  <c r="N47" i="734"/>
  <c r="H46" i="734" l="1"/>
  <c r="G46" i="734" s="1"/>
  <c r="B47" i="2138"/>
  <c r="H48" i="47"/>
  <c r="Q62" i="26"/>
  <c r="G63" i="26"/>
  <c r="R63" i="26" s="1"/>
  <c r="G52" i="778"/>
  <c r="D62" i="778"/>
  <c r="A11" i="47"/>
  <c r="O47" i="734"/>
  <c r="K48" i="734"/>
  <c r="M48" i="734" s="1"/>
  <c r="N48" i="734"/>
  <c r="H47" i="734" l="1"/>
  <c r="G47" i="734" s="1"/>
  <c r="B48" i="2138"/>
  <c r="H49" i="47"/>
  <c r="Q63" i="26"/>
  <c r="G64" i="26"/>
  <c r="R64" i="26" s="1"/>
  <c r="G53" i="778"/>
  <c r="D63" i="778"/>
  <c r="A12" i="47"/>
  <c r="A13" i="47" s="1"/>
  <c r="O48" i="734"/>
  <c r="K49" i="734"/>
  <c r="M49" i="734" s="1"/>
  <c r="N49" i="734"/>
  <c r="H48" i="734" l="1"/>
  <c r="G48" i="734" s="1"/>
  <c r="B49" i="2138"/>
  <c r="H50" i="47"/>
  <c r="Q64" i="26"/>
  <c r="G65" i="26"/>
  <c r="R65" i="26" s="1"/>
  <c r="G54" i="778"/>
  <c r="D64" i="778"/>
  <c r="B11" i="108"/>
  <c r="B12" i="108"/>
  <c r="A14" i="47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O49" i="734"/>
  <c r="K50" i="734"/>
  <c r="M50" i="734"/>
  <c r="N50" i="734"/>
  <c r="H49" i="734" l="1"/>
  <c r="G49" i="734" s="1"/>
  <c r="B50" i="2138"/>
  <c r="H51" i="47"/>
  <c r="Q65" i="26"/>
  <c r="G66" i="26"/>
  <c r="R66" i="26" s="1"/>
  <c r="G55" i="778"/>
  <c r="D65" i="778"/>
  <c r="A15" i="47"/>
  <c r="B13" i="108"/>
  <c r="A30" i="45"/>
  <c r="A31" i="45" s="1"/>
  <c r="O50" i="734"/>
  <c r="K51" i="734"/>
  <c r="M51" i="734"/>
  <c r="N51" i="734"/>
  <c r="H50" i="734" l="1"/>
  <c r="G50" i="734" s="1"/>
  <c r="B51" i="2138"/>
  <c r="H52" i="47"/>
  <c r="Q66" i="26"/>
  <c r="G67" i="26"/>
  <c r="R67" i="26" s="1"/>
  <c r="G56" i="778"/>
  <c r="D66" i="778"/>
  <c r="B14" i="108"/>
  <c r="A16" i="47"/>
  <c r="B70" i="45"/>
  <c r="A32" i="45"/>
  <c r="O51" i="734"/>
  <c r="K55" i="734"/>
  <c r="K63" i="734"/>
  <c r="K60" i="734"/>
  <c r="K64" i="734"/>
  <c r="K59" i="734"/>
  <c r="K61" i="734"/>
  <c r="K62" i="734"/>
  <c r="K57" i="734"/>
  <c r="K53" i="734"/>
  <c r="K65" i="734"/>
  <c r="K66" i="734"/>
  <c r="K58" i="734"/>
  <c r="K52" i="734"/>
  <c r="K56" i="734"/>
  <c r="K69" i="734"/>
  <c r="K67" i="734"/>
  <c r="K68" i="734"/>
  <c r="K54" i="734"/>
  <c r="H51" i="734" l="1"/>
  <c r="G51" i="734" s="1"/>
  <c r="R66" i="734"/>
  <c r="R62" i="734"/>
  <c r="R58" i="734"/>
  <c r="R54" i="734"/>
  <c r="R65" i="734"/>
  <c r="R61" i="734"/>
  <c r="R57" i="734"/>
  <c r="R53" i="734"/>
  <c r="R68" i="734"/>
  <c r="R64" i="734"/>
  <c r="R60" i="734"/>
  <c r="R56" i="734"/>
  <c r="R52" i="734"/>
  <c r="R69" i="734"/>
  <c r="R67" i="734"/>
  <c r="R63" i="734"/>
  <c r="R59" i="734"/>
  <c r="R55" i="734"/>
  <c r="B52" i="2138"/>
  <c r="H53" i="47"/>
  <c r="Q67" i="26"/>
  <c r="G68" i="26"/>
  <c r="R68" i="26" s="1"/>
  <c r="B70" i="47"/>
  <c r="A70" i="734"/>
  <c r="G57" i="778"/>
  <c r="D67" i="778"/>
  <c r="A17" i="47"/>
  <c r="B15" i="108"/>
  <c r="A33" i="45"/>
  <c r="EU66" i="734"/>
  <c r="EU61" i="734"/>
  <c r="EU62" i="734"/>
  <c r="EU52" i="734"/>
  <c r="EU60" i="734"/>
  <c r="EU67" i="734"/>
  <c r="EU57" i="734"/>
  <c r="EU64" i="734"/>
  <c r="EU69" i="734"/>
  <c r="EU59" i="734"/>
  <c r="EU65" i="734"/>
  <c r="EU63" i="734"/>
  <c r="EU56" i="734"/>
  <c r="EU54" i="734"/>
  <c r="EU58" i="734"/>
  <c r="EU68" i="734"/>
  <c r="EU55" i="734"/>
  <c r="EU53" i="734"/>
  <c r="EW58" i="734" l="1"/>
  <c r="EW56" i="734"/>
  <c r="EW54" i="734"/>
  <c r="EW67" i="734"/>
  <c r="EW60" i="734"/>
  <c r="EW57" i="734"/>
  <c r="EW55" i="734"/>
  <c r="EW69" i="734"/>
  <c r="EW64" i="734"/>
  <c r="EW61" i="734"/>
  <c r="EW62" i="734"/>
  <c r="EW63" i="734"/>
  <c r="EW53" i="734"/>
  <c r="EW59" i="734"/>
  <c r="EW52" i="734"/>
  <c r="EW68" i="734"/>
  <c r="EW65" i="734"/>
  <c r="EW66" i="734"/>
  <c r="Z58" i="734"/>
  <c r="AH58" i="734" s="1"/>
  <c r="AP58" i="734" s="1"/>
  <c r="AX58" i="734" s="1"/>
  <c r="BF58" i="734" s="1"/>
  <c r="BN58" i="734" s="1"/>
  <c r="Z56" i="734"/>
  <c r="AH56" i="734" s="1"/>
  <c r="AP56" i="734" s="1"/>
  <c r="AX56" i="734" s="1"/>
  <c r="BF56" i="734" s="1"/>
  <c r="BN56" i="734" s="1"/>
  <c r="Z54" i="734"/>
  <c r="AH54" i="734" s="1"/>
  <c r="AP54" i="734" s="1"/>
  <c r="AX54" i="734" s="1"/>
  <c r="BF54" i="734" s="1"/>
  <c r="BN54" i="734" s="1"/>
  <c r="Z67" i="734"/>
  <c r="AH67" i="734" s="1"/>
  <c r="AP67" i="734" s="1"/>
  <c r="AX67" i="734" s="1"/>
  <c r="BF67" i="734" s="1"/>
  <c r="BN67" i="734" s="1"/>
  <c r="Z60" i="734"/>
  <c r="AH60" i="734" s="1"/>
  <c r="AP60" i="734" s="1"/>
  <c r="AX60" i="734" s="1"/>
  <c r="BF60" i="734" s="1"/>
  <c r="BN60" i="734" s="1"/>
  <c r="Z57" i="734"/>
  <c r="AH57" i="734" s="1"/>
  <c r="AP57" i="734" s="1"/>
  <c r="AX57" i="734" s="1"/>
  <c r="BF57" i="734" s="1"/>
  <c r="BN57" i="734" s="1"/>
  <c r="Z55" i="734"/>
  <c r="AH55" i="734" s="1"/>
  <c r="AP55" i="734" s="1"/>
  <c r="AX55" i="734" s="1"/>
  <c r="BF55" i="734" s="1"/>
  <c r="BN55" i="734" s="1"/>
  <c r="Z69" i="734"/>
  <c r="AH69" i="734" s="1"/>
  <c r="AP69" i="734" s="1"/>
  <c r="AX69" i="734" s="1"/>
  <c r="BF69" i="734" s="1"/>
  <c r="BN69" i="734" s="1"/>
  <c r="Z64" i="734"/>
  <c r="AH64" i="734" s="1"/>
  <c r="AP64" i="734" s="1"/>
  <c r="AX64" i="734" s="1"/>
  <c r="BF64" i="734" s="1"/>
  <c r="BN64" i="734" s="1"/>
  <c r="Z61" i="734"/>
  <c r="AH61" i="734" s="1"/>
  <c r="AP61" i="734" s="1"/>
  <c r="AX61" i="734" s="1"/>
  <c r="BF61" i="734" s="1"/>
  <c r="BN61" i="734" s="1"/>
  <c r="Z62" i="734"/>
  <c r="AH62" i="734" s="1"/>
  <c r="AP62" i="734" s="1"/>
  <c r="AX62" i="734" s="1"/>
  <c r="BF62" i="734" s="1"/>
  <c r="BN62" i="734" s="1"/>
  <c r="Z63" i="734"/>
  <c r="AH63" i="734" s="1"/>
  <c r="AP63" i="734" s="1"/>
  <c r="AX63" i="734" s="1"/>
  <c r="BF63" i="734" s="1"/>
  <c r="BN63" i="734" s="1"/>
  <c r="Z53" i="734"/>
  <c r="AH53" i="734" s="1"/>
  <c r="AP53" i="734" s="1"/>
  <c r="AX53" i="734" s="1"/>
  <c r="BF53" i="734" s="1"/>
  <c r="BN53" i="734" s="1"/>
  <c r="Z59" i="734"/>
  <c r="AH59" i="734" s="1"/>
  <c r="AP59" i="734" s="1"/>
  <c r="AX59" i="734" s="1"/>
  <c r="BF59" i="734" s="1"/>
  <c r="BN59" i="734" s="1"/>
  <c r="Z52" i="734"/>
  <c r="AH52" i="734" s="1"/>
  <c r="AP52" i="734" s="1"/>
  <c r="AX52" i="734" s="1"/>
  <c r="BF52" i="734" s="1"/>
  <c r="BN52" i="734" s="1"/>
  <c r="Z68" i="734"/>
  <c r="AH68" i="734" s="1"/>
  <c r="AP68" i="734" s="1"/>
  <c r="AX68" i="734" s="1"/>
  <c r="BF68" i="734" s="1"/>
  <c r="BN68" i="734" s="1"/>
  <c r="Z65" i="734"/>
  <c r="AH65" i="734" s="1"/>
  <c r="AP65" i="734" s="1"/>
  <c r="AX65" i="734" s="1"/>
  <c r="BF65" i="734" s="1"/>
  <c r="BN65" i="734" s="1"/>
  <c r="Z66" i="734"/>
  <c r="AH66" i="734" s="1"/>
  <c r="AP66" i="734" s="1"/>
  <c r="AX66" i="734" s="1"/>
  <c r="BF66" i="734" s="1"/>
  <c r="BN66" i="734" s="1"/>
  <c r="B53" i="2138"/>
  <c r="H54" i="47"/>
  <c r="Q68" i="26"/>
  <c r="G69" i="26"/>
  <c r="R69" i="26" s="1"/>
  <c r="G58" i="778"/>
  <c r="D68" i="778"/>
  <c r="B16" i="108"/>
  <c r="A18" i="47"/>
  <c r="A34" i="45"/>
  <c r="B54" i="2138" l="1"/>
  <c r="H55" i="47"/>
  <c r="Q69" i="26"/>
  <c r="G59" i="778"/>
  <c r="D69" i="778"/>
  <c r="D70" i="778" s="1"/>
  <c r="A19" i="47"/>
  <c r="B17" i="108"/>
  <c r="A35" i="45"/>
  <c r="B55" i="2138" l="1"/>
  <c r="H56" i="47"/>
  <c r="G60" i="778"/>
  <c r="B18" i="108"/>
  <c r="A20" i="47"/>
  <c r="A36" i="45"/>
  <c r="A37" i="45" s="1"/>
  <c r="A38" i="45" s="1"/>
  <c r="A39" i="45" s="1"/>
  <c r="B56" i="2138" l="1"/>
  <c r="H57" i="47"/>
  <c r="G61" i="778"/>
  <c r="A21" i="47"/>
  <c r="B19" i="108"/>
  <c r="A40" i="45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H58" i="47" l="1"/>
  <c r="F20" i="47"/>
  <c r="C18" i="47"/>
  <c r="F15" i="47"/>
  <c r="C12" i="47"/>
  <c r="C10" i="47"/>
  <c r="C20" i="47"/>
  <c r="G19" i="47"/>
  <c r="D18" i="47"/>
  <c r="G18" i="47"/>
  <c r="G17" i="47"/>
  <c r="F16" i="47"/>
  <c r="E15" i="47"/>
  <c r="C14" i="47"/>
  <c r="F14" i="47"/>
  <c r="D13" i="47"/>
  <c r="E11" i="47"/>
  <c r="F12" i="47"/>
  <c r="F10" i="47"/>
  <c r="F19" i="47"/>
  <c r="E16" i="47"/>
  <c r="D14" i="47"/>
  <c r="E12" i="47"/>
  <c r="D20" i="47"/>
  <c r="F17" i="47"/>
  <c r="G16" i="47"/>
  <c r="F13" i="47"/>
  <c r="F11" i="47"/>
  <c r="E10" i="47"/>
  <c r="D17" i="47"/>
  <c r="G15" i="47"/>
  <c r="C13" i="47"/>
  <c r="D11" i="47"/>
  <c r="D10" i="47"/>
  <c r="E20" i="47"/>
  <c r="E19" i="47"/>
  <c r="E18" i="47"/>
  <c r="C17" i="47"/>
  <c r="C15" i="47"/>
  <c r="G14" i="47"/>
  <c r="D12" i="47"/>
  <c r="C11" i="47"/>
  <c r="G10" i="47"/>
  <c r="G20" i="47"/>
  <c r="D19" i="47"/>
  <c r="F18" i="47"/>
  <c r="E17" i="47"/>
  <c r="C16" i="47"/>
  <c r="D16" i="47"/>
  <c r="D15" i="47"/>
  <c r="E14" i="47"/>
  <c r="E13" i="47"/>
  <c r="G13" i="47"/>
  <c r="G11" i="47"/>
  <c r="G12" i="47"/>
  <c r="C19" i="47"/>
  <c r="G62" i="778"/>
  <c r="A22" i="47"/>
  <c r="F21" i="47"/>
  <c r="C21" i="47"/>
  <c r="G21" i="47"/>
  <c r="E21" i="47"/>
  <c r="D21" i="47"/>
  <c r="B20" i="108"/>
  <c r="A10" i="108"/>
  <c r="B10" i="108" s="1"/>
  <c r="A58" i="45"/>
  <c r="F12" i="734"/>
  <c r="E13" i="734"/>
  <c r="F14" i="734"/>
  <c r="B21" i="734"/>
  <c r="C18" i="734"/>
  <c r="F20" i="734"/>
  <c r="F17" i="734"/>
  <c r="D18" i="734"/>
  <c r="F21" i="734"/>
  <c r="B13" i="734"/>
  <c r="C20" i="734"/>
  <c r="D12" i="734"/>
  <c r="F16" i="734"/>
  <c r="B16" i="734"/>
  <c r="B12" i="734"/>
  <c r="B11" i="734"/>
  <c r="B10" i="734"/>
  <c r="B20" i="734"/>
  <c r="E12" i="734"/>
  <c r="E16" i="734"/>
  <c r="D15" i="734"/>
  <c r="C17" i="734"/>
  <c r="C21" i="734"/>
  <c r="F18" i="734"/>
  <c r="F11" i="734"/>
  <c r="D16" i="734"/>
  <c r="C12" i="734"/>
  <c r="C11" i="734"/>
  <c r="E10" i="734"/>
  <c r="D21" i="734"/>
  <c r="D11" i="734"/>
  <c r="B17" i="734"/>
  <c r="B18" i="734"/>
  <c r="D19" i="734"/>
  <c r="D20" i="734"/>
  <c r="F10" i="734"/>
  <c r="D10" i="734"/>
  <c r="E19" i="734"/>
  <c r="E14" i="734"/>
  <c r="C14" i="734"/>
  <c r="F19" i="734"/>
  <c r="F13" i="734"/>
  <c r="B19" i="734"/>
  <c r="B14" i="734"/>
  <c r="C15" i="734"/>
  <c r="C19" i="734"/>
  <c r="D13" i="734"/>
  <c r="C10" i="734"/>
  <c r="D17" i="734"/>
  <c r="C16" i="734"/>
  <c r="E18" i="734"/>
  <c r="E20" i="734"/>
  <c r="F15" i="734"/>
  <c r="D14" i="734"/>
  <c r="E21" i="734"/>
  <c r="E17" i="734"/>
  <c r="C13" i="734"/>
  <c r="E15" i="734"/>
  <c r="E11" i="734"/>
  <c r="B15" i="734"/>
  <c r="H59" i="47" l="1"/>
  <c r="G63" i="778"/>
  <c r="A23" i="47"/>
  <c r="D22" i="47"/>
  <c r="G22" i="47"/>
  <c r="F22" i="47"/>
  <c r="E22" i="47"/>
  <c r="C22" i="47"/>
  <c r="B21" i="108"/>
  <c r="A59" i="45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C22" i="734"/>
  <c r="F22" i="734"/>
  <c r="B22" i="734"/>
  <c r="E22" i="734"/>
  <c r="D22" i="734"/>
  <c r="H60" i="47" l="1"/>
  <c r="G64" i="778"/>
  <c r="A24" i="47"/>
  <c r="F23" i="47"/>
  <c r="G23" i="47"/>
  <c r="D23" i="47"/>
  <c r="E23" i="47"/>
  <c r="C23" i="47"/>
  <c r="B22" i="108"/>
  <c r="F23" i="734"/>
  <c r="E23" i="734"/>
  <c r="D23" i="734"/>
  <c r="C23" i="734"/>
  <c r="B23" i="734"/>
  <c r="H61" i="47" l="1"/>
  <c r="G65" i="778"/>
  <c r="B23" i="108"/>
  <c r="A25" i="47"/>
  <c r="D24" i="47"/>
  <c r="F24" i="47"/>
  <c r="E24" i="47"/>
  <c r="C24" i="47"/>
  <c r="G24" i="47"/>
  <c r="D24" i="734"/>
  <c r="F24" i="734"/>
  <c r="E24" i="734"/>
  <c r="C24" i="734"/>
  <c r="B24" i="734"/>
  <c r="H62" i="47" l="1"/>
  <c r="A25" i="108"/>
  <c r="G66" i="778"/>
  <c r="A26" i="47"/>
  <c r="F25" i="47"/>
  <c r="E25" i="47"/>
  <c r="C25" i="47"/>
  <c r="D25" i="47"/>
  <c r="G25" i="47"/>
  <c r="B24" i="108"/>
  <c r="D25" i="734"/>
  <c r="B25" i="734"/>
  <c r="C25" i="734"/>
  <c r="E25" i="734"/>
  <c r="F25" i="734"/>
  <c r="H63" i="47" l="1"/>
  <c r="A26" i="108"/>
  <c r="G67" i="778"/>
  <c r="A27" i="47"/>
  <c r="D26" i="47"/>
  <c r="E26" i="47"/>
  <c r="G26" i="47"/>
  <c r="C26" i="47"/>
  <c r="F26" i="47"/>
  <c r="B25" i="108"/>
  <c r="D26" i="734"/>
  <c r="E26" i="734"/>
  <c r="F26" i="734"/>
  <c r="B26" i="734"/>
  <c r="C26" i="734"/>
  <c r="H64" i="47" l="1"/>
  <c r="A27" i="108"/>
  <c r="G69" i="778"/>
  <c r="G68" i="778"/>
  <c r="B26" i="108"/>
  <c r="A28" i="47"/>
  <c r="F27" i="47"/>
  <c r="D27" i="47"/>
  <c r="C27" i="47"/>
  <c r="G27" i="47"/>
  <c r="E27" i="47"/>
  <c r="B27" i="734"/>
  <c r="D27" i="734"/>
  <c r="E27" i="734"/>
  <c r="F27" i="734"/>
  <c r="C27" i="734"/>
  <c r="H65" i="47" l="1"/>
  <c r="A28" i="108"/>
  <c r="A29" i="47"/>
  <c r="D28" i="47"/>
  <c r="C28" i="47"/>
  <c r="F28" i="47"/>
  <c r="G28" i="47"/>
  <c r="E28" i="47"/>
  <c r="B27" i="108"/>
  <c r="E28" i="734"/>
  <c r="C28" i="734"/>
  <c r="B28" i="734"/>
  <c r="F28" i="734"/>
  <c r="D28" i="734"/>
  <c r="H66" i="47" l="1"/>
  <c r="A29" i="108"/>
  <c r="A30" i="47"/>
  <c r="F29" i="47"/>
  <c r="C29" i="47"/>
  <c r="G29" i="47"/>
  <c r="E29" i="47"/>
  <c r="D29" i="47"/>
  <c r="B28" i="108"/>
  <c r="B29" i="734"/>
  <c r="C29" i="734"/>
  <c r="D29" i="734"/>
  <c r="E29" i="734"/>
  <c r="F29" i="734"/>
  <c r="H67" i="47" l="1"/>
  <c r="H68" i="47" s="1"/>
  <c r="H69" i="47" s="1"/>
  <c r="A30" i="108"/>
  <c r="A31" i="47"/>
  <c r="D30" i="47"/>
  <c r="G30" i="47"/>
  <c r="E30" i="47"/>
  <c r="F30" i="47"/>
  <c r="C30" i="47"/>
  <c r="B29" i="108"/>
  <c r="B30" i="734"/>
  <c r="D30" i="734"/>
  <c r="C30" i="734"/>
  <c r="E30" i="734"/>
  <c r="F30" i="734"/>
  <c r="A31" i="108" l="1"/>
  <c r="A32" i="47"/>
  <c r="F31" i="47"/>
  <c r="G31" i="47"/>
  <c r="E31" i="47"/>
  <c r="D31" i="47"/>
  <c r="C31" i="47"/>
  <c r="B30" i="108"/>
  <c r="D31" i="734"/>
  <c r="C31" i="734"/>
  <c r="E31" i="734"/>
  <c r="F31" i="734"/>
  <c r="B31" i="734"/>
  <c r="A32" i="108" l="1"/>
  <c r="B31" i="108"/>
  <c r="A33" i="47"/>
  <c r="D32" i="47"/>
  <c r="F32" i="47"/>
  <c r="C32" i="47"/>
  <c r="G32" i="47"/>
  <c r="E32" i="47"/>
  <c r="E32" i="734"/>
  <c r="B32" i="734"/>
  <c r="C32" i="734"/>
  <c r="D32" i="734"/>
  <c r="F32" i="734"/>
  <c r="A33" i="108" l="1"/>
  <c r="B32" i="108"/>
  <c r="A34" i="47"/>
  <c r="F33" i="47"/>
  <c r="E33" i="47"/>
  <c r="G33" i="47"/>
  <c r="D33" i="47"/>
  <c r="C33" i="47"/>
  <c r="D33" i="734"/>
  <c r="C33" i="734"/>
  <c r="B33" i="734"/>
  <c r="E33" i="734"/>
  <c r="F33" i="734"/>
  <c r="A34" i="108" l="1"/>
  <c r="B33" i="108"/>
  <c r="A35" i="47"/>
  <c r="D34" i="47"/>
  <c r="E34" i="47"/>
  <c r="F34" i="47"/>
  <c r="C34" i="47"/>
  <c r="G34" i="47"/>
  <c r="D34" i="734"/>
  <c r="B34" i="734"/>
  <c r="F34" i="734"/>
  <c r="C34" i="734"/>
  <c r="E34" i="734"/>
  <c r="A35" i="108" l="1"/>
  <c r="A36" i="47"/>
  <c r="F35" i="47"/>
  <c r="D35" i="47"/>
  <c r="G35" i="47"/>
  <c r="E35" i="47"/>
  <c r="C35" i="47"/>
  <c r="B34" i="108"/>
  <c r="F35" i="734"/>
  <c r="B35" i="734"/>
  <c r="C35" i="734"/>
  <c r="E35" i="734"/>
  <c r="D35" i="734"/>
  <c r="A36" i="108" l="1"/>
  <c r="B35" i="108"/>
  <c r="A37" i="47"/>
  <c r="D36" i="47"/>
  <c r="C36" i="47"/>
  <c r="E36" i="47"/>
  <c r="G36" i="47"/>
  <c r="F36" i="47"/>
  <c r="B36" i="734"/>
  <c r="D36" i="734"/>
  <c r="C36" i="734"/>
  <c r="F36" i="734"/>
  <c r="E36" i="734"/>
  <c r="A37" i="108" l="1"/>
  <c r="B36" i="108"/>
  <c r="A38" i="47"/>
  <c r="F37" i="47"/>
  <c r="C37" i="47"/>
  <c r="E37" i="47"/>
  <c r="D37" i="47"/>
  <c r="G37" i="47"/>
  <c r="B37" i="734"/>
  <c r="D37" i="734"/>
  <c r="F37" i="734"/>
  <c r="E37" i="734"/>
  <c r="C37" i="734"/>
  <c r="A38" i="108" l="1"/>
  <c r="B37" i="108"/>
  <c r="A39" i="47"/>
  <c r="D38" i="47"/>
  <c r="C38" i="47"/>
  <c r="G38" i="47"/>
  <c r="E38" i="47"/>
  <c r="F38" i="47"/>
  <c r="B38" i="734"/>
  <c r="D38" i="734"/>
  <c r="E38" i="734"/>
  <c r="C38" i="734"/>
  <c r="F38" i="734"/>
  <c r="A39" i="108" l="1"/>
  <c r="B38" i="108"/>
  <c r="A40" i="47"/>
  <c r="F39" i="47"/>
  <c r="E39" i="47"/>
  <c r="D39" i="47"/>
  <c r="G39" i="47"/>
  <c r="C39" i="47"/>
  <c r="D39" i="734"/>
  <c r="C39" i="734"/>
  <c r="B39" i="734"/>
  <c r="F39" i="734"/>
  <c r="E39" i="734"/>
  <c r="A40" i="108" l="1"/>
  <c r="B39" i="108"/>
  <c r="A41" i="47"/>
  <c r="D40" i="47"/>
  <c r="G40" i="47"/>
  <c r="C40" i="47"/>
  <c r="F40" i="47"/>
  <c r="E40" i="47"/>
  <c r="C40" i="734"/>
  <c r="B40" i="734"/>
  <c r="E40" i="734"/>
  <c r="F40" i="734"/>
  <c r="D40" i="734"/>
  <c r="A41" i="108" l="1"/>
  <c r="B40" i="108"/>
  <c r="A42" i="47"/>
  <c r="F41" i="47"/>
  <c r="E41" i="47"/>
  <c r="C41" i="47"/>
  <c r="G41" i="47"/>
  <c r="D41" i="47"/>
  <c r="D41" i="734"/>
  <c r="C41" i="734"/>
  <c r="B41" i="734"/>
  <c r="F41" i="734"/>
  <c r="E41" i="734"/>
  <c r="A42" i="108" l="1"/>
  <c r="B41" i="108"/>
  <c r="A43" i="47"/>
  <c r="D42" i="47"/>
  <c r="C42" i="47"/>
  <c r="G42" i="47"/>
  <c r="F42" i="47"/>
  <c r="E42" i="47"/>
  <c r="B42" i="734"/>
  <c r="C42" i="734"/>
  <c r="E42" i="734"/>
  <c r="F42" i="734"/>
  <c r="D42" i="734"/>
  <c r="A43" i="108" l="1"/>
  <c r="B42" i="108"/>
  <c r="A44" i="47"/>
  <c r="F43" i="47"/>
  <c r="E43" i="47"/>
  <c r="D43" i="47"/>
  <c r="G43" i="47"/>
  <c r="C43" i="47"/>
  <c r="D43" i="734"/>
  <c r="C43" i="734"/>
  <c r="F43" i="734"/>
  <c r="B43" i="734"/>
  <c r="E43" i="734"/>
  <c r="A44" i="108" l="1"/>
  <c r="A45" i="47"/>
  <c r="D44" i="47"/>
  <c r="G44" i="47"/>
  <c r="C44" i="47"/>
  <c r="F44" i="47"/>
  <c r="E44" i="47"/>
  <c r="B43" i="108"/>
  <c r="B44" i="734"/>
  <c r="E44" i="734"/>
  <c r="D44" i="734"/>
  <c r="C44" i="734"/>
  <c r="F44" i="734"/>
  <c r="A45" i="108" l="1"/>
  <c r="A46" i="47"/>
  <c r="F45" i="47"/>
  <c r="E45" i="47"/>
  <c r="D45" i="47"/>
  <c r="C45" i="47"/>
  <c r="G45" i="47"/>
  <c r="B44" i="108"/>
  <c r="C45" i="734"/>
  <c r="F45" i="734"/>
  <c r="E45" i="734"/>
  <c r="D45" i="734"/>
  <c r="B45" i="734"/>
  <c r="A46" i="108" l="1"/>
  <c r="B45" i="108"/>
  <c r="A47" i="47"/>
  <c r="D46" i="47"/>
  <c r="C46" i="47"/>
  <c r="G46" i="47"/>
  <c r="E46" i="47"/>
  <c r="F46" i="47"/>
  <c r="B46" i="734"/>
  <c r="F46" i="734"/>
  <c r="E46" i="734"/>
  <c r="C46" i="734"/>
  <c r="D46" i="734"/>
  <c r="A47" i="108" l="1"/>
  <c r="A48" i="47"/>
  <c r="F47" i="47"/>
  <c r="E47" i="47"/>
  <c r="D47" i="47"/>
  <c r="G47" i="47"/>
  <c r="C47" i="47"/>
  <c r="B46" i="108"/>
  <c r="C47" i="734"/>
  <c r="E47" i="734"/>
  <c r="D47" i="734"/>
  <c r="F47" i="734"/>
  <c r="B47" i="734"/>
  <c r="A48" i="108" l="1"/>
  <c r="B47" i="108"/>
  <c r="A49" i="47"/>
  <c r="D48" i="47"/>
  <c r="G48" i="47"/>
  <c r="C48" i="47"/>
  <c r="F48" i="47"/>
  <c r="E48" i="47"/>
  <c r="F48" i="734"/>
  <c r="D48" i="734"/>
  <c r="B48" i="734"/>
  <c r="C48" i="734"/>
  <c r="E48" i="734"/>
  <c r="A49" i="108" l="1"/>
  <c r="A50" i="47"/>
  <c r="F49" i="47"/>
  <c r="E49" i="47"/>
  <c r="C49" i="47"/>
  <c r="G49" i="47"/>
  <c r="D49" i="47"/>
  <c r="B48" i="108"/>
  <c r="B49" i="734"/>
  <c r="D49" i="734"/>
  <c r="E49" i="734"/>
  <c r="C49" i="734"/>
  <c r="F49" i="734"/>
  <c r="A50" i="108" l="1"/>
  <c r="A51" i="47"/>
  <c r="D50" i="47"/>
  <c r="C50" i="47"/>
  <c r="G50" i="47"/>
  <c r="E50" i="47"/>
  <c r="F50" i="47"/>
  <c r="B49" i="108"/>
  <c r="F50" i="734"/>
  <c r="D50" i="734"/>
  <c r="C50" i="734"/>
  <c r="B50" i="734"/>
  <c r="E50" i="734"/>
  <c r="A51" i="108" l="1"/>
  <c r="B50" i="108"/>
  <c r="A52" i="47"/>
  <c r="F51" i="47"/>
  <c r="E51" i="47"/>
  <c r="D51" i="47"/>
  <c r="G51" i="47"/>
  <c r="C51" i="47"/>
  <c r="D51" i="734"/>
  <c r="F51" i="734"/>
  <c r="B51" i="734"/>
  <c r="E51" i="734"/>
  <c r="C51" i="734"/>
  <c r="A52" i="108" l="1"/>
  <c r="B51" i="108"/>
  <c r="A53" i="47"/>
  <c r="D52" i="47"/>
  <c r="G52" i="47"/>
  <c r="C52" i="47"/>
  <c r="F52" i="47"/>
  <c r="E52" i="47"/>
  <c r="F55" i="734"/>
  <c r="E53" i="734"/>
  <c r="F52" i="734"/>
  <c r="F63" i="734"/>
  <c r="E61" i="734"/>
  <c r="B60" i="734"/>
  <c r="C65" i="734"/>
  <c r="F60" i="734"/>
  <c r="B62" i="734"/>
  <c r="D54" i="734"/>
  <c r="E60" i="734"/>
  <c r="E55" i="734"/>
  <c r="D56" i="734"/>
  <c r="B69" i="734"/>
  <c r="D68" i="734"/>
  <c r="B68" i="734"/>
  <c r="B56" i="734"/>
  <c r="C59" i="734"/>
  <c r="E59" i="734"/>
  <c r="E56" i="734"/>
  <c r="F59" i="734"/>
  <c r="D52" i="734"/>
  <c r="E64" i="734"/>
  <c r="D64" i="734"/>
  <c r="C67" i="734"/>
  <c r="C55" i="734"/>
  <c r="D53" i="734"/>
  <c r="E52" i="734"/>
  <c r="B57" i="734"/>
  <c r="F69" i="734"/>
  <c r="E54" i="734"/>
  <c r="F68" i="734"/>
  <c r="F56" i="734"/>
  <c r="E62" i="734"/>
  <c r="E66" i="734"/>
  <c r="E63" i="734"/>
  <c r="D58" i="734"/>
  <c r="E58" i="734"/>
  <c r="E69" i="734"/>
  <c r="C66" i="734"/>
  <c r="F61" i="734"/>
  <c r="D69" i="734"/>
  <c r="F66" i="734"/>
  <c r="F54" i="734"/>
  <c r="B67" i="734"/>
  <c r="C64" i="734"/>
  <c r="C52" i="734"/>
  <c r="D65" i="734"/>
  <c r="B53" i="734"/>
  <c r="F62" i="734"/>
  <c r="C54" i="734"/>
  <c r="E57" i="734"/>
  <c r="B59" i="734"/>
  <c r="C62" i="734"/>
  <c r="F57" i="734"/>
  <c r="D67" i="734"/>
  <c r="D60" i="734"/>
  <c r="C63" i="734"/>
  <c r="D61" i="734"/>
  <c r="C60" i="734"/>
  <c r="C69" i="734"/>
  <c r="F58" i="734"/>
  <c r="F64" i="734"/>
  <c r="D55" i="734"/>
  <c r="F65" i="734"/>
  <c r="F53" i="734"/>
  <c r="D63" i="734"/>
  <c r="E65" i="734"/>
  <c r="C53" i="734"/>
  <c r="B66" i="734"/>
  <c r="C58" i="734"/>
  <c r="C61" i="734"/>
  <c r="B61" i="734"/>
  <c r="D66" i="734"/>
  <c r="E67" i="734"/>
  <c r="B54" i="734"/>
  <c r="C68" i="734"/>
  <c r="D57" i="734"/>
  <c r="B58" i="734"/>
  <c r="B55" i="734"/>
  <c r="D59" i="734"/>
  <c r="B52" i="734"/>
  <c r="B63" i="734"/>
  <c r="E68" i="734"/>
  <c r="C56" i="734"/>
  <c r="D62" i="734"/>
  <c r="C57" i="734"/>
  <c r="F67" i="734"/>
  <c r="B64" i="734"/>
  <c r="B65" i="734"/>
  <c r="A53" i="108" l="1"/>
  <c r="B52" i="108"/>
  <c r="A54" i="47"/>
  <c r="F53" i="47"/>
  <c r="E53" i="47"/>
  <c r="C53" i="47"/>
  <c r="G53" i="47"/>
  <c r="D53" i="47"/>
  <c r="A54" i="108" l="1"/>
  <c r="B53" i="108"/>
  <c r="A55" i="47"/>
  <c r="D54" i="47"/>
  <c r="G54" i="47"/>
  <c r="C54" i="47"/>
  <c r="E54" i="47"/>
  <c r="F54" i="47"/>
  <c r="A55" i="108" l="1"/>
  <c r="B54" i="108"/>
  <c r="A56" i="47"/>
  <c r="G55" i="47"/>
  <c r="C55" i="47"/>
  <c r="F55" i="47"/>
  <c r="E55" i="47"/>
  <c r="D55" i="47"/>
  <c r="A56" i="108" l="1"/>
  <c r="B55" i="108"/>
  <c r="A57" i="47"/>
  <c r="E56" i="47"/>
  <c r="D56" i="47"/>
  <c r="G56" i="47"/>
  <c r="C56" i="47"/>
  <c r="F56" i="47"/>
  <c r="A57" i="108" l="1"/>
  <c r="B56" i="108"/>
  <c r="A58" i="47"/>
  <c r="G57" i="47"/>
  <c r="C57" i="47"/>
  <c r="F57" i="47"/>
  <c r="E57" i="47"/>
  <c r="D57" i="47"/>
  <c r="A58" i="108" l="1"/>
  <c r="B57" i="108"/>
  <c r="A59" i="47"/>
  <c r="E58" i="47"/>
  <c r="D58" i="47"/>
  <c r="G58" i="47"/>
  <c r="C58" i="47"/>
  <c r="F58" i="47"/>
  <c r="A59" i="108" l="1"/>
  <c r="B58" i="108"/>
  <c r="G59" i="47"/>
  <c r="C59" i="47"/>
  <c r="F59" i="47"/>
  <c r="E59" i="47"/>
  <c r="A60" i="47"/>
  <c r="D59" i="47"/>
  <c r="A61" i="47" l="1"/>
  <c r="D60" i="47"/>
  <c r="E60" i="47"/>
  <c r="C60" i="47"/>
  <c r="G60" i="47"/>
  <c r="F60" i="47"/>
  <c r="B59" i="108"/>
  <c r="A60" i="108" l="1"/>
  <c r="B60" i="108" s="1"/>
  <c r="A61" i="108"/>
  <c r="B61" i="108" s="1"/>
  <c r="G61" i="47"/>
  <c r="E61" i="47"/>
  <c r="F61" i="47"/>
  <c r="D61" i="47"/>
  <c r="C61" i="47"/>
  <c r="A62" i="47"/>
  <c r="A62" i="108" l="1"/>
  <c r="B62" i="108" s="1"/>
  <c r="F62" i="47"/>
  <c r="E62" i="47"/>
  <c r="C62" i="47"/>
  <c r="G62" i="47"/>
  <c r="D62" i="47"/>
  <c r="A63" i="47"/>
  <c r="A63" i="108" l="1"/>
  <c r="B63" i="108" s="1"/>
  <c r="A64" i="47"/>
  <c r="C63" i="47"/>
  <c r="G63" i="47"/>
  <c r="F63" i="47"/>
  <c r="D63" i="47"/>
  <c r="E63" i="47"/>
  <c r="F64" i="47" l="1"/>
  <c r="A64" i="108"/>
  <c r="B64" i="108" s="1"/>
  <c r="E64" i="47"/>
  <c r="G64" i="47"/>
  <c r="C64" i="47"/>
  <c r="D64" i="47"/>
  <c r="A65" i="47"/>
  <c r="A65" i="108" l="1"/>
  <c r="B65" i="108" s="1"/>
  <c r="C65" i="47"/>
  <c r="E65" i="47"/>
  <c r="G65" i="47"/>
  <c r="F65" i="47"/>
  <c r="A66" i="47"/>
  <c r="D65" i="47"/>
  <c r="D66" i="47" l="1"/>
  <c r="A66" i="108"/>
  <c r="B66" i="108" s="1"/>
  <c r="A67" i="47"/>
  <c r="E66" i="47"/>
  <c r="C66" i="47"/>
  <c r="F66" i="47"/>
  <c r="G66" i="47"/>
  <c r="G67" i="47" l="1"/>
  <c r="D67" i="47"/>
  <c r="C67" i="47"/>
  <c r="F67" i="47"/>
  <c r="A68" i="47"/>
  <c r="E67" i="47"/>
  <c r="E68" i="47" l="1"/>
  <c r="A69" i="47"/>
  <c r="D68" i="47"/>
  <c r="C68" i="47"/>
  <c r="G68" i="47"/>
  <c r="F68" i="47"/>
  <c r="D69" i="47"/>
  <c r="E69" i="47" l="1"/>
  <c r="C69" i="47"/>
  <c r="F69" i="47"/>
  <c r="G69" i="47"/>
  <c r="G70" i="734" l="1"/>
  <c r="C3" i="734" s="1"/>
  <c r="H70" i="734"/>
  <c r="E3" i="734" l="1"/>
  <c r="J19" i="1705" l="1"/>
  <c r="D17" i="1705" s="1"/>
  <c r="H15" i="1705" s="1"/>
  <c r="J11" i="1705" s="1"/>
  <c r="B25" i="1705" s="1"/>
  <c r="D15" i="1705" s="1"/>
  <c r="B15" i="1705" s="1"/>
  <c r="D11" i="1705" s="1"/>
  <c r="B23" i="1705" s="1"/>
  <c r="H21" i="1705" s="1"/>
  <c r="F17" i="1705" s="1"/>
  <c r="B19" i="1705" l="1"/>
  <c r="D23" i="1705" s="1"/>
  <c r="F13" i="1705" l="1"/>
  <c r="B17" i="1705" s="1"/>
  <c r="D25" i="1705" l="1"/>
  <c r="F25" i="1705" s="1"/>
  <c r="H13" i="1705" s="1"/>
  <c r="J17" i="1705" s="1"/>
  <c r="F19" i="1705" s="1"/>
  <c r="H11" i="1705" s="1"/>
  <c r="D21" i="1705" s="1"/>
  <c r="B21" i="1705" s="1"/>
  <c r="H25" i="1705" s="1"/>
  <c r="J21" i="1705" s="1"/>
  <c r="D19" i="1705" s="1"/>
  <c r="J13" i="1705" s="1"/>
  <c r="F11" i="1705" s="1"/>
  <c r="F23" i="1705" s="1"/>
  <c r="J15" i="1705" s="1"/>
  <c r="J23" i="1705" s="1"/>
  <c r="D13" i="1705" s="1"/>
  <c r="F21" i="1705" s="1"/>
  <c r="H23" i="1705" s="1"/>
  <c r="J25" i="1705" s="1"/>
  <c r="A17" i="1780" s="1"/>
  <c r="A5" i="1909" l="1"/>
  <c r="A4" i="1909"/>
  <c r="A3" i="1909"/>
  <c r="A6" i="1909"/>
  <c r="J24" i="1705"/>
  <c r="A1" i="1909"/>
  <c r="A2" i="1909"/>
</calcChain>
</file>

<file path=xl/sharedStrings.xml><?xml version="1.0" encoding="utf-8"?>
<sst xmlns="http://schemas.openxmlformats.org/spreadsheetml/2006/main" count="3728" uniqueCount="903">
  <si>
    <t>№</t>
  </si>
  <si>
    <t>Общее</t>
  </si>
  <si>
    <t>Интервал</t>
  </si>
  <si>
    <t>Дорожная ситуация</t>
  </si>
  <si>
    <t>Информация</t>
  </si>
  <si>
    <t>До КВ</t>
  </si>
  <si>
    <t>Смоленск</t>
  </si>
  <si>
    <t>Норма времени</t>
  </si>
  <si>
    <t>Подпись</t>
  </si>
  <si>
    <t>Старт. номер</t>
  </si>
  <si>
    <t>Автомобиль</t>
  </si>
  <si>
    <t>Пенал.</t>
  </si>
  <si>
    <t>Средняя скорость, км/ч</t>
  </si>
  <si>
    <t>Расчетное время прибытия 1-го экипажа</t>
  </si>
  <si>
    <t>Подгаева Александра</t>
  </si>
  <si>
    <t>Пенал.   итого</t>
  </si>
  <si>
    <t>Парковка или прилегающая территория</t>
  </si>
  <si>
    <t>Рельсы</t>
  </si>
  <si>
    <t>Маршрут экипажа</t>
  </si>
  <si>
    <t>Маршрут экипажа и его пересечение с другими дорогами ("слепая карта")</t>
  </si>
  <si>
    <t>Блок ("карта с блоками")</t>
  </si>
  <si>
    <t>Контактный телефон</t>
  </si>
  <si>
    <t>Госномер</t>
  </si>
  <si>
    <t>Юзвик Ольга</t>
  </si>
  <si>
    <t>Грушина Елена</t>
  </si>
  <si>
    <t>Время старта</t>
  </si>
  <si>
    <t>Судейская задержка</t>
  </si>
  <si>
    <t>Название полное</t>
  </si>
  <si>
    <t>Название краткое</t>
  </si>
  <si>
    <t>Дорожная книга</t>
  </si>
  <si>
    <t>Точки ("карта с точками")</t>
  </si>
  <si>
    <t>Город</t>
  </si>
  <si>
    <t>План</t>
  </si>
  <si>
    <t>Прусова Наталья</t>
  </si>
  <si>
    <t>Марка, модель автомобиля</t>
  </si>
  <si>
    <t>№ п/п</t>
  </si>
  <si>
    <t>Ст. №</t>
  </si>
  <si>
    <t>Дельта</t>
  </si>
  <si>
    <t>Судейский пункт</t>
  </si>
  <si>
    <t>Номер строки поста</t>
  </si>
  <si>
    <t>Опоздание на КВ</t>
  </si>
  <si>
    <t>Опережение на КВ</t>
  </si>
  <si>
    <t>Пропуск КВ</t>
  </si>
  <si>
    <t>Буква</t>
  </si>
  <si>
    <t>Проезд СЛ не по схеме</t>
  </si>
  <si>
    <t>Сбитый конус на СЛ</t>
  </si>
  <si>
    <t>Неостановка базой на СЛ</t>
  </si>
  <si>
    <t>Фальстарт на ДС</t>
  </si>
  <si>
    <t>Вскрытый конверт</t>
  </si>
  <si>
    <t>Нарушение ПДД</t>
  </si>
  <si>
    <t>Опоздание на старт ДС</t>
  </si>
  <si>
    <t>Здание / церковь</t>
  </si>
  <si>
    <t>назначенное</t>
  </si>
  <si>
    <t>Точки изменения скорости</t>
  </si>
  <si>
    <t>Расстояние от начала сектора</t>
  </si>
  <si>
    <t>Длина участка</t>
  </si>
  <si>
    <t>Скорость по ПДД / указание в ДК</t>
  </si>
  <si>
    <t>К</t>
  </si>
  <si>
    <t>Средняя скорость движения</t>
  </si>
  <si>
    <t>Время на прохождение участка</t>
  </si>
  <si>
    <t>Итого:</t>
  </si>
  <si>
    <t>сек:</t>
  </si>
  <si>
    <t>Отметка</t>
  </si>
  <si>
    <t>-----&gt;</t>
  </si>
  <si>
    <t>Ярцево</t>
  </si>
  <si>
    <t>2. Какой класс?</t>
  </si>
  <si>
    <t>4. Сообщаем:</t>
  </si>
  <si>
    <t>4.1. время старта</t>
  </si>
  <si>
    <t>4.2. нужно пройти техинспекцию и получить отметку в КК (заведует Борисов)</t>
  </si>
  <si>
    <t>4.4. официальные часы тут.</t>
  </si>
  <si>
    <t>1. Иметь при себе: ручку, жилетку, синхронизированные часы, протоколы.</t>
  </si>
  <si>
    <t>КВ-0 Старт</t>
  </si>
  <si>
    <t>7. После прохода всех экипажей или окончания работы поста по времени - сдаем протоколы, часы, щиты, жилетки. Финиш - Шкода, Гагарина, 53</t>
  </si>
  <si>
    <t>Время работы: в протоколе</t>
  </si>
  <si>
    <t>Дистанция ДС, км</t>
  </si>
  <si>
    <t>Дистанция дорожного сектора, км</t>
  </si>
  <si>
    <t>Условные обозначения - "точка-стрелка"</t>
  </si>
  <si>
    <t>Условные обозначения - карты</t>
  </si>
  <si>
    <t>Каждая секунда на СЛ</t>
  </si>
  <si>
    <t>Щиты</t>
  </si>
  <si>
    <t>Дорожные знаки, таблички соответствующей формы обратной стороной</t>
  </si>
  <si>
    <t>Дорожные знаки, таблички, введенные организатором (на местности отсутствуют, к выполнению обязательны)</t>
  </si>
  <si>
    <t>Норма времени, чч:мм</t>
  </si>
  <si>
    <t>Нейтрализация, чч:мм</t>
  </si>
  <si>
    <t>Расстояние</t>
  </si>
  <si>
    <t>Норматив:</t>
  </si>
  <si>
    <t>Открытие факт</t>
  </si>
  <si>
    <t>Закрытие факт</t>
  </si>
  <si>
    <t>Примечание</t>
  </si>
  <si>
    <t>Забор / ворота / забор / шлагбаум / забор</t>
  </si>
  <si>
    <t>Прибытие</t>
  </si>
  <si>
    <t>название ралли</t>
  </si>
  <si>
    <t>Открытие план</t>
  </si>
  <si>
    <t>Закрытие план</t>
  </si>
  <si>
    <t/>
  </si>
  <si>
    <t>Суд. задержка на секторе</t>
  </si>
  <si>
    <t>Время прибытия</t>
  </si>
  <si>
    <t>Отклонение</t>
  </si>
  <si>
    <t>Результат,
сек,дес</t>
  </si>
  <si>
    <t>Пенал.   доп.</t>
  </si>
  <si>
    <t>Пенал.   ДС</t>
  </si>
  <si>
    <t>Пенал.   дор. сект</t>
  </si>
  <si>
    <t>Старт ДС</t>
  </si>
  <si>
    <t>Конусов сбито</t>
  </si>
  <si>
    <t>Время открытия постов</t>
  </si>
  <si>
    <t>Время закрытия постов</t>
  </si>
  <si>
    <t>Старт первого экипажа</t>
  </si>
  <si>
    <t>Дата</t>
  </si>
  <si>
    <t>Отклонение на РД, отставание РУ</t>
  </si>
  <si>
    <t>Стрелка ("карта со стрелками")</t>
  </si>
  <si>
    <t>Скорость на дельте</t>
  </si>
  <si>
    <t>Нейтрализация на секторе</t>
  </si>
  <si>
    <t>Время на дельте при скорости дорожного сектора</t>
  </si>
  <si>
    <t>Нейтрализация, накопление на секторе</t>
  </si>
  <si>
    <t>Расстояние внутри сектора</t>
  </si>
  <si>
    <t>Начало маршрута, номера блоков / стрелок / точек, конец маршрута</t>
  </si>
  <si>
    <t>ДП-1 Буквы</t>
  </si>
  <si>
    <t>ДС-1 РДС Красный</t>
  </si>
  <si>
    <t>Назначенное</t>
  </si>
  <si>
    <t>нейтрализация</t>
  </si>
  <si>
    <t>фактическое</t>
  </si>
  <si>
    <t>Ориентир / ориентиры в соответствующей позиции (могут быть указаны либо на изображении позиции, либо в примечании к позиции)</t>
  </si>
  <si>
    <t>Перекрестки, пересечение проезжих частей соответствующей формы
Точка - начало движения, стрелка - направление движения, серая метка - точка отсчета расстояния
Сплошная линия - дорога с асфальтовым покрытием, пунктирная линия - дорога с грунтовым покрытием или дорога через прилегающие территории</t>
  </si>
  <si>
    <t>Под мостом, путепроводом / по мосту, путепроводу</t>
  </si>
  <si>
    <t>Фальстарт</t>
  </si>
  <si>
    <t>Не базой</t>
  </si>
  <si>
    <t>Не по схеме</t>
  </si>
  <si>
    <t>Vср=40 км/ч</t>
  </si>
  <si>
    <t>1. Уточняем, на что приехали - 1) ралли; 2) Skoda Quest старт; 3) Skoda Quest финиш</t>
  </si>
  <si>
    <t>1.3. Ралли - расписываемся в ведомости ОБЯЗАТЕЛЬНО.</t>
  </si>
  <si>
    <t>Далее все по ралли:</t>
  </si>
  <si>
    <t>2.1. Лайт  - выдаем Дорожную книгу, Маршрутный лист, Контрольную карту.</t>
  </si>
  <si>
    <t>2.2. Про - выдаем Контрольную карту, Маршрутный лист и Конверт. Дорожную книгу получат у судьи старта (акцентируем внимание, чтобы сами напомнили судье).</t>
  </si>
  <si>
    <t>3. Выдаем наклейки: стартовые номера 2 шт., накапотник, наклейку Аэропорт, линейку сувенирную.</t>
  </si>
  <si>
    <t>4.3. В 9:30 брифинг.</t>
  </si>
  <si>
    <t>1.2. Skoda Quest финиш - забераем номерок, записываем на доску почета. Подарки от Skoda?</t>
  </si>
  <si>
    <t>10. В случае вопросов со стороны сотрудников полиции вежливо объяснить, что у нас проходит соревнование по спортивному ориентированию, в т.ч. для инвалидов, ретро-автомобилей и пр., причём строго по ПДД, согласованное с управлением Спорта Смоленской области, ДОСААФОМ и Федерацией автоспорта Смоленской области</t>
  </si>
  <si>
    <t>3. Автомобиль становится перед желтым щитом.</t>
  </si>
  <si>
    <t>4. Если ПРО - выдаем ДК.</t>
  </si>
  <si>
    <t>7. После окончания стартовой процедуры пишем в Viber количество стартовавших.</t>
  </si>
  <si>
    <t>6. Отправляем фото протокола в группу Viber.</t>
  </si>
  <si>
    <t>9. В случае вопросов со стороны сотрудников полиции вежливо объяснить, что у нас проходит соревнование по спортивному ориентированию, в т.ч. для инвалидов, ретро-автомобилей и пр., причём строго по ПДД, согласованное с управлением Спорта Смоленской области, ДОСААФОМ и Федерацией автоспорта Смоленской области</t>
  </si>
  <si>
    <t>5. Считаем 15---10---5-4-3-2-1 (от 5 до 1 - пальцами)</t>
  </si>
  <si>
    <t>11. Прочее:-</t>
  </si>
  <si>
    <t>9. На все вопросы участников - “не знаю” (кроме “сколько времени”).</t>
  </si>
  <si>
    <t>6. По заполнению примерно 10 строк протокола отправляем фото в группу Viber.</t>
  </si>
  <si>
    <r>
      <t xml:space="preserve">5. Если экипаж остановился возле нас - показываем чтобы ехал дальше, остановка </t>
    </r>
    <r>
      <rPr>
        <b/>
        <sz val="11"/>
        <color theme="1"/>
        <rFont val="Calibri"/>
        <family val="2"/>
        <charset val="204"/>
        <scheme val="minor"/>
      </rPr>
      <t>НЕБЕЗОПАСНА</t>
    </r>
    <r>
      <rPr>
        <sz val="11"/>
        <color theme="1"/>
        <rFont val="Calibri"/>
        <family val="2"/>
        <charset val="204"/>
        <scheme val="minor"/>
      </rPr>
      <t>.</t>
    </r>
  </si>
  <si>
    <t>8. По возможности фиксируем нарушения ПДД (ремни, свет).</t>
  </si>
  <si>
    <t>7. На все вопросы участников - “не знаю” (кроме “сколько времени”).</t>
  </si>
  <si>
    <t>КВ-1-2-3-4</t>
  </si>
  <si>
    <r>
      <t xml:space="preserve">5. Отметка времени с точностью до минуты </t>
    </r>
    <r>
      <rPr>
        <b/>
        <sz val="11"/>
        <color theme="1"/>
        <rFont val="Calibri"/>
        <family val="2"/>
        <charset val="204"/>
        <scheme val="minor"/>
      </rPr>
      <t xml:space="preserve">(секунды отбрасываем) </t>
    </r>
    <r>
      <rPr>
        <sz val="11"/>
        <color theme="1"/>
        <rFont val="Calibri"/>
        <family val="2"/>
        <charset val="204"/>
        <scheme val="minor"/>
      </rPr>
      <t>- по пересечению желтого щита.</t>
    </r>
  </si>
  <si>
    <r>
      <t xml:space="preserve">3. </t>
    </r>
    <r>
      <rPr>
        <b/>
        <sz val="11"/>
        <color theme="1"/>
        <rFont val="Calibri"/>
        <family val="2"/>
        <charset val="204"/>
        <scheme val="minor"/>
      </rPr>
      <t xml:space="preserve">Только если штурман сам просит </t>
    </r>
    <r>
      <rPr>
        <sz val="11"/>
        <color theme="1"/>
        <rFont val="Calibri"/>
        <family val="2"/>
        <charset val="204"/>
        <scheme val="minor"/>
      </rPr>
      <t xml:space="preserve">отметить время прибытия (до минуты, секунды отбрасываем) - отмечаем в протоколе и в КК в графе </t>
    </r>
    <r>
      <rPr>
        <b/>
        <sz val="11"/>
        <color theme="1"/>
        <rFont val="Calibri"/>
        <family val="2"/>
        <charset val="204"/>
        <scheme val="minor"/>
      </rPr>
      <t>ПРИБЫТИЕ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</si>
  <si>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4. Назначаем экипажу время старта на ДС (в целую минуту, +0,5 или 1,5 минуты от прибытия) и записываем это время в </t>
    </r>
    <r>
      <rPr>
        <b/>
        <sz val="11"/>
        <color theme="1"/>
        <rFont val="Calibri"/>
        <family val="2"/>
        <charset val="204"/>
        <scheme val="minor"/>
      </rPr>
      <t xml:space="preserve">ПРОТОКОЛ </t>
    </r>
    <r>
      <rPr>
        <sz val="11"/>
        <color theme="1"/>
        <rFont val="Calibri"/>
        <family val="2"/>
        <charset val="204"/>
        <scheme val="minor"/>
      </rPr>
      <t xml:space="preserve">и в графе </t>
    </r>
    <r>
      <rPr>
        <b/>
        <sz val="11"/>
        <color theme="1"/>
        <rFont val="Calibri"/>
        <family val="2"/>
        <charset val="204"/>
        <scheme val="minor"/>
      </rPr>
      <t xml:space="preserve">СТАРТ </t>
    </r>
    <r>
      <rPr>
        <sz val="11"/>
        <color theme="1"/>
        <rFont val="Calibri"/>
        <family val="2"/>
        <charset val="204"/>
        <scheme val="minor"/>
      </rPr>
      <t>в КК экипажа.</t>
    </r>
  </si>
  <si>
    <r>
      <t xml:space="preserve">3. Как только экипаж пересекает щит - </t>
    </r>
    <r>
      <rPr>
        <b/>
        <sz val="11"/>
        <color theme="1"/>
        <rFont val="Calibri"/>
        <family val="2"/>
        <charset val="204"/>
        <scheme val="minor"/>
      </rPr>
      <t xml:space="preserve">фиксируем время в протоколе до секунд </t>
    </r>
    <r>
      <rPr>
        <sz val="11"/>
        <color theme="1"/>
        <rFont val="Calibri"/>
        <family val="2"/>
        <charset val="204"/>
        <scheme val="minor"/>
      </rPr>
      <t xml:space="preserve">и записываем номер экипажа. Если номер не увидели - марку/модель/номер машины. Финиш бесконтактный - </t>
    </r>
    <r>
      <rPr>
        <b/>
        <sz val="11"/>
        <color theme="1"/>
        <rFont val="Calibri"/>
        <family val="2"/>
        <charset val="204"/>
        <scheme val="minor"/>
      </rPr>
      <t>ОТМЕТКИ В КОНТРОЛЬНОЙ КАРТЕ НЕТ, ОСТАНОВКА ЗАПРЕЩЕНА.</t>
    </r>
  </si>
  <si>
    <t>9. Skoda Quest: объясняем, что нужно пройти 2 слалома (показываем а/м Шкода), затем пусть едут по дорожной книге к следующему слалому.</t>
  </si>
  <si>
    <t>5. Вносим время в протокол и в контрольную карту.</t>
  </si>
  <si>
    <t>3. Экипажи могут отстаиваться перед желтым щитом.</t>
  </si>
  <si>
    <t>7. По возможности фиксируем нарушения ПДД (ремни, свет).</t>
  </si>
  <si>
    <t>8. На все вопросы участников - “не знаю” (кроме “сколько времени”).</t>
  </si>
  <si>
    <r>
      <t xml:space="preserve">8. </t>
    </r>
    <r>
      <rPr>
        <b/>
        <sz val="16"/>
        <color theme="1"/>
        <rFont val="Calibri"/>
        <family val="2"/>
        <charset val="204"/>
        <scheme val="minor"/>
      </rPr>
      <t xml:space="preserve">ВАЖНО </t>
    </r>
    <r>
      <rPr>
        <sz val="16"/>
        <color theme="1"/>
        <rFont val="Calibri"/>
        <family val="2"/>
        <charset val="204"/>
        <scheme val="minor"/>
      </rPr>
      <t xml:space="preserve">Сначала заполняем протокол КВ1 вход, после 2х слаломов - КВ2 выход, потом дорожный сектор (примерно 1,5 часа), затем КВ3 вход 2, КВ4 финиш </t>
    </r>
    <r>
      <rPr>
        <b/>
        <sz val="16"/>
        <color theme="1"/>
        <rFont val="Calibri"/>
        <family val="2"/>
        <charset val="204"/>
        <scheme val="minor"/>
      </rPr>
      <t>(ТУТ ОБЯЗАТЕЛЬНО ЗАБИРАЕМ КОНТРОЛЬНУЮ КАРТУ).</t>
    </r>
  </si>
  <si>
    <r>
      <t xml:space="preserve">4. Отметка времени с точностью до минуты (секунды отбрасываем) - </t>
    </r>
    <r>
      <rPr>
        <b/>
        <sz val="11"/>
        <color theme="1"/>
        <rFont val="Calibri"/>
        <family val="2"/>
        <charset val="204"/>
        <scheme val="minor"/>
      </rPr>
      <t xml:space="preserve">по пересечению желтого щита. </t>
    </r>
    <r>
      <rPr>
        <sz val="11"/>
        <color theme="1"/>
        <rFont val="Calibri"/>
        <family val="2"/>
        <charset val="204"/>
        <scheme val="minor"/>
      </rPr>
      <t>Если образовалась очередь - по подаче контрольной карты.</t>
    </r>
  </si>
  <si>
    <t>11. Прочее: на старте допа - Суховеев Михаил 8-910-782-26-66, на старте-финише допа работает Гаранин Игорь -  8-908-287-36-91, на финише допа - Филоненко Николай 8-910-788-69-82</t>
  </si>
  <si>
    <t>ЩИТЫ ДОЛЖНЫ БЫТЬ ВИДИМЫ И СТОЯТЬ</t>
  </si>
  <si>
    <t>3. Экипаж пересекает щит - делаем запись в контрольной карте.</t>
  </si>
  <si>
    <r>
      <t xml:space="preserve">4. Отдаем экипажу Бюллетень </t>
    </r>
    <r>
      <rPr>
        <b/>
        <sz val="11"/>
        <color theme="1"/>
        <rFont val="Calibri"/>
        <family val="2"/>
        <charset val="204"/>
        <scheme val="minor"/>
      </rPr>
      <t>под роспись в ведомости.</t>
    </r>
  </si>
  <si>
    <t>5. По заполнению примерно 10 строк ведомости  отправляем фото в группу Viber.</t>
  </si>
  <si>
    <t>6. После прохода всех экипажей или окончания работы поста по времени - сдаем протоколы, часы, щиты, жилетки. Финиш - Шкода, Гагарина, 53</t>
  </si>
  <si>
    <t>10. Прочее: -</t>
  </si>
  <si>
    <t>11. Прочее: на старте допа работает Курилин, на старте-финише допа работает Андронов Леонид -  8-952-993-71-44, на финише допа - Васильев Олег - 8-910-728-33-12.</t>
  </si>
  <si>
    <t>2. Выставляем 2 щита - желтый с часами и красный с часами.</t>
  </si>
  <si>
    <r>
      <t xml:space="preserve">2. К бамперу машины ставим красный щит с флаг 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</si>
  <si>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К бамперу машины ставим </t>
    </r>
    <r>
      <rPr>
        <b/>
        <sz val="11"/>
        <color theme="1"/>
        <rFont val="Calibri"/>
        <family val="2"/>
        <charset val="204"/>
        <scheme val="minor"/>
      </rPr>
      <t xml:space="preserve">2 щита в один ряд: </t>
    </r>
    <r>
      <rPr>
        <sz val="11"/>
        <color theme="1"/>
        <rFont val="Calibri"/>
        <family val="2"/>
        <charset val="204"/>
        <scheme val="minor"/>
      </rPr>
      <t xml:space="preserve">красный щит с клетчатым флагом и красный щит с флагом.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</si>
  <si>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Выставляем 4 щита - желтый с часами  красный с часами, желтый с часами  красный с часами. </t>
    </r>
    <r>
      <rPr>
        <b/>
        <sz val="11"/>
        <color theme="1"/>
        <rFont val="Calibri"/>
        <family val="2"/>
        <charset val="204"/>
        <scheme val="minor"/>
      </rPr>
      <t xml:space="preserve"> Фото в группу.</t>
    </r>
  </si>
  <si>
    <r>
      <t xml:space="preserve">2. К бамперу машины ставим красный щит с флагом.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</si>
  <si>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К бамперу машины ставим красный щит с клетчатым флагом.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</si>
  <si>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2. К бамперу машины ставим красный щит со штампом. </t>
    </r>
    <r>
      <rPr>
        <b/>
        <sz val="11"/>
        <color theme="1"/>
        <rFont val="Calibri"/>
        <family val="2"/>
        <charset val="204"/>
        <scheme val="minor"/>
      </rPr>
      <t>Фото в группу.</t>
    </r>
  </si>
  <si>
    <r>
      <t xml:space="preserve">4. Если экипаж остановился или развернулся </t>
    </r>
    <r>
      <rPr>
        <b/>
        <sz val="11"/>
        <color theme="1"/>
        <rFont val="Calibri"/>
        <family val="2"/>
        <charset val="204"/>
        <scheme val="minor"/>
      </rPr>
      <t xml:space="preserve">(медленное движение не является остановкой) </t>
    </r>
    <r>
      <rPr>
        <sz val="11"/>
        <color theme="1"/>
        <rFont val="Calibri"/>
        <family val="2"/>
        <charset val="204"/>
        <scheme val="minor"/>
      </rPr>
      <t>перед судьей - фиксируем время остановки/номер.</t>
    </r>
  </si>
  <si>
    <t>Секретариат - подтверждение заявок на ралли до 9:30, Skoda Quest с 11:15 до 15</t>
  </si>
  <si>
    <t>1.1. Skoda Quest старт - регистрация с 11:15 до 15, выдаем ДК, номерок, если есть время - кратко объясняем в чем суть</t>
  </si>
  <si>
    <t>Москва</t>
  </si>
  <si>
    <t>Гайлит Сергей</t>
  </si>
  <si>
    <t>8-909-259-48-25</t>
  </si>
  <si>
    <t>Ивахненко Алексей</t>
  </si>
  <si>
    <t>А634ЕН67</t>
  </si>
  <si>
    <t>8-908-280-45-40</t>
  </si>
  <si>
    <t>чч:мм</t>
  </si>
  <si>
    <t>Назнач.</t>
  </si>
  <si>
    <t>Факт.</t>
  </si>
  <si>
    <t>чч:мм:сс</t>
  </si>
  <si>
    <t>Результат</t>
  </si>
  <si>
    <t>сс,дес</t>
  </si>
  <si>
    <t>шт.</t>
  </si>
  <si>
    <t>да/пусто</t>
  </si>
  <si>
    <t>ШАБЛОН КВ</t>
  </si>
  <si>
    <t>ШАБЛОН ДС</t>
  </si>
  <si>
    <t>ШАБЛОН ДС СЛ</t>
  </si>
  <si>
    <t>В ДК: удалить отметки расстояния, где нет дельты или абс.</t>
  </si>
  <si>
    <t>Суд. Задержка накоп.</t>
  </si>
  <si>
    <t>Число экипажей (для расчета постов)</t>
  </si>
  <si>
    <t>ДС на секторе:</t>
  </si>
  <si>
    <t>Сектор:</t>
  </si>
  <si>
    <t>пр</t>
  </si>
  <si>
    <t>сл1 - слепое общее расстояние</t>
  </si>
  <si>
    <t>сл2 - слепая дельта</t>
  </si>
  <si>
    <t>скр - скрытая строка, номера не имеет</t>
  </si>
  <si>
    <t>Страница</t>
  </si>
  <si>
    <t>служебный столбец</t>
  </si>
  <si>
    <t>ХД / ! / !!</t>
  </si>
  <si>
    <t>Плохая дорога / Внимание / Опасно!</t>
  </si>
  <si>
    <t>Проверить: после РД/РУ успеют на КВ (возможно, ввести отсутствующее КВ)</t>
  </si>
  <si>
    <t>1) задает нумерацию позиций</t>
  </si>
  <si>
    <t>2) проставляет формулы с дельтой</t>
  </si>
  <si>
    <t>3) задает нормативы РД, РУ, РДС</t>
  </si>
  <si>
    <t>Нейтрализация (входит в норму времени), чч:мм</t>
  </si>
  <si>
    <t>4) заносит ДС в шапку легенды</t>
  </si>
  <si>
    <t>пр - пропуск строки (например, для карт, РК), номера не имеет</t>
  </si>
  <si>
    <t>ДСФ-1</t>
  </si>
  <si>
    <t>Для служебного столбца (через запятую, можно в двух строках):</t>
  </si>
  <si>
    <t>сл1, сл2</t>
  </si>
  <si>
    <t>Нейтрализация-1=0:10</t>
  </si>
  <si>
    <t>ТИ-0 Перед стартом</t>
  </si>
  <si>
    <t>КВ-1 Аэропорт=1:00</t>
  </si>
  <si>
    <t>ДС-2 РУ Скользко=0:10:15</t>
  </si>
  <si>
    <t>ВКВ-2 Холм</t>
  </si>
  <si>
    <t>ВКП-1 Секретный</t>
  </si>
  <si>
    <t>Общее:</t>
  </si>
  <si>
    <t>ПДД=60 - указание скорости по ПДД</t>
  </si>
  <si>
    <t>Нарушение порядка прохождения судейских пунктов</t>
  </si>
  <si>
    <t>Итого по ралли:</t>
  </si>
  <si>
    <t xml:space="preserve">Подпись </t>
  </si>
  <si>
    <t xml:space="preserve">Контактный телефон </t>
  </si>
  <si>
    <t xml:space="preserve">Город </t>
  </si>
  <si>
    <t>Город/Город</t>
  </si>
  <si>
    <t>____________________</t>
  </si>
  <si>
    <t>номер лицензии</t>
  </si>
  <si>
    <t>ФИО</t>
  </si>
  <si>
    <t>Спортивный комиссар</t>
  </si>
  <si>
    <t>Главный судья</t>
  </si>
  <si>
    <t>Главный секретарь</t>
  </si>
  <si>
    <t>Вся привязка к стартовой ведомости и протоколам - по столбцу $A (№)</t>
  </si>
  <si>
    <t>Зачет (Лайт/Про)</t>
  </si>
  <si>
    <t>Зачет</t>
  </si>
  <si>
    <t>Зачетная группа</t>
  </si>
  <si>
    <t>Зачетная группа PRO</t>
  </si>
  <si>
    <t>Зачетная группа LIGHT</t>
  </si>
  <si>
    <t>РД - округление до знака</t>
  </si>
  <si>
    <t>V=60 Середнево - прямое указание скорости</t>
  </si>
  <si>
    <t>V=%60 - указание в % от ПДД</t>
  </si>
  <si>
    <t>V=-10, V=+10, V=+0 - указание +/- от ПДД</t>
  </si>
  <si>
    <t>формируется автоматически на основе "заявок"</t>
  </si>
  <si>
    <t>Судейские пункты ВКВ и ВКП</t>
  </si>
  <si>
    <t>час</t>
  </si>
  <si>
    <t>мин</t>
  </si>
  <si>
    <t>сек</t>
  </si>
  <si>
    <t>Буквы</t>
  </si>
  <si>
    <t>отфильтровать лишние строки</t>
  </si>
  <si>
    <t>формируется автоматически на основе "общее"</t>
  </si>
  <si>
    <t>номер экипажа</t>
  </si>
  <si>
    <t>дес</t>
  </si>
  <si>
    <t>:</t>
  </si>
  <si>
    <t>,</t>
  </si>
  <si>
    <t>схема</t>
  </si>
  <si>
    <t>база</t>
  </si>
  <si>
    <t>сбито</t>
  </si>
  <si>
    <t>судейский пункт</t>
  </si>
  <si>
    <t>Стартовало:</t>
  </si>
  <si>
    <t>Финишировало:</t>
  </si>
  <si>
    <t>&lt;--DNF</t>
  </si>
  <si>
    <t>&lt;--заявлено</t>
  </si>
  <si>
    <t>DNS--&gt;</t>
  </si>
  <si>
    <t>5) формирует супер МЛ ниже</t>
  </si>
  <si>
    <t>Пенализация, итого</t>
  </si>
  <si>
    <t>Место итог.</t>
  </si>
  <si>
    <t>DNF--&gt;</t>
  </si>
  <si>
    <t>DNS сюда не включаем</t>
  </si>
  <si>
    <t>&lt;--стартовало</t>
  </si>
  <si>
    <t>зачет Лайт/Про</t>
  </si>
  <si>
    <t>сл1</t>
  </si>
  <si>
    <t>Финиш ДС</t>
  </si>
  <si>
    <t>КВ-2</t>
  </si>
  <si>
    <t>Знаки контроля</t>
  </si>
  <si>
    <t>Контроль времени (КВ)</t>
  </si>
  <si>
    <t>за 10-25 м</t>
  </si>
  <si>
    <t>25 м</t>
  </si>
  <si>
    <t>Тип пункта</t>
  </si>
  <si>
    <t>Начало зоны</t>
  </si>
  <si>
    <t>Пункт</t>
  </si>
  <si>
    <t>Конец зоны</t>
  </si>
  <si>
    <t>Внезапный контроль времени (ВКВ)</t>
  </si>
  <si>
    <t>Контроль прохождения (КП)</t>
  </si>
  <si>
    <t>30-400 м от финиша</t>
  </si>
  <si>
    <t>проезд без остановки</t>
  </si>
  <si>
    <t>Внезапный контроль прохождения (ВКП)</t>
  </si>
  <si>
    <t>Финиш-старт ДС РДС</t>
  </si>
  <si>
    <t>Место отметки после финиша ДС</t>
  </si>
  <si>
    <t>Старт дополнительного соревнования (ДС)</t>
  </si>
  <si>
    <t>КВ, совмещенный со стартом ДС</t>
  </si>
  <si>
    <t>Соответствующие дорожные знаки, таблички, объекты</t>
  </si>
  <si>
    <r>
      <t xml:space="preserve">Соответствующие дорожные знаки, таблички, объекты, расположенные на </t>
    </r>
    <r>
      <rPr>
        <b/>
        <u/>
        <sz val="10"/>
        <color theme="1"/>
        <rFont val="Calibri"/>
        <family val="2"/>
        <charset val="204"/>
        <scheme val="minor"/>
      </rPr>
      <t>одном</t>
    </r>
    <r>
      <rPr>
        <sz val="10"/>
        <color theme="1"/>
        <rFont val="Calibri"/>
        <family val="2"/>
        <charset val="204"/>
        <scheme val="minor"/>
      </rPr>
      <t xml:space="preserve"> столбе/подвесе/мачте</t>
    </r>
  </si>
  <si>
    <t>Vср=70 км/ч</t>
  </si>
  <si>
    <t>через ворота</t>
  </si>
  <si>
    <t>скр, ДСФ-3</t>
  </si>
  <si>
    <t>ДСФ-3</t>
  </si>
  <si>
    <t>от точки F на карте</t>
  </si>
  <si>
    <t>скр, v=65 указание на карте</t>
  </si>
  <si>
    <t>скр, ПДД=60 Пригорское</t>
  </si>
  <si>
    <t>скр, ПДД=60 Нагать</t>
  </si>
  <si>
    <t>скр, ПДД=90 Нагать оконч</t>
  </si>
  <si>
    <t>скр, ПДД=60 Талашкино</t>
  </si>
  <si>
    <t>скр, ПДД=90 Талашкино оконч</t>
  </si>
  <si>
    <t>скр, ПДД=60 Гринево</t>
  </si>
  <si>
    <t>скр, ПДД=90 Гринево оконч</t>
  </si>
  <si>
    <t>Vср=20 км/ч</t>
  </si>
  <si>
    <t>сл1, сл2, v=20</t>
  </si>
  <si>
    <t>Vср=ПДД-15 км/ч</t>
  </si>
  <si>
    <t>Элементов не сбито</t>
  </si>
  <si>
    <t>скр, ДП-1</t>
  </si>
  <si>
    <t xml:space="preserve">ДП-1 </t>
  </si>
  <si>
    <t>на Киевское шоссе
в сторону Смоленска</t>
  </si>
  <si>
    <t>скр, ПДД=60 Кощино</t>
  </si>
  <si>
    <t>напротив знака</t>
  </si>
  <si>
    <t>часы ж</t>
  </si>
  <si>
    <t>часы к</t>
  </si>
  <si>
    <t>флаг ж</t>
  </si>
  <si>
    <t>флаг к</t>
  </si>
  <si>
    <t>кл. ф</t>
  </si>
  <si>
    <t>НЕ БОЛЕЕ 600 на РДС</t>
  </si>
  <si>
    <t>ШАБЛОН ДС КСЛ</t>
  </si>
  <si>
    <t>Финиш в пределах
стоп-линии</t>
  </si>
  <si>
    <t>ДС-3 РДС Загородный, v=40</t>
  </si>
  <si>
    <t>Vср=30 км/ч</t>
  </si>
  <si>
    <t>v=30</t>
  </si>
  <si>
    <t>КВ-3 Финиш=2:00</t>
  </si>
  <si>
    <t>знак за деревьями</t>
  </si>
  <si>
    <t>перед светофором</t>
  </si>
  <si>
    <t>поворот на прилегающую
территорию</t>
  </si>
  <si>
    <t>ПДД=90, v=70</t>
  </si>
  <si>
    <t>сл2, v=-15</t>
  </si>
  <si>
    <t>ПДД=90 Пригорское оконч, v=-15</t>
  </si>
  <si>
    <t>сл1, сл2, ПДД=90 Пригорское оконч</t>
  </si>
  <si>
    <t>сл2, ПДД=90 Кощино оконч, v=-15</t>
  </si>
  <si>
    <t>ПДД=90 Талашкино оконч</t>
  </si>
  <si>
    <r>
      <rPr>
        <b/>
        <sz val="18"/>
        <color rgb="FF000000"/>
        <rFont val="Calibri"/>
        <family val="2"/>
        <charset val="204"/>
        <scheme val="minor"/>
      </rPr>
      <t>Поздравляем с финишем!</t>
    </r>
    <r>
      <rPr>
        <sz val="18"/>
        <color rgb="FF000000"/>
        <rFont val="Calibri"/>
        <family val="2"/>
        <charset val="204"/>
        <scheme val="minor"/>
      </rPr>
      <t xml:space="preserve">
Сдайте контрольную карту судье финиша, ожидайте результатов, после финиша последнего экипажа - концерт группы ИЦММ!</t>
    </r>
  </si>
  <si>
    <t>скр</t>
  </si>
  <si>
    <t>далее- карта от точки S</t>
  </si>
  <si>
    <t>Тарировочный участок</t>
  </si>
  <si>
    <t>на ул. Соболева</t>
  </si>
  <si>
    <t>сектор без ВКВ</t>
  </si>
  <si>
    <t>разрешен
ранний финиш
в пределах льготы</t>
  </si>
  <si>
    <t>развернитесь
на круговом движении</t>
  </si>
  <si>
    <t>Предел опоздания на КВ</t>
  </si>
  <si>
    <t>Предел опоздания на РД</t>
  </si>
  <si>
    <t>Финиш план</t>
  </si>
  <si>
    <t>Финиш отметка</t>
  </si>
  <si>
    <t>Ориентир примерно за 100 м до перекрестка</t>
  </si>
  <si>
    <t>сл1, ДС-2 КСЛ Дави!</t>
  </si>
  <si>
    <t>Старт-финиш план</t>
  </si>
  <si>
    <t>Старт-финиш проход</t>
  </si>
  <si>
    <t>Не стоп-линия</t>
  </si>
  <si>
    <t>Москвич 2140</t>
  </si>
  <si>
    <t>Opel Corsa</t>
  </si>
  <si>
    <t>Дубасова Анжелика</t>
  </si>
  <si>
    <t>+375 29 915 60 10</t>
  </si>
  <si>
    <t>Минск</t>
  </si>
  <si>
    <t>Моисеева Ирина</t>
  </si>
  <si>
    <t>+375 29 622 02 96</t>
  </si>
  <si>
    <t>Доценко Ярослав</t>
  </si>
  <si>
    <t>1-й пилот</t>
  </si>
  <si>
    <t>2-й пилот</t>
  </si>
  <si>
    <t>Своей подписью участники (1-й пилот и 2-й пилот)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</si>
  <si>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1-й пилот ФИО</t>
  </si>
  <si>
    <t>2-й пилот ФИО</t>
  </si>
  <si>
    <t>Пилот 1</t>
  </si>
  <si>
    <t>Пилот 2</t>
  </si>
  <si>
    <t>Пропуск старта/финиша ДС</t>
  </si>
  <si>
    <t>Пропуск СФ РДС</t>
  </si>
  <si>
    <t>Vср=45 км/ч</t>
  </si>
  <si>
    <t>сл1, сл2, v=45</t>
  </si>
  <si>
    <t>скр, v=60 указание на карте</t>
  </si>
  <si>
    <t>Pro</t>
  </si>
  <si>
    <t>Light</t>
  </si>
  <si>
    <t>Иванов Кирилл</t>
  </si>
  <si>
    <t>к212во50</t>
  </si>
  <si>
    <t>Новиков Максим</t>
  </si>
  <si>
    <t>Грушина Екатерина</t>
  </si>
  <si>
    <t>подпись</t>
  </si>
  <si>
    <t>Старший судья</t>
  </si>
  <si>
    <t>Телефон</t>
  </si>
  <si>
    <t>ШАБЛОН ТИ</t>
  </si>
  <si>
    <t>СФ-1 1 (цифра - номер сф)</t>
  </si>
  <si>
    <t>скр, СФ-3 2</t>
  </si>
  <si>
    <t>скр, СФ-3 1</t>
  </si>
  <si>
    <t>СФ-3 1</t>
  </si>
  <si>
    <t>Сверка часов</t>
  </si>
  <si>
    <t>Открыващий (подпись)</t>
  </si>
  <si>
    <t>Закрывающий (подпись)</t>
  </si>
  <si>
    <t>Страница ___ из ___</t>
  </si>
  <si>
    <t>Финиш</t>
  </si>
  <si>
    <t>ШАБЛОН ДСФ</t>
  </si>
  <si>
    <t>ШАБЛОН КВ-0</t>
  </si>
  <si>
    <t>1c</t>
  </si>
  <si>
    <t>ШАБЛОН ДОП</t>
  </si>
  <si>
    <t>null</t>
  </si>
  <si>
    <t>2c</t>
  </si>
  <si>
    <t>1cs</t>
  </si>
  <si>
    <t>2c0</t>
  </si>
  <si>
    <t>Пенализация</t>
  </si>
  <si>
    <t>Открыващий</t>
  </si>
  <si>
    <t>Закрывающий</t>
  </si>
  <si>
    <t>ВРЕМЯ ЗАКРЫТИЯ:           СВЕРКА ЧАСОВ:           ПОДПИСЬ ЗАКРЫВАЮЩЕГО:</t>
  </si>
  <si>
    <t>ИМЯ, ФАМИЛИЯ:                                     ПОДПИСЬ:                ТЕЛЕФОН:</t>
  </si>
  <si>
    <t>СТАРШИЙ СУДЬЯ ПУНКТА КОНТРОЛЯ:</t>
  </si>
  <si>
    <t>ВРЕМЯ ОТКРЫТИЯ:           СВЕРКА ЧАСОВ:           ПОДПИСЬ ОТКРЫВАЮЩЕГО:</t>
  </si>
  <si>
    <t>Председатель КСК</t>
  </si>
  <si>
    <t>КВ1</t>
  </si>
  <si>
    <t>КВ2</t>
  </si>
  <si>
    <t>КВ</t>
  </si>
  <si>
    <t>первая строка</t>
  </si>
  <si>
    <t>всего строк</t>
  </si>
  <si>
    <t>ДП</t>
  </si>
  <si>
    <t>КВ-0</t>
  </si>
  <si>
    <t>ВКВ</t>
  </si>
  <si>
    <t>ВКП</t>
  </si>
  <si>
    <t>ДС</t>
  </si>
  <si>
    <t>ДСФ</t>
  </si>
  <si>
    <t>СЛ</t>
  </si>
  <si>
    <t>КСЛ</t>
  </si>
  <si>
    <t>КВ финиш</t>
  </si>
  <si>
    <t>КВ3</t>
  </si>
  <si>
    <t>КВ старт</t>
  </si>
  <si>
    <t>ДС1</t>
  </si>
  <si>
    <t>ДС3</t>
  </si>
  <si>
    <t>СФ3_1</t>
  </si>
  <si>
    <t>ДСФ3</t>
  </si>
  <si>
    <t>СФ</t>
  </si>
  <si>
    <t>ДС2</t>
  </si>
  <si>
    <t>ДП1</t>
  </si>
  <si>
    <t>ВКП2</t>
  </si>
  <si>
    <t>ВКВ1</t>
  </si>
  <si>
    <t>&lt;--сектор</t>
  </si>
  <si>
    <t>&lt;--первы столбец сектора</t>
  </si>
  <si>
    <t>пешка к</t>
  </si>
  <si>
    <t>СТОП</t>
  </si>
  <si>
    <t>пенализации</t>
  </si>
  <si>
    <t>служебное</t>
  </si>
  <si>
    <t>РДС старт</t>
  </si>
  <si>
    <t>РДСФ</t>
  </si>
  <si>
    <t>B10:H69</t>
  </si>
  <si>
    <t>Стартовая ведомость</t>
  </si>
  <si>
    <t>желтый цвет - нужно менять значение</t>
  </si>
  <si>
    <t>зеленый - комментарий</t>
  </si>
  <si>
    <t>Ралли "Skoda - 2019"</t>
  </si>
  <si>
    <t>Skoda - 2019</t>
  </si>
  <si>
    <t>21 декабря 2019 г.</t>
  </si>
  <si>
    <t>А. Курилин</t>
  </si>
  <si>
    <t>М. Хасанова</t>
  </si>
  <si>
    <t>A19-168 ВК</t>
  </si>
  <si>
    <t>А. Грушин</t>
  </si>
  <si>
    <t>В19-1032 1К</t>
  </si>
  <si>
    <t>В19-0000 1К</t>
  </si>
  <si>
    <t>официальные лица</t>
  </si>
  <si>
    <t>2) Строки начинаются с 10-й</t>
  </si>
  <si>
    <t>3) Если в VBA указан тип легенды "2", то команды в служебном столбце действуют на пары строк</t>
  </si>
  <si>
    <t>Дистанция</t>
  </si>
  <si>
    <t>Длина сектора:</t>
  </si>
  <si>
    <t>Норма времени:</t>
  </si>
  <si>
    <t>Средняя скорость:</t>
  </si>
  <si>
    <t xml:space="preserve">
на Крестовоздвиженский
мост</t>
  </si>
  <si>
    <t xml:space="preserve">
на ул. Беляева</t>
  </si>
  <si>
    <t xml:space="preserve">
на ул. Ново-Московская</t>
  </si>
  <si>
    <t>Светофор с соответсвующим количеством и расположением секций</t>
  </si>
  <si>
    <t>Смоленская область</t>
  </si>
  <si>
    <t>Длина участка:</t>
  </si>
  <si>
    <t>Начало тарировочного участка
54.795871, 32.064111
N 54 47.752, E 32 03.847
ул. Ново-Московская,
автобусная остановка напротив дома 17 (на другой стороне дороги)</t>
  </si>
  <si>
    <t>Конец тарировочного участка
54.795871, 32.064111
N 54 47.752, E 32 03.847
ул. Ново-Московская,
автобусная остановка напротив дома 17 (на другой стороне дороги)</t>
  </si>
  <si>
    <t>#='сектор 2'!A10 - адрес номера предыдущей позиции</t>
  </si>
  <si>
    <t>скр, ПДД=60 Печерск</t>
  </si>
  <si>
    <t>Vср=ПДД</t>
  </si>
  <si>
    <t>сл2</t>
  </si>
  <si>
    <t>КВ-3</t>
  </si>
  <si>
    <t>На парковку</t>
  </si>
  <si>
    <t>сл1, сл2, v=-5</t>
  </si>
  <si>
    <t>Vср=ПДД - 5 км/ч</t>
  </si>
  <si>
    <t>скр, ПДД=60 Курдымово</t>
  </si>
  <si>
    <t>скр, ПДД=90 Курдымово оконч.</t>
  </si>
  <si>
    <t>скр, ПДД=60 Попово</t>
  </si>
  <si>
    <t>скр, ПДД=60 Кардымово</t>
  </si>
  <si>
    <t>скр, ПДД=90 Кардымово оконч.</t>
  </si>
  <si>
    <t>скр, ДСФ-2</t>
  </si>
  <si>
    <t>ДС-1 СЛ Аэропорт</t>
  </si>
  <si>
    <t>ПДД=60 км/ч, Курдымово</t>
  </si>
  <si>
    <t>ПДД=90 км/ч, Курдымово оконч.</t>
  </si>
  <si>
    <t>ПДД=60 км/ч, Попово</t>
  </si>
  <si>
    <t>ПДД=60 км/ч, Кардымово</t>
  </si>
  <si>
    <t>ПДД=90 км/ч, Кардымово оконч.</t>
  </si>
  <si>
    <t>ДСФ-2</t>
  </si>
  <si>
    <t>СФ-2 1</t>
  </si>
  <si>
    <t>С/Ф</t>
  </si>
  <si>
    <t>ХД ~3,5 км</t>
  </si>
  <si>
    <t>В Автоколонну-1308</t>
  </si>
  <si>
    <t>скр, ПДД=40 Знак "40"</t>
  </si>
  <si>
    <t>скр, ПДД=20 Знак "20"</t>
  </si>
  <si>
    <t>скр, ПДД=60 Перекресток</t>
  </si>
  <si>
    <t>поворот на Варваровщину</t>
  </si>
  <si>
    <t>ПДД=40 км/ч, Знак "40"</t>
  </si>
  <si>
    <t>ПДД=20 км/ч, Знак "20"</t>
  </si>
  <si>
    <t>ПДД=60 км/ч, Перекресток</t>
  </si>
  <si>
    <t>скр, СФ-2 1</t>
  </si>
  <si>
    <t>через 370 м после родника, на горке</t>
  </si>
  <si>
    <t>скр, ПДД=70 Знак "70"</t>
  </si>
  <si>
    <t xml:space="preserve">
Vср=ПДД</t>
  </si>
  <si>
    <t>Vср=80% ПДД</t>
  </si>
  <si>
    <t>сл1, v=%80</t>
  </si>
  <si>
    <t>скр, ПДД=60 Отмена 20</t>
  </si>
  <si>
    <t>скр, ПДД=50 Знак "50"</t>
  </si>
  <si>
    <t>скр, ПДД=60 Отмена 50</t>
  </si>
  <si>
    <t>скр, ПДД=90 Печерск оконч.</t>
  </si>
  <si>
    <t>скр, ПДД=60 Быльники</t>
  </si>
  <si>
    <t>скр, ПДД=90 Быльники оконч.</t>
  </si>
  <si>
    <t>ДС-3 РДС Быльники</t>
  </si>
  <si>
    <t>ПДД=70 км/ч, Знак "70"</t>
  </si>
  <si>
    <t>ПДД=60 км/ч, Отмена 20</t>
  </si>
  <si>
    <t>ПДД=50 км/ч, Знак "50"</t>
  </si>
  <si>
    <t>ПДД=90 км/ч, Печерск оконч.</t>
  </si>
  <si>
    <t>ПДД=60 км/ч, Быльники</t>
  </si>
  <si>
    <t>ПДД=60 км/ч, Отмена 50</t>
  </si>
  <si>
    <t>ПДД=90 км/ч, Быльники оконч.</t>
  </si>
  <si>
    <t xml:space="preserve">
Ориентир примерно за 100 м до перекрестка</t>
  </si>
  <si>
    <t xml:space="preserve">Поворот на М1
</t>
  </si>
  <si>
    <t>Судейские пункты типа ВКВ не применяются на данном соревновании</t>
  </si>
  <si>
    <t>ДС-4 СЛ Автобусный парк</t>
  </si>
  <si>
    <t>на ул. Памфилова</t>
  </si>
  <si>
    <t>на ул. Шевченко</t>
  </si>
  <si>
    <t>на М1</t>
  </si>
  <si>
    <t>на ул. Тенишевой</t>
  </si>
  <si>
    <t>на ул. Твардовского</t>
  </si>
  <si>
    <t>на ул. Энгельса</t>
  </si>
  <si>
    <t>время 13:34</t>
  </si>
  <si>
    <t>время 13:44</t>
  </si>
  <si>
    <t>Vср=60 км/ч</t>
  </si>
  <si>
    <t>скр, ПДД=60 Сапочево</t>
  </si>
  <si>
    <t>скр, ПДД=90 Сапочево оконч.</t>
  </si>
  <si>
    <t>время 14:09</t>
  </si>
  <si>
    <t>время 14:29</t>
  </si>
  <si>
    <t>время 15:22</t>
  </si>
  <si>
    <t>возле знаков пешеходнвый переход</t>
  </si>
  <si>
    <t>время 15:43</t>
  </si>
  <si>
    <t>время 15:45</t>
  </si>
  <si>
    <t>домик с вывеской ООО Азимут, напротив Быльники 29А</t>
  </si>
  <si>
    <t>возле зеленого забора</t>
  </si>
  <si>
    <t>сл1, сл2, v=%60</t>
  </si>
  <si>
    <t>Vср=60% ПДД</t>
  </si>
  <si>
    <t>время 15:57</t>
  </si>
  <si>
    <t>время 16:27</t>
  </si>
  <si>
    <t>ВРЕМЯ??????</t>
  </si>
  <si>
    <t>время 16:28</t>
  </si>
  <si>
    <t>время 16:39</t>
  </si>
  <si>
    <t>старт 16:41</t>
  </si>
  <si>
    <t>время 17:11</t>
  </si>
  <si>
    <t>ПДД=60 км/ч, Сапочево</t>
  </si>
  <si>
    <t>ПДД=90 км/ч, Сапочево оконч.</t>
  </si>
  <si>
    <t>8-910-787-77-73</t>
  </si>
  <si>
    <t>часы ж, часы к</t>
  </si>
  <si>
    <t>8-920-321-34-56</t>
  </si>
  <si>
    <t>флаг ж, флаг к, кл. ф, стоп</t>
  </si>
  <si>
    <t>флаг к, кл. ф</t>
  </si>
  <si>
    <t>Андронов</t>
  </si>
  <si>
    <t>Сидорова</t>
  </si>
  <si>
    <t>Васильев</t>
  </si>
  <si>
    <t>8-910-789-74-93</t>
  </si>
  <si>
    <t xml:space="preserve">8-930-301-17-82 </t>
  </si>
  <si>
    <t>финиш отметка</t>
  </si>
  <si>
    <t>КВ-2 Духовщина Вход=1:10</t>
  </si>
  <si>
    <t>КВ-4, ДС-3 РДС Быльники, ПДД=90, v=70</t>
  </si>
  <si>
    <t>Через 1500 м камера контроля скорости</t>
  </si>
  <si>
    <t xml:space="preserve">
Выполните разворот,
через 700 м - камера контроля скорости 40 км/ч</t>
  </si>
  <si>
    <t>КВ-5 Автобусный парк=0:45</t>
  </si>
  <si>
    <t>КВ-6 Центр=1:00</t>
  </si>
  <si>
    <t>Сброс одометра</t>
  </si>
  <si>
    <t>пр, КВ-6</t>
  </si>
  <si>
    <t>КВ-1 Окружная</t>
  </si>
  <si>
    <t>КВ-2 Духовщина Вход</t>
  </si>
  <si>
    <t>КВ-3 Духовщина Выход</t>
  </si>
  <si>
    <t>КВ-5 Автобусный парк</t>
  </si>
  <si>
    <t>КВ-6 Центр</t>
  </si>
  <si>
    <t>КВ-7 Финиш</t>
  </si>
  <si>
    <t>Volga Siber</t>
  </si>
  <si>
    <t>с958ок799</t>
  </si>
  <si>
    <t>Гудков Никита</t>
  </si>
  <si>
    <t>Гусева Александра</t>
  </si>
  <si>
    <t>Light, Кубок</t>
  </si>
  <si>
    <t>4759 РМ-7</t>
  </si>
  <si>
    <t>Renault Symbol</t>
  </si>
  <si>
    <t>Т703РК190</t>
  </si>
  <si>
    <t>Карамелли Кристиан</t>
  </si>
  <si>
    <t>Мельникова Яна</t>
  </si>
  <si>
    <t>Renault Duster</t>
  </si>
  <si>
    <t>А278ВМ67</t>
  </si>
  <si>
    <t>Шавырин Андрей</t>
  </si>
  <si>
    <t>Сафоново</t>
  </si>
  <si>
    <t>Шавырин Егор</t>
  </si>
  <si>
    <t>Р027МТ67</t>
  </si>
  <si>
    <t>MAZDA6</t>
  </si>
  <si>
    <t>М 967ММ 67</t>
  </si>
  <si>
    <t>Skoda Kodiaq</t>
  </si>
  <si>
    <t>М487АА66</t>
  </si>
  <si>
    <t>Жукова Елена</t>
  </si>
  <si>
    <t>А640СК123</t>
  </si>
  <si>
    <t>Ford Fiesta</t>
  </si>
  <si>
    <t>ВАЗ 2104</t>
  </si>
  <si>
    <t>Р827НН67</t>
  </si>
  <si>
    <t>Дмитрий Шубин</t>
  </si>
  <si>
    <t>Мальцев Кирилл</t>
  </si>
  <si>
    <t>Porsche Cayenne S</t>
  </si>
  <si>
    <t>х506нх199</t>
  </si>
  <si>
    <t>Кроман Ольга</t>
  </si>
  <si>
    <t>SUZUKI JIMNY</t>
  </si>
  <si>
    <t>Т797НР177</t>
  </si>
  <si>
    <t>Opel Omega B</t>
  </si>
  <si>
    <t>а980ух150</t>
  </si>
  <si>
    <t>максимова олеся</t>
  </si>
  <si>
    <t>фролов алексей</t>
  </si>
  <si>
    <t>Hyundai Solaris</t>
  </si>
  <si>
    <t>М799нк750</t>
  </si>
  <si>
    <t>Рудаков Александр</t>
  </si>
  <si>
    <t>Рославль</t>
  </si>
  <si>
    <t>Мирошниченко Игорь</t>
  </si>
  <si>
    <t>Pro, Кубок</t>
  </si>
  <si>
    <t>Skoda Kodiag</t>
  </si>
  <si>
    <t>Toyota Yaris</t>
  </si>
  <si>
    <t>В454МР67</t>
  </si>
  <si>
    <t>Мозгунова Юлия</t>
  </si>
  <si>
    <t>Вязьма</t>
  </si>
  <si>
    <t>Пименова Наталья</t>
  </si>
  <si>
    <t>Е492МТ777</t>
  </si>
  <si>
    <t>Синявский Александр</t>
  </si>
  <si>
    <t>МОСКВА</t>
  </si>
  <si>
    <t>Попов Вадим</t>
  </si>
  <si>
    <t>ДС-2 РДС Старая Смоленская дорога</t>
  </si>
  <si>
    <t>КВ-1, ДС-2 РДС Старая Смоленская дорога, ПДД=90, v=-15</t>
  </si>
  <si>
    <t>v=-10</t>
  </si>
  <si>
    <t>Vср=ПДД - 3 км/ч</t>
  </si>
  <si>
    <t xml:space="preserve">
Vср=80% ПДД</t>
  </si>
  <si>
    <t>сл1, ПДД=90 Попово оконч., V=%80</t>
  </si>
  <si>
    <t>КВ0</t>
  </si>
  <si>
    <t>Мицубиси Паджеро</t>
  </si>
  <si>
    <t>К117НН67</t>
  </si>
  <si>
    <t>Куприянов Александр</t>
  </si>
  <si>
    <t>8 (910) 710-58-21</t>
  </si>
  <si>
    <t>Шамшина Светлана</t>
  </si>
  <si>
    <t>8 (903) 974-39-22</t>
  </si>
  <si>
    <t>DAEWOO NEXIA</t>
  </si>
  <si>
    <t>Е125ОВ199</t>
  </si>
  <si>
    <t>Шеянов Олег</t>
  </si>
  <si>
    <t>+7(909)990-95-82</t>
  </si>
  <si>
    <t>Воронцова Людмила</t>
  </si>
  <si>
    <t>+7(926)118-55-30</t>
  </si>
  <si>
    <t>КВ7</t>
  </si>
  <si>
    <t>КВ4</t>
  </si>
  <si>
    <t>КВ5</t>
  </si>
  <si>
    <t>КВ6</t>
  </si>
  <si>
    <t>Не база</t>
  </si>
  <si>
    <t>Toyota GAIA</t>
  </si>
  <si>
    <t>Е102ЕВ48</t>
  </si>
  <si>
    <t>Попов Степан</t>
  </si>
  <si>
    <t>Луковцев Прохор</t>
  </si>
  <si>
    <t>Volkswagen polo</t>
  </si>
  <si>
    <t>А351ВН67</t>
  </si>
  <si>
    <t>Романов Виктор</t>
  </si>
  <si>
    <t>8-908-285-66-88</t>
  </si>
  <si>
    <t>Романова Ксения</t>
  </si>
  <si>
    <t>8-910-720-45-64</t>
  </si>
  <si>
    <t>BMW 420i xDrive</t>
  </si>
  <si>
    <t>У578НТ750</t>
  </si>
  <si>
    <t>Мозговая Светлана</t>
  </si>
  <si>
    <t>8(916)697-4046</t>
  </si>
  <si>
    <t>Сальников Евгений</t>
  </si>
  <si>
    <t>8(926)135-5716</t>
  </si>
  <si>
    <t>СФ2_1</t>
  </si>
  <si>
    <t>ДСФ2</t>
  </si>
  <si>
    <t>ВКП1</t>
  </si>
  <si>
    <t>ДС4</t>
  </si>
  <si>
    <t>План (от старта  ДС-2)</t>
  </si>
  <si>
    <t>План (от старта  ДС-3)</t>
  </si>
  <si>
    <t>ШАБЛОН КВ-ДС</t>
  </si>
  <si>
    <t>Назнач. ст. ДС</t>
  </si>
  <si>
    <t>пр, сл1, ДС-1 СЛ Аэропорт</t>
  </si>
  <si>
    <t>пр, КВ-5</t>
  </si>
  <si>
    <t>пр, сл1, ДС-4 СЛ Автобусный парк</t>
  </si>
  <si>
    <t>КВ-4 М1=0:35</t>
  </si>
  <si>
    <t>сл2, КВ-3 Духовщина Выход=0:35</t>
  </si>
  <si>
    <t>КВ-1 Окружная=1:10</t>
  </si>
  <si>
    <t>От точки F на карте</t>
  </si>
  <si>
    <t>Далее - карта от точки S
На карте присутсвует контроль прохождения - "буквы"</t>
  </si>
  <si>
    <t>Vср=55 км/ч</t>
  </si>
  <si>
    <t>сл1, сл2, v=55</t>
  </si>
  <si>
    <t>КВ-4 М1</t>
  </si>
  <si>
    <t>сл2, КВ-7 Финиш=0:40, #='стр 22'!J25</t>
  </si>
  <si>
    <t>Vср=ПДД - 10 км/ч</t>
  </si>
  <si>
    <t>Через ворота
Далее - схема на следующей странице</t>
  </si>
  <si>
    <t>Skoda Octavia</t>
  </si>
  <si>
    <t>Lada Vesta</t>
  </si>
  <si>
    <t>Volkswgen Golf</t>
  </si>
  <si>
    <t>Skoda Rapid</t>
  </si>
  <si>
    <t>Chevrolet Aveo</t>
  </si>
  <si>
    <t>Peugeot 308</t>
  </si>
  <si>
    <t>Ford Focus 2</t>
  </si>
  <si>
    <t>е780ов69</t>
  </si>
  <si>
    <t>А629МО67</t>
  </si>
  <si>
    <t>Р571мк67</t>
  </si>
  <si>
    <t>С491нр67</t>
  </si>
  <si>
    <t>к669ет67</t>
  </si>
  <si>
    <t>А345КО67</t>
  </si>
  <si>
    <t>Андрейченков Станислав</t>
  </si>
  <si>
    <t>Шибковская Наталья</t>
  </si>
  <si>
    <t>Родин Клим</t>
  </si>
  <si>
    <t>Шкредов Артём</t>
  </si>
  <si>
    <t>Семочкина Оксана</t>
  </si>
  <si>
    <t>+7 (903) 891-24-34</t>
  </si>
  <si>
    <t>Андрейченкова Мария</t>
  </si>
  <si>
    <t>Александров Михаил</t>
  </si>
  <si>
    <t>Работин Антон</t>
  </si>
  <si>
    <t>Шкапин Павел</t>
  </si>
  <si>
    <t>Кащеев Сергей</t>
  </si>
  <si>
    <t>+7 920 667 93 60</t>
  </si>
  <si>
    <t>8 (950) 709-10-48</t>
  </si>
  <si>
    <t>Renault Sandero</t>
  </si>
  <si>
    <t>Х985ОУ190</t>
  </si>
  <si>
    <t>Працкова Яна</t>
  </si>
  <si>
    <t>Левинский Борис</t>
  </si>
  <si>
    <t>+79037319255</t>
  </si>
  <si>
    <t>+79032894632</t>
  </si>
  <si>
    <t>+79107812983</t>
  </si>
  <si>
    <t>+79156341983</t>
  </si>
  <si>
    <t xml:space="preserve">Kia ceed </t>
  </si>
  <si>
    <t>М936АВ</t>
  </si>
  <si>
    <t xml:space="preserve">Семченкова Екатерина </t>
  </si>
  <si>
    <t xml:space="preserve">Курилина Ольга </t>
  </si>
  <si>
    <t>+79851280888</t>
  </si>
  <si>
    <t>+79057741388</t>
  </si>
  <si>
    <t xml:space="preserve">Афанасьев Никита </t>
  </si>
  <si>
    <t xml:space="preserve">Ford Explorer </t>
  </si>
  <si>
    <t xml:space="preserve">Доценко Роман </t>
  </si>
  <si>
    <t>Королев</t>
  </si>
  <si>
    <t>+79507026846</t>
  </si>
  <si>
    <t>+79043632356</t>
  </si>
  <si>
    <t>+79107868092</t>
  </si>
  <si>
    <t xml:space="preserve">Смоленск </t>
  </si>
  <si>
    <t xml:space="preserve">Давыдов Николай </t>
  </si>
  <si>
    <t xml:space="preserve">Мезенин Валентин </t>
  </si>
  <si>
    <t xml:space="preserve">Жуков Илья </t>
  </si>
  <si>
    <t>+79203204909</t>
  </si>
  <si>
    <t>+9203222132</t>
  </si>
  <si>
    <t>+79056999649</t>
  </si>
  <si>
    <t>+79036669001</t>
  </si>
  <si>
    <t xml:space="preserve">Пасенков Тимур </t>
  </si>
  <si>
    <t xml:space="preserve">Баранов максим </t>
  </si>
  <si>
    <t xml:space="preserve">Р988КС67 </t>
  </si>
  <si>
    <t xml:space="preserve">Черненков Иван </t>
  </si>
  <si>
    <t xml:space="preserve">Голешов Александр </t>
  </si>
  <si>
    <t>Опель астра</t>
  </si>
  <si>
    <t>О163ТЕ199</t>
  </si>
  <si>
    <t>Сеньков Александр</t>
  </si>
  <si>
    <t>Брянск</t>
  </si>
  <si>
    <t>Курохта Роман</t>
  </si>
  <si>
    <t>Яцко</t>
  </si>
  <si>
    <t>Грушин</t>
  </si>
  <si>
    <t>Через ворота
Откорректируйте показания одометра в створе ворот</t>
  </si>
  <si>
    <t xml:space="preserve">
V=75% ПДД</t>
  </si>
  <si>
    <t>Выполните разворот вокруг трансформаторной подстанции</t>
  </si>
  <si>
    <t>оригиналv</t>
  </si>
  <si>
    <t>0,22 км от предыдущей поз.</t>
  </si>
  <si>
    <t>Курилин</t>
  </si>
  <si>
    <t>Гаранин</t>
  </si>
  <si>
    <t>Борисов</t>
  </si>
  <si>
    <t>8-930-301-17-82</t>
  </si>
  <si>
    <t>8-910-728-33-12</t>
  </si>
  <si>
    <t>скр, ВКП-1 Воровского</t>
  </si>
  <si>
    <t>скр, ВКП-2 Ипподром</t>
  </si>
  <si>
    <t>ВКП-1 Воровского</t>
  </si>
  <si>
    <t>ВКП-2 Ипподром</t>
  </si>
  <si>
    <t>8-910-785-02-37</t>
  </si>
  <si>
    <t>15-100 м</t>
  </si>
  <si>
    <t>Заявка</t>
  </si>
  <si>
    <t>ДК</t>
  </si>
  <si>
    <t>Стартовые номера</t>
  </si>
  <si>
    <t>Накапотник</t>
  </si>
  <si>
    <t>Полоса на лобовое</t>
  </si>
  <si>
    <t>Стартовый взнос</t>
  </si>
  <si>
    <t>Лицензия 1-го пилота</t>
  </si>
  <si>
    <t>Лицензия 2-го пилота</t>
  </si>
  <si>
    <t>СТС</t>
  </si>
  <si>
    <t>ОСАГО</t>
  </si>
  <si>
    <t>Подпись 1-го пилота</t>
  </si>
  <si>
    <t>Подпись 2-го пилота</t>
  </si>
  <si>
    <t>КОМПЛЕКТ ДОКУМЕНТОВ И НАКЛЕЕК ВЫДАЕТСЯ ПОСЛЕ ПОЛУЧЕНИЯ ВСЕХ ОТМЕТОК</t>
  </si>
  <si>
    <t>Водительское удост. 1-го пилота</t>
  </si>
  <si>
    <t>Лада Калина</t>
  </si>
  <si>
    <t>В493ЕН67</t>
  </si>
  <si>
    <t>Круглов Олег</t>
  </si>
  <si>
    <t xml:space="preserve">Власенков Кирилл </t>
  </si>
  <si>
    <t>Шевроле Тахо</t>
  </si>
  <si>
    <t>К030НМ67</t>
  </si>
  <si>
    <t>Разуваев Олег</t>
  </si>
  <si>
    <t>Жаров Евгений</t>
  </si>
  <si>
    <t>скр, ДП-2 Буквы</t>
  </si>
  <si>
    <t>ДП2</t>
  </si>
  <si>
    <t>ДП-2 Буквы</t>
  </si>
  <si>
    <t>ДСФ-2 СТОП</t>
  </si>
  <si>
    <t>ДС-4 СЛ Аэропорт</t>
  </si>
  <si>
    <t>а086сс 67</t>
  </si>
  <si>
    <t>Лучкин Андрей</t>
  </si>
  <si>
    <t>8-910-112-17-16</t>
  </si>
  <si>
    <t>Лучкин Роман</t>
  </si>
  <si>
    <t>7-910-722-07-86</t>
  </si>
  <si>
    <t xml:space="preserve">Фольцваген джетта </t>
  </si>
  <si>
    <t>А372ву67</t>
  </si>
  <si>
    <t>Курносов Алексей</t>
  </si>
  <si>
    <t>Гниленкова Анастасия</t>
  </si>
  <si>
    <t>+7 (996) 628-07-45</t>
  </si>
  <si>
    <t>Mitsubishi Lancer</t>
  </si>
  <si>
    <t>В598ср77</t>
  </si>
  <si>
    <t>Воробьев никита</t>
  </si>
  <si>
    <t>Масленников Дмитрий</t>
  </si>
  <si>
    <t>Volkswagen Bora</t>
  </si>
  <si>
    <t>Skoda Yeti</t>
  </si>
  <si>
    <t>А187ЕК67</t>
  </si>
  <si>
    <t>Жуласов Владимир</t>
  </si>
  <si>
    <t>у430уу67</t>
  </si>
  <si>
    <t>Жуков Андрей</t>
  </si>
  <si>
    <t>Сивков Артём</t>
  </si>
  <si>
    <t>Слабков Максим</t>
  </si>
  <si>
    <t>chevrolet aveo</t>
  </si>
  <si>
    <t>с421еу67</t>
  </si>
  <si>
    <t>Юлия Морозова</t>
  </si>
  <si>
    <t>8-952-996-07-99</t>
  </si>
  <si>
    <t>Арсений Хасанов</t>
  </si>
  <si>
    <t>8-910-115-02-93</t>
  </si>
  <si>
    <t>Тагаз Тагер</t>
  </si>
  <si>
    <t>с594ко190</t>
  </si>
  <si>
    <t>Toyota RAV4</t>
  </si>
  <si>
    <t>с530ео777</t>
  </si>
  <si>
    <t>Кананадзе Сергей</t>
  </si>
  <si>
    <t>Комаров Станислав Олегович</t>
  </si>
  <si>
    <t>Дорогобуж</t>
  </si>
  <si>
    <t>Подшивалов Александр</t>
  </si>
  <si>
    <t>Комаров Данила Олегович</t>
  </si>
  <si>
    <t>Люберцы</t>
  </si>
  <si>
    <t>Не схема</t>
  </si>
  <si>
    <t>изменено для совмещенного</t>
  </si>
  <si>
    <t>сл1, сл2, л2, V=%75</t>
  </si>
  <si>
    <t>сл1, сл2, л2, v=%100</t>
  </si>
  <si>
    <t>сл1, сл2, л2</t>
  </si>
  <si>
    <t>Результат через запятую</t>
  </si>
  <si>
    <t>Toyota Avensis</t>
  </si>
  <si>
    <t>В996МВ67</t>
  </si>
  <si>
    <t>Иванова Татьяна</t>
  </si>
  <si>
    <t>Кучерявенкова Олеся</t>
  </si>
  <si>
    <t>сл1, сл2, л2, v=60</t>
  </si>
  <si>
    <t>сл1, сл2, v=-3</t>
  </si>
  <si>
    <t>8-952-993-71-44</t>
  </si>
  <si>
    <t>Volkswagen Passat</t>
  </si>
  <si>
    <t>К321НВ67</t>
  </si>
  <si>
    <t>Chevrolet Camaro</t>
  </si>
  <si>
    <t>Филоненко Николай</t>
  </si>
  <si>
    <t>Сорока Евгений</t>
  </si>
  <si>
    <t>а241еу67</t>
  </si>
  <si>
    <t>Light, Аэропорт</t>
  </si>
  <si>
    <t>Pro, Аэропорт</t>
  </si>
  <si>
    <t>Сергей Иванов</t>
  </si>
  <si>
    <t>да</t>
  </si>
  <si>
    <t>113820- второй раз</t>
  </si>
  <si>
    <t>замедлился</t>
  </si>
  <si>
    <t>остановка на посту</t>
  </si>
  <si>
    <t>х</t>
  </si>
  <si>
    <t>изменен по решению руководителя гонки</t>
  </si>
  <si>
    <t>рукогон</t>
  </si>
  <si>
    <t>нет света</t>
  </si>
  <si>
    <t>без света</t>
  </si>
  <si>
    <t>без света по ТП</t>
  </si>
  <si>
    <t>нарушение порядка прохождения СП</t>
  </si>
  <si>
    <t>неостановка на ВКП1</t>
  </si>
  <si>
    <t>Предварительная классификация Ралли "Skoda - 2019"</t>
  </si>
  <si>
    <t>-</t>
  </si>
  <si>
    <t>Смоленск / Москва</t>
  </si>
  <si>
    <t>+</t>
  </si>
  <si>
    <t>Ярцево / Смоленск</t>
  </si>
  <si>
    <t>Москва / Люберцы</t>
  </si>
  <si>
    <t>Зачет Лайт</t>
  </si>
  <si>
    <t>Зачет Про</t>
  </si>
  <si>
    <t>Зачет АЭРОПОРТ (участники из Смоленской области без лицензии РАФ)</t>
  </si>
  <si>
    <t>Кубок, Смоленская область (участники из Смоленской области с лицензией РАФ)</t>
  </si>
  <si>
    <t>Кубок, Абсолют (участники с лицензией РАФ)</t>
  </si>
  <si>
    <t>Тип данных "время"</t>
  </si>
  <si>
    <t>Протоколы не внос данных, а ссылка</t>
  </si>
  <si>
    <t>судьи в записях в ДК</t>
  </si>
  <si>
    <t>флаги - автоматом</t>
  </si>
  <si>
    <t>открытие - закрытие ниже</t>
  </si>
  <si>
    <t>Закрытие пункта план</t>
  </si>
  <si>
    <t>Открытие пункта план</t>
  </si>
  <si>
    <t>1) Дорожные сектора находятся на листах с именем "Сектор #"</t>
  </si>
  <si>
    <t>Вязьма / Смоленск</t>
  </si>
  <si>
    <t>снято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</si>
</sst>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:mm;@"/>
    <numFmt numFmtId="165" formatCode="[$-F400]h:mm:ss\ AM/PM"/>
    <numFmt numFmtId="166" formatCode="hh:mm"/>
  </numFmts>
  <fonts count="59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b/>
      <i/>
      <sz val="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rgb="FFFFC000"/>
      <name val="Calibri"/>
      <family val="2"/>
      <charset val="204"/>
      <scheme val="minor"/>
    </font>
    <font>
      <b/>
      <sz val="16"/>
      <color theme="0"/>
      <name val="Calibri"/>
      <family val="2"/>
      <charset val="204"/>
    </font>
    <font>
      <b/>
      <sz val="48"/>
      <name val="Calibri"/>
      <family val="2"/>
      <charset val="204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sz val="9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8"/>
      <color theme="0" tint="-0.34998626667073579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2"/>
      <color rgb="FF0000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9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99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lightUp">
        <fgColor theme="0"/>
        <bgColor rgb="FFFF0000"/>
      </patternFill>
    </fill>
    <fill>
      <patternFill patternType="solid">
        <fgColor theme="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/>
      <top/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auto="1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2">
    <xf numFmtId="0" fontId="0" fillId="0" borderId="0"/>
    <xf numFmtId="0" fontId="47" fillId="0" borderId="0"/>
  </cellStyleXfs>
  <cellXfs count="73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Font="1"/>
    <xf numFmtId="0" fontId="0" fillId="0" borderId="0" xfId="0" applyFont="1" applyFill="1"/>
    <xf numFmtId="0" fontId="12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vertical="center" wrapText="1"/>
    </xf>
    <xf numFmtId="0" fontId="3" fillId="0" borderId="0" xfId="0" applyFont="1" applyAlignment="1">
      <alignment wrapText="1"/>
    </xf>
    <xf numFmtId="0" fontId="5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3" fillId="4" borderId="0" xfId="0" applyFont="1" applyFill="1" applyAlignment="1">
      <alignment horizontal="left" vertical="center" indent="1"/>
    </xf>
    <xf numFmtId="0" fontId="13" fillId="0" borderId="0" xfId="0" applyFont="1" applyFill="1" applyAlignment="1">
      <alignment vertical="center"/>
    </xf>
    <xf numFmtId="0" fontId="5" fillId="4" borderId="0" xfId="0" applyFont="1" applyFill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4" borderId="0" xfId="0" applyFill="1" applyAlignment="1">
      <alignment horizontal="left" vertical="center" indent="1"/>
    </xf>
    <xf numFmtId="0" fontId="9" fillId="0" borderId="0" xfId="0" applyFont="1" applyAlignment="1">
      <alignment vertical="center"/>
    </xf>
    <xf numFmtId="21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1" xfId="0" applyNumberFormat="1" applyBorder="1" applyAlignment="1" applyProtection="1">
      <alignment horizontal="left" vertical="center" indent="1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NumberFormat="1" applyBorder="1" applyAlignment="1" applyProtection="1">
      <alignment horizontal="left" vertical="center" indent="1"/>
    </xf>
    <xf numFmtId="165" fontId="0" fillId="0" borderId="1" xfId="0" applyNumberFormat="1" applyBorder="1" applyAlignment="1" applyProtection="1">
      <alignment vertical="center"/>
      <protection locked="0"/>
    </xf>
    <xf numFmtId="0" fontId="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horizontal="left" vertical="center" indent="1"/>
    </xf>
    <xf numFmtId="0" fontId="13" fillId="4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49" fontId="23" fillId="4" borderId="0" xfId="0" applyNumberFormat="1" applyFont="1" applyFill="1" applyBorder="1" applyAlignment="1">
      <alignment vertical="center"/>
    </xf>
    <xf numFmtId="49" fontId="0" fillId="4" borderId="0" xfId="0" applyNumberFormat="1" applyFill="1" applyBorder="1" applyAlignment="1">
      <alignment vertical="center"/>
    </xf>
    <xf numFmtId="49" fontId="13" fillId="4" borderId="0" xfId="0" applyNumberFormat="1" applyFont="1" applyFill="1" applyBorder="1" applyAlignment="1">
      <alignment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vertical="center"/>
    </xf>
    <xf numFmtId="49" fontId="0" fillId="0" borderId="0" xfId="0" applyNumberForma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vertical="center"/>
    </xf>
    <xf numFmtId="49" fontId="25" fillId="0" borderId="0" xfId="0" applyNumberFormat="1" applyFont="1" applyFill="1" applyBorder="1" applyAlignment="1">
      <alignment vertical="center"/>
    </xf>
    <xf numFmtId="49" fontId="26" fillId="0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49" fontId="24" fillId="0" borderId="0" xfId="0" applyNumberFormat="1" applyFont="1" applyFill="1" applyBorder="1" applyAlignment="1">
      <alignment vertical="center"/>
    </xf>
    <xf numFmtId="0" fontId="13" fillId="4" borderId="0" xfId="0" applyNumberFormat="1" applyFont="1" applyFill="1" applyBorder="1" applyAlignment="1">
      <alignment horizontal="left" vertical="center" indent="1"/>
    </xf>
    <xf numFmtId="0" fontId="13" fillId="4" borderId="0" xfId="0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2" fillId="6" borderId="0" xfId="0" applyFont="1" applyFill="1" applyAlignment="1">
      <alignment horizontal="left" vertical="center" indent="1"/>
    </xf>
    <xf numFmtId="0" fontId="12" fillId="6" borderId="0" xfId="0" applyFont="1" applyFill="1" applyAlignment="1">
      <alignment vertical="center"/>
    </xf>
    <xf numFmtId="0" fontId="0" fillId="0" borderId="0" xfId="0" applyFill="1" applyBorder="1" applyAlignment="1">
      <alignment wrapText="1"/>
    </xf>
    <xf numFmtId="0" fontId="11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29" fillId="5" borderId="0" xfId="0" applyFont="1" applyFill="1" applyAlignment="1">
      <alignment wrapText="1"/>
    </xf>
    <xf numFmtId="0" fontId="13" fillId="4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 applyProtection="1">
      <alignment horizontal="left" vertical="center" indent="1"/>
      <protection locked="0"/>
    </xf>
    <xf numFmtId="0" fontId="0" fillId="0" borderId="0" xfId="0" applyFill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horizontal="left" vertical="center" indent="1"/>
      <protection locked="0"/>
    </xf>
    <xf numFmtId="20" fontId="0" fillId="4" borderId="0" xfId="0" applyNumberFormat="1" applyFill="1" applyAlignment="1" applyProtection="1">
      <alignment horizontal="center" vertical="center"/>
      <protection locked="0"/>
    </xf>
    <xf numFmtId="0" fontId="0" fillId="4" borderId="0" xfId="0" applyNumberFormat="1" applyFill="1" applyAlignment="1" applyProtection="1">
      <alignment vertical="center"/>
      <protection locked="0"/>
    </xf>
    <xf numFmtId="164" fontId="0" fillId="0" borderId="1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left" vertical="center"/>
    </xf>
    <xf numFmtId="2" fontId="17" fillId="0" borderId="3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 vertical="center"/>
    </xf>
    <xf numFmtId="2" fontId="17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7" fillId="0" borderId="8" xfId="0" applyNumberFormat="1" applyFont="1" applyFill="1" applyBorder="1" applyAlignment="1">
      <alignment horizontal="center" vertical="center"/>
    </xf>
    <xf numFmtId="0" fontId="20" fillId="0" borderId="8" xfId="0" applyNumberFormat="1" applyFont="1" applyFill="1" applyBorder="1" applyAlignment="1">
      <alignment horizontal="left" vertical="center"/>
    </xf>
    <xf numFmtId="2" fontId="17" fillId="0" borderId="8" xfId="0" applyNumberFormat="1" applyFont="1" applyFill="1" applyBorder="1" applyAlignment="1">
      <alignment horizontal="center" vertical="center"/>
    </xf>
    <xf numFmtId="0" fontId="19" fillId="0" borderId="8" xfId="0" applyNumberFormat="1" applyFont="1" applyFill="1" applyBorder="1" applyAlignment="1">
      <alignment horizontal="center" vertical="center"/>
    </xf>
    <xf numFmtId="0" fontId="21" fillId="4" borderId="13" xfId="0" applyNumberFormat="1" applyFont="1" applyFill="1" applyBorder="1" applyAlignment="1">
      <alignment vertical="center"/>
    </xf>
    <xf numFmtId="0" fontId="21" fillId="4" borderId="12" xfId="0" applyNumberFormat="1" applyFont="1" applyFill="1" applyBorder="1" applyAlignment="1">
      <alignment horizontal="left" vertical="center" indent="1"/>
    </xf>
    <xf numFmtId="0" fontId="10" fillId="0" borderId="0" xfId="0" applyNumberFormat="1" applyFont="1"/>
    <xf numFmtId="0" fontId="10" fillId="0" borderId="0" xfId="0" applyFont="1"/>
    <xf numFmtId="0" fontId="0" fillId="0" borderId="0" xfId="0" applyNumberFormat="1" applyFill="1" applyAlignment="1" applyProtection="1">
      <alignment horizontal="center" vertical="center"/>
    </xf>
    <xf numFmtId="0" fontId="0" fillId="7" borderId="0" xfId="0" applyFill="1" applyAlignment="1">
      <alignment vertical="center"/>
    </xf>
    <xf numFmtId="0" fontId="9" fillId="7" borderId="0" xfId="0" applyFont="1" applyFill="1" applyAlignment="1">
      <alignment vertical="center"/>
    </xf>
    <xf numFmtId="0" fontId="0" fillId="7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indent="1"/>
    </xf>
    <xf numFmtId="0" fontId="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 vertical="center" indent="1"/>
    </xf>
    <xf numFmtId="0" fontId="2" fillId="0" borderId="0" xfId="0" applyFont="1" applyFill="1" applyBorder="1" applyAlignment="1">
      <alignment horizontal="left" vertical="center" indent="1"/>
    </xf>
    <xf numFmtId="2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20" fontId="10" fillId="0" borderId="0" xfId="0" applyNumberFormat="1" applyFont="1" applyFill="1" applyBorder="1" applyAlignment="1" applyProtection="1">
      <alignment horizontal="center" vertical="center"/>
      <protection locked="0"/>
    </xf>
    <xf numFmtId="20" fontId="10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21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49" fontId="10" fillId="0" borderId="0" xfId="0" applyNumberFormat="1" applyFont="1" applyFill="1" applyBorder="1" applyAlignment="1" applyProtection="1">
      <alignment horizontal="left" vertical="center" indent="1"/>
      <protection locked="0"/>
    </xf>
    <xf numFmtId="2" fontId="10" fillId="0" borderId="0" xfId="0" applyNumberFormat="1" applyFont="1" applyFill="1" applyBorder="1" applyAlignment="1">
      <alignment horizontal="left" vertical="center" indent="1"/>
    </xf>
    <xf numFmtId="0" fontId="10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 applyProtection="1">
      <alignment horizontal="left" vertical="center" indent="1"/>
      <protection locked="0"/>
    </xf>
    <xf numFmtId="0" fontId="10" fillId="0" borderId="0" xfId="0" applyFont="1" applyFill="1" applyAlignment="1">
      <alignment horizontal="left" vertical="center" indent="1"/>
    </xf>
    <xf numFmtId="2" fontId="10" fillId="0" borderId="0" xfId="0" applyNumberFormat="1" applyFont="1" applyFill="1" applyAlignment="1">
      <alignment horizontal="center" vertical="center"/>
    </xf>
    <xf numFmtId="20" fontId="10" fillId="0" borderId="0" xfId="0" applyNumberFormat="1" applyFont="1" applyFill="1" applyAlignment="1" applyProtection="1">
      <alignment horizontal="center" vertical="center"/>
      <protection locked="0"/>
    </xf>
    <xf numFmtId="20" fontId="10" fillId="0" borderId="0" xfId="0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 applyProtection="1">
      <alignment vertical="center"/>
      <protection locked="0"/>
    </xf>
    <xf numFmtId="0" fontId="10" fillId="0" borderId="0" xfId="0" applyFont="1" applyFill="1" applyAlignment="1">
      <alignment horizontal="center" vertical="center" wrapText="1"/>
    </xf>
    <xf numFmtId="0" fontId="6" fillId="0" borderId="29" xfId="0" applyFont="1" applyFill="1" applyBorder="1" applyAlignment="1">
      <alignment vertical="center"/>
    </xf>
    <xf numFmtId="0" fontId="6" fillId="0" borderId="2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0" fontId="18" fillId="0" borderId="0" xfId="0" applyFont="1" applyAlignment="1">
      <alignment horizontal="center" vertical="top"/>
    </xf>
    <xf numFmtId="49" fontId="4" fillId="0" borderId="18" xfId="0" applyNumberFormat="1" applyFont="1" applyBorder="1" applyAlignment="1">
      <alignment vertical="center"/>
    </xf>
    <xf numFmtId="49" fontId="4" fillId="0" borderId="16" xfId="0" applyNumberFormat="1" applyFont="1" applyBorder="1" applyAlignment="1">
      <alignment vertical="center"/>
    </xf>
    <xf numFmtId="49" fontId="4" fillId="0" borderId="15" xfId="0" applyNumberFormat="1" applyFont="1" applyBorder="1" applyAlignment="1">
      <alignment vertical="center"/>
    </xf>
    <xf numFmtId="0" fontId="0" fillId="7" borderId="24" xfId="0" applyFill="1" applyBorder="1" applyAlignment="1">
      <alignment vertical="center"/>
    </xf>
    <xf numFmtId="0" fontId="0" fillId="7" borderId="10" xfId="0" applyFill="1" applyBorder="1" applyAlignment="1">
      <alignment vertical="center"/>
    </xf>
    <xf numFmtId="0" fontId="0" fillId="7" borderId="22" xfId="0" applyFill="1" applyBorder="1" applyAlignment="1">
      <alignment vertical="center"/>
    </xf>
    <xf numFmtId="0" fontId="0" fillId="7" borderId="19" xfId="0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23" xfId="0" applyFill="1" applyBorder="1" applyAlignment="1">
      <alignment vertical="center"/>
    </xf>
    <xf numFmtId="0" fontId="0" fillId="7" borderId="25" xfId="0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left" vertical="center" indent="1"/>
    </xf>
    <xf numFmtId="2" fontId="14" fillId="0" borderId="0" xfId="0" applyNumberFormat="1" applyFont="1" applyFill="1" applyBorder="1" applyAlignment="1">
      <alignment horizontal="center" vertical="center"/>
    </xf>
    <xf numFmtId="20" fontId="14" fillId="0" borderId="0" xfId="0" applyNumberFormat="1" applyFont="1" applyFill="1" applyBorder="1" applyAlignment="1" applyProtection="1">
      <alignment horizontal="center" vertical="center"/>
      <protection locked="0"/>
    </xf>
    <xf numFmtId="20" fontId="14" fillId="0" borderId="0" xfId="0" applyNumberFormat="1" applyFont="1" applyFill="1" applyBorder="1" applyAlignment="1">
      <alignment horizontal="center" vertical="center"/>
    </xf>
    <xf numFmtId="21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left" vertical="center" indent="1"/>
      <protection locked="0"/>
    </xf>
    <xf numFmtId="49" fontId="14" fillId="0" borderId="0" xfId="0" applyNumberFormat="1" applyFont="1" applyFill="1" applyBorder="1" applyAlignment="1" applyProtection="1">
      <alignment horizontal="left" vertical="center" indent="1"/>
      <protection locked="0"/>
    </xf>
    <xf numFmtId="0" fontId="21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top" wrapText="1"/>
    </xf>
    <xf numFmtId="0" fontId="4" fillId="0" borderId="3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4" fillId="0" borderId="26" xfId="0" applyFont="1" applyBorder="1"/>
    <xf numFmtId="0" fontId="10" fillId="0" borderId="27" xfId="0" applyFont="1" applyBorder="1"/>
    <xf numFmtId="0" fontId="10" fillId="0" borderId="0" xfId="0" applyFont="1" applyBorder="1"/>
    <xf numFmtId="0" fontId="21" fillId="8" borderId="2" xfId="0" applyFont="1" applyFill="1" applyBorder="1" applyAlignment="1">
      <alignment horizontal="left"/>
    </xf>
    <xf numFmtId="0" fontId="6" fillId="8" borderId="4" xfId="0" applyNumberFormat="1" applyFont="1" applyFill="1" applyBorder="1" applyAlignment="1">
      <alignment horizontal="right"/>
    </xf>
    <xf numFmtId="0" fontId="6" fillId="8" borderId="9" xfId="0" applyNumberFormat="1" applyFont="1" applyFill="1" applyBorder="1" applyAlignment="1">
      <alignment horizontal="right"/>
    </xf>
    <xf numFmtId="0" fontId="21" fillId="0" borderId="2" xfId="0" applyFont="1" applyFill="1" applyBorder="1" applyAlignment="1">
      <alignment horizontal="left"/>
    </xf>
    <xf numFmtId="0" fontId="6" fillId="0" borderId="4" xfId="0" applyNumberFormat="1" applyFont="1" applyFill="1" applyBorder="1" applyAlignment="1">
      <alignment horizontal="right"/>
    </xf>
    <xf numFmtId="0" fontId="6" fillId="0" borderId="9" xfId="0" applyNumberFormat="1" applyFont="1" applyFill="1" applyBorder="1" applyAlignment="1">
      <alignment horizontal="right"/>
    </xf>
    <xf numFmtId="0" fontId="16" fillId="0" borderId="7" xfId="0" applyFont="1" applyFill="1" applyBorder="1" applyAlignment="1">
      <alignment horizontal="left"/>
    </xf>
    <xf numFmtId="0" fontId="16" fillId="8" borderId="7" xfId="0" applyFont="1" applyFill="1" applyBorder="1" applyAlignment="1">
      <alignment horizontal="left"/>
    </xf>
    <xf numFmtId="20" fontId="0" fillId="0" borderId="0" xfId="0" applyNumberFormat="1" applyFont="1" applyAlignment="1">
      <alignment vertical="center"/>
    </xf>
    <xf numFmtId="0" fontId="35" fillId="0" borderId="0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18" fillId="3" borderId="31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vertical="center" wrapText="1"/>
    </xf>
    <xf numFmtId="0" fontId="34" fillId="3" borderId="0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21" fillId="4" borderId="3" xfId="0" applyNumberFormat="1" applyFont="1" applyFill="1" applyBorder="1" applyAlignment="1">
      <alignment vertical="center"/>
    </xf>
    <xf numFmtId="0" fontId="21" fillId="4" borderId="8" xfId="0" applyNumberFormat="1" applyFont="1" applyFill="1" applyBorder="1" applyAlignment="1">
      <alignment vertical="center"/>
    </xf>
    <xf numFmtId="0" fontId="0" fillId="0" borderId="0" xfId="0" applyFont="1" applyProtection="1">
      <protection locked="0"/>
    </xf>
    <xf numFmtId="0" fontId="0" fillId="4" borderId="0" xfId="0" applyNumberFormat="1" applyFill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left" vertical="top" wrapText="1"/>
    </xf>
    <xf numFmtId="0" fontId="38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2" fillId="0" borderId="15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left" vertical="center" indent="1"/>
    </xf>
    <xf numFmtId="0" fontId="1" fillId="0" borderId="36" xfId="0" applyFont="1" applyFill="1" applyBorder="1" applyAlignment="1">
      <alignment vertical="center"/>
    </xf>
    <xf numFmtId="0" fontId="6" fillId="0" borderId="37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vertical="center"/>
    </xf>
    <xf numFmtId="0" fontId="10" fillId="0" borderId="19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22" xfId="0" applyFont="1" applyFill="1" applyBorder="1" applyAlignment="1">
      <alignment horizontal="right" vertical="center"/>
    </xf>
    <xf numFmtId="0" fontId="1" fillId="0" borderId="22" xfId="0" applyFont="1" applyFill="1" applyBorder="1" applyAlignment="1">
      <alignment vertical="center"/>
    </xf>
    <xf numFmtId="0" fontId="6" fillId="0" borderId="38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vertical="center"/>
    </xf>
    <xf numFmtId="165" fontId="10" fillId="0" borderId="19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 vertical="center" indent="1"/>
    </xf>
    <xf numFmtId="0" fontId="6" fillId="0" borderId="17" xfId="0" applyFont="1" applyFill="1" applyBorder="1" applyAlignment="1">
      <alignment horizontal="center" vertical="center" wrapText="1"/>
    </xf>
    <xf numFmtId="0" fontId="13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3" fillId="0" borderId="0" xfId="0" applyNumberFormat="1" applyFont="1" applyFill="1" applyAlignment="1">
      <alignment horizontal="left" vertical="center" indent="1"/>
    </xf>
    <xf numFmtId="0" fontId="39" fillId="0" borderId="0" xfId="0" applyNumberFormat="1" applyFont="1" applyFill="1" applyAlignment="1">
      <alignment horizontal="left" vertical="center" indent="1"/>
    </xf>
    <xf numFmtId="0" fontId="6" fillId="0" borderId="29" xfId="0" applyFont="1" applyFill="1" applyBorder="1" applyAlignment="1">
      <alignment horizontal="right" vertical="center"/>
    </xf>
    <xf numFmtId="0" fontId="6" fillId="0" borderId="28" xfId="0" applyFont="1" applyFill="1" applyBorder="1" applyAlignment="1">
      <alignment horizontal="right" vertical="center"/>
    </xf>
    <xf numFmtId="0" fontId="6" fillId="0" borderId="29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15" fillId="4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21" fillId="0" borderId="3" xfId="0" applyFont="1" applyFill="1" applyBorder="1" applyAlignment="1">
      <alignment horizontal="left"/>
    </xf>
    <xf numFmtId="0" fontId="6" fillId="0" borderId="3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/>
    </xf>
    <xf numFmtId="0" fontId="9" fillId="0" borderId="1" xfId="0" applyFont="1" applyFill="1" applyBorder="1" applyAlignment="1" applyProtection="1">
      <alignment horizontal="center" vertical="center" wrapText="1"/>
    </xf>
    <xf numFmtId="0" fontId="14" fillId="9" borderId="0" xfId="0" applyFont="1" applyFill="1" applyBorder="1" applyAlignment="1">
      <alignment vertical="center"/>
    </xf>
    <xf numFmtId="0" fontId="0" fillId="10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6" fillId="0" borderId="43" xfId="0" applyFont="1" applyFill="1" applyBorder="1" applyAlignment="1">
      <alignment horizontal="center" vertical="center" wrapText="1"/>
    </xf>
    <xf numFmtId="0" fontId="0" fillId="0" borderId="1" xfId="0" applyNumberFormat="1" applyBorder="1" applyAlignment="1" applyProtection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indent="1"/>
    </xf>
    <xf numFmtId="164" fontId="10" fillId="0" borderId="19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38" fillId="0" borderId="23" xfId="0" applyNumberFormat="1" applyFont="1" applyFill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165" fontId="10" fillId="0" borderId="19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left" vertical="center"/>
    </xf>
    <xf numFmtId="0" fontId="36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3" fillId="0" borderId="0" xfId="0" applyNumberFormat="1" applyFont="1" applyBorder="1" applyAlignment="1" applyProtection="1">
      <alignment horizontal="right" vertical="center" indent="1"/>
    </xf>
    <xf numFmtId="0" fontId="0" fillId="0" borderId="1" xfId="0" applyFont="1" applyBorder="1" applyAlignment="1" applyProtection="1">
      <alignment horizontal="left" vertical="center" indent="1"/>
    </xf>
    <xf numFmtId="166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right" vertical="center" indent="1"/>
    </xf>
    <xf numFmtId="0" fontId="31" fillId="0" borderId="0" xfId="0" quotePrefix="1" applyNumberFormat="1" applyFont="1" applyBorder="1" applyAlignment="1" applyProtection="1">
      <alignment horizontal="left" vertical="center" indent="1"/>
    </xf>
    <xf numFmtId="0" fontId="47" fillId="0" borderId="0" xfId="1" applyAlignment="1">
      <alignment vertical="center"/>
    </xf>
    <xf numFmtId="164" fontId="47" fillId="0" borderId="1" xfId="1" applyNumberFormat="1" applyBorder="1" applyAlignment="1" applyProtection="1">
      <alignment horizontal="center" vertical="center"/>
      <protection locked="0"/>
    </xf>
    <xf numFmtId="0" fontId="47" fillId="0" borderId="1" xfId="1" applyNumberFormat="1" applyBorder="1" applyAlignment="1" applyProtection="1">
      <alignment horizontal="center" vertical="center"/>
      <protection locked="0"/>
    </xf>
    <xf numFmtId="0" fontId="47" fillId="0" borderId="0" xfId="1" applyAlignment="1">
      <alignment horizontal="center" vertical="center"/>
    </xf>
    <xf numFmtId="0" fontId="47" fillId="0" borderId="0" xfId="1" applyNumberFormat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1" xfId="1" applyNumberFormat="1" applyFont="1" applyFill="1" applyBorder="1" applyAlignment="1" applyProtection="1">
      <alignment horizontal="center" vertical="center" wrapText="1"/>
    </xf>
    <xf numFmtId="21" fontId="47" fillId="0" borderId="0" xfId="1" applyNumberFormat="1" applyAlignment="1">
      <alignment vertical="center"/>
    </xf>
    <xf numFmtId="0" fontId="47" fillId="0" borderId="0" xfId="1" applyNumberFormat="1" applyBorder="1" applyAlignment="1" applyProtection="1">
      <alignment horizontal="left" vertical="center" indent="1"/>
    </xf>
    <xf numFmtId="0" fontId="3" fillId="0" borderId="1" xfId="1" applyNumberFormat="1" applyFont="1" applyBorder="1" applyAlignment="1" applyProtection="1">
      <alignment horizontal="center" vertical="center"/>
    </xf>
    <xf numFmtId="0" fontId="31" fillId="0" borderId="0" xfId="1" quotePrefix="1" applyNumberFormat="1" applyFont="1" applyBorder="1" applyAlignment="1" applyProtection="1">
      <alignment horizontal="left" vertical="center" indent="1"/>
    </xf>
    <xf numFmtId="166" fontId="47" fillId="0" borderId="1" xfId="1" applyNumberFormat="1" applyFont="1" applyBorder="1" applyAlignment="1" applyProtection="1">
      <alignment horizontal="center" vertical="center"/>
      <protection locked="0"/>
    </xf>
    <xf numFmtId="0" fontId="47" fillId="0" borderId="1" xfId="1" applyFont="1" applyBorder="1" applyAlignment="1" applyProtection="1">
      <alignment horizontal="right" vertical="center" indent="1"/>
    </xf>
    <xf numFmtId="0" fontId="47" fillId="0" borderId="1" xfId="1" applyFont="1" applyBorder="1" applyAlignment="1" applyProtection="1">
      <alignment horizontal="left" vertical="center" indent="1"/>
    </xf>
    <xf numFmtId="0" fontId="3" fillId="0" borderId="0" xfId="1" applyNumberFormat="1" applyFont="1" applyBorder="1" applyAlignment="1" applyProtection="1">
      <alignment horizontal="right" vertical="center" indent="1"/>
    </xf>
    <xf numFmtId="0" fontId="47" fillId="0" borderId="0" xfId="1" applyFill="1" applyAlignment="1" applyProtection="1">
      <alignment vertical="center"/>
    </xf>
    <xf numFmtId="0" fontId="3" fillId="0" borderId="0" xfId="1" applyFont="1" applyFill="1" applyAlignment="1" applyProtection="1">
      <alignment horizontal="left" vertical="center" indent="1"/>
      <protection locked="0"/>
    </xf>
    <xf numFmtId="0" fontId="36" fillId="0" borderId="1" xfId="0" applyFont="1" applyFill="1" applyBorder="1" applyAlignment="1" applyProtection="1">
      <alignment horizontal="center" vertical="center" wrapText="1"/>
    </xf>
    <xf numFmtId="0" fontId="0" fillId="0" borderId="1" xfId="1" applyFont="1" applyBorder="1" applyAlignment="1" applyProtection="1">
      <alignment horizontal="right" vertical="center" indent="1"/>
    </xf>
    <xf numFmtId="0" fontId="10" fillId="0" borderId="19" xfId="0" applyNumberFormat="1" applyFont="1" applyFill="1" applyBorder="1" applyAlignment="1">
      <alignment vertical="center"/>
    </xf>
    <xf numFmtId="0" fontId="10" fillId="9" borderId="0" xfId="0" applyFont="1" applyFill="1" applyBorder="1" applyAlignment="1">
      <alignment vertical="center"/>
    </xf>
    <xf numFmtId="49" fontId="14" fillId="9" borderId="19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 wrapText="1"/>
    </xf>
    <xf numFmtId="165" fontId="10" fillId="9" borderId="19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vertical="center"/>
    </xf>
    <xf numFmtId="49" fontId="10" fillId="9" borderId="0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vertical="center"/>
    </xf>
    <xf numFmtId="164" fontId="10" fillId="0" borderId="19" xfId="0" applyNumberFormat="1" applyFont="1" applyFill="1" applyBorder="1" applyAlignment="1">
      <alignment vertical="center"/>
    </xf>
    <xf numFmtId="0" fontId="1" fillId="0" borderId="22" xfId="0" quotePrefix="1" applyFont="1" applyFill="1" applyBorder="1" applyAlignment="1">
      <alignment vertical="center"/>
    </xf>
    <xf numFmtId="0" fontId="33" fillId="0" borderId="38" xfId="0" applyFont="1" applyFill="1" applyBorder="1" applyAlignment="1">
      <alignment horizontal="center" vertical="center" wrapText="1"/>
    </xf>
    <xf numFmtId="0" fontId="10" fillId="9" borderId="23" xfId="0" applyFont="1" applyFill="1" applyBorder="1" applyAlignment="1">
      <alignment vertical="center"/>
    </xf>
    <xf numFmtId="164" fontId="10" fillId="0" borderId="23" xfId="0" applyNumberFormat="1" applyFont="1" applyFill="1" applyBorder="1" applyAlignment="1">
      <alignment horizontal="center" vertical="center"/>
    </xf>
    <xf numFmtId="0" fontId="1" fillId="0" borderId="10" xfId="0" quotePrefix="1" applyFont="1" applyFill="1" applyBorder="1" applyAlignment="1">
      <alignment vertical="center"/>
    </xf>
    <xf numFmtId="0" fontId="1" fillId="0" borderId="44" xfId="0" applyFont="1" applyFill="1" applyBorder="1" applyAlignment="1">
      <alignment horizontal="right" vertical="center"/>
    </xf>
    <xf numFmtId="0" fontId="1" fillId="0" borderId="45" xfId="0" quotePrefix="1" applyFont="1" applyFill="1" applyBorder="1" applyAlignment="1">
      <alignment horizontal="left" vertical="center" indent="1"/>
    </xf>
    <xf numFmtId="0" fontId="10" fillId="0" borderId="6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164" fontId="10" fillId="0" borderId="5" xfId="0" applyNumberFormat="1" applyFont="1" applyFill="1" applyBorder="1" applyAlignment="1">
      <alignment horizontal="center" vertical="center"/>
    </xf>
    <xf numFmtId="0" fontId="38" fillId="0" borderId="6" xfId="0" applyNumberFormat="1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horizontal="right" vertical="center"/>
    </xf>
    <xf numFmtId="0" fontId="48" fillId="11" borderId="0" xfId="0" applyFont="1" applyFill="1" applyAlignment="1">
      <alignment horizontal="center"/>
    </xf>
    <xf numFmtId="0" fontId="9" fillId="4" borderId="0" xfId="0" applyFont="1" applyFill="1" applyAlignment="1">
      <alignment horizontal="left" vertical="center" indent="1"/>
    </xf>
    <xf numFmtId="0" fontId="9" fillId="4" borderId="0" xfId="0" applyFont="1" applyFill="1" applyAlignment="1" applyProtection="1">
      <alignment horizontal="left" vertical="center" indent="1"/>
    </xf>
    <xf numFmtId="0" fontId="0" fillId="4" borderId="0" xfId="0" applyNumberFormat="1" applyFill="1" applyAlignment="1" applyProtection="1">
      <alignment vertical="center"/>
    </xf>
    <xf numFmtId="0" fontId="0" fillId="4" borderId="0" xfId="0" applyFill="1" applyAlignment="1" applyProtection="1">
      <alignment horizontal="left" vertical="center" indent="1"/>
    </xf>
    <xf numFmtId="0" fontId="9" fillId="7" borderId="0" xfId="0" applyFont="1" applyFill="1" applyBorder="1" applyAlignment="1">
      <alignment horizontal="center" vertical="center" wrapText="1"/>
    </xf>
    <xf numFmtId="0" fontId="9" fillId="4" borderId="0" xfId="0" applyNumberFormat="1" applyFont="1" applyFill="1" applyAlignment="1" applyProtection="1">
      <alignment vertical="center"/>
      <protection locked="0"/>
    </xf>
    <xf numFmtId="0" fontId="9" fillId="4" borderId="0" xfId="0" applyFont="1" applyFill="1" applyAlignment="1" applyProtection="1">
      <alignment vertical="center"/>
    </xf>
    <xf numFmtId="0" fontId="9" fillId="7" borderId="0" xfId="0" applyFont="1" applyFill="1" applyBorder="1" applyAlignment="1" applyProtection="1">
      <alignment horizontal="center"/>
      <protection locked="0"/>
    </xf>
    <xf numFmtId="0" fontId="9" fillId="9" borderId="0" xfId="0" applyFont="1" applyFill="1" applyAlignment="1">
      <alignment horizontal="center"/>
    </xf>
    <xf numFmtId="0" fontId="48" fillId="5" borderId="0" xfId="0" applyFont="1" applyFill="1" applyAlignment="1">
      <alignment horizontal="center"/>
    </xf>
    <xf numFmtId="0" fontId="10" fillId="7" borderId="0" xfId="0" applyFont="1" applyFill="1" applyBorder="1" applyAlignment="1">
      <alignment vertical="center"/>
    </xf>
    <xf numFmtId="0" fontId="9" fillId="4" borderId="0" xfId="0" applyFont="1" applyFill="1" applyAlignment="1" applyProtection="1">
      <alignment vertical="center"/>
      <protection locked="0"/>
    </xf>
    <xf numFmtId="0" fontId="9" fillId="4" borderId="0" xfId="0" applyFont="1" applyFill="1" applyAlignment="1" applyProtection="1">
      <alignment horizontal="left" vertical="center" indent="1"/>
      <protection locked="0"/>
    </xf>
    <xf numFmtId="0" fontId="0" fillId="0" borderId="8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21" fillId="4" borderId="2" xfId="0" applyNumberFormat="1" applyFont="1" applyFill="1" applyBorder="1" applyAlignment="1">
      <alignment horizontal="left" vertical="center" indent="1"/>
    </xf>
    <xf numFmtId="0" fontId="21" fillId="4" borderId="7" xfId="0" applyNumberFormat="1" applyFont="1" applyFill="1" applyBorder="1" applyAlignment="1">
      <alignment horizontal="left" vertical="center" inden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20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0" fontId="26" fillId="0" borderId="1" xfId="0" applyNumberFormat="1" applyFont="1" applyFill="1" applyBorder="1" applyAlignment="1">
      <alignment horizontal="center" vertical="center"/>
    </xf>
    <xf numFmtId="2" fontId="26" fillId="0" borderId="1" xfId="0" applyNumberFormat="1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/>
    </xf>
    <xf numFmtId="0" fontId="26" fillId="0" borderId="5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26" fillId="0" borderId="12" xfId="0" applyNumberFormat="1" applyFont="1" applyFill="1" applyBorder="1" applyAlignment="1">
      <alignment horizontal="center"/>
    </xf>
    <xf numFmtId="0" fontId="26" fillId="0" borderId="14" xfId="0" applyNumberFormat="1" applyFont="1" applyFill="1" applyBorder="1" applyAlignment="1">
      <alignment horizont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left" vertical="center" indent="1"/>
    </xf>
    <xf numFmtId="0" fontId="0" fillId="0" borderId="13" xfId="0" applyFont="1" applyFill="1" applyBorder="1"/>
    <xf numFmtId="0" fontId="0" fillId="0" borderId="14" xfId="0" applyFont="1" applyFill="1" applyBorder="1"/>
    <xf numFmtId="0" fontId="14" fillId="0" borderId="1" xfId="0" applyFont="1" applyFill="1" applyBorder="1" applyAlignment="1">
      <alignment horizontal="left" vertical="center" wrapText="1" inden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top" wrapText="1" indent="1"/>
    </xf>
    <xf numFmtId="2" fontId="0" fillId="0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center" indent="1"/>
    </xf>
    <xf numFmtId="0" fontId="0" fillId="0" borderId="8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vertical="center"/>
    </xf>
    <xf numFmtId="2" fontId="14" fillId="0" borderId="1" xfId="0" applyNumberFormat="1" applyFont="1" applyFill="1" applyBorder="1" applyAlignment="1">
      <alignment horizontal="left" vertical="center" indent="1"/>
    </xf>
    <xf numFmtId="2" fontId="14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left" vertical="center" indent="1"/>
    </xf>
    <xf numFmtId="2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indent="1"/>
    </xf>
    <xf numFmtId="0" fontId="1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5" fillId="0" borderId="1" xfId="0" quotePrefix="1" applyNumberFormat="1" applyFont="1" applyFill="1" applyBorder="1" applyAlignment="1">
      <alignment horizontal="center" vertical="center"/>
    </xf>
    <xf numFmtId="20" fontId="5" fillId="0" borderId="12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horizontal="left" vertical="center"/>
      <protection locked="0"/>
    </xf>
    <xf numFmtId="0" fontId="5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>
      <alignment horizontal="center" vertical="center"/>
    </xf>
    <xf numFmtId="0" fontId="7" fillId="4" borderId="0" xfId="0" applyFont="1" applyFill="1" applyBorder="1"/>
    <xf numFmtId="49" fontId="16" fillId="8" borderId="0" xfId="0" applyNumberFormat="1" applyFont="1" applyFill="1" applyBorder="1" applyAlignment="1">
      <alignment horizontal="left" vertical="center" indent="1"/>
    </xf>
    <xf numFmtId="49" fontId="16" fillId="8" borderId="0" xfId="0" applyNumberFormat="1" applyFont="1" applyFill="1" applyBorder="1" applyAlignment="1">
      <alignment vertical="center"/>
    </xf>
    <xf numFmtId="0" fontId="50" fillId="4" borderId="0" xfId="0" applyFont="1" applyFill="1" applyAlignment="1">
      <alignment horizontal="left" vertical="center" indent="1"/>
    </xf>
    <xf numFmtId="0" fontId="36" fillId="4" borderId="0" xfId="0" applyNumberFormat="1" applyFont="1" applyFill="1" applyAlignment="1">
      <alignment horizontal="left" vertical="center" indent="1"/>
    </xf>
    <xf numFmtId="0" fontId="8" fillId="4" borderId="0" xfId="0" applyFont="1" applyFill="1"/>
    <xf numFmtId="49" fontId="36" fillId="4" borderId="0" xfId="0" applyNumberFormat="1" applyFont="1" applyFill="1" applyAlignment="1">
      <alignment horizontal="left" vertical="center" indent="1"/>
    </xf>
    <xf numFmtId="0" fontId="14" fillId="0" borderId="1" xfId="0" applyFont="1" applyFill="1" applyBorder="1" applyAlignment="1">
      <alignment horizontal="left" indent="1"/>
    </xf>
    <xf numFmtId="0" fontId="14" fillId="0" borderId="1" xfId="0" applyFont="1" applyFill="1" applyBorder="1"/>
    <xf numFmtId="2" fontId="22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43" fillId="0" borderId="0" xfId="0" applyFont="1" applyFill="1" applyAlignment="1"/>
    <xf numFmtId="165" fontId="14" fillId="0" borderId="1" xfId="0" applyNumberFormat="1" applyFont="1" applyFill="1" applyBorder="1" applyAlignment="1">
      <alignment horizontal="center" vertical="center"/>
    </xf>
    <xf numFmtId="0" fontId="0" fillId="0" borderId="12" xfId="0" applyFont="1" applyFill="1" applyBorder="1"/>
    <xf numFmtId="0" fontId="14" fillId="0" borderId="14" xfId="0" applyFont="1" applyFill="1" applyBorder="1" applyAlignment="1">
      <alignment horizontal="right"/>
    </xf>
    <xf numFmtId="49" fontId="16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 indent="1"/>
    </xf>
    <xf numFmtId="164" fontId="10" fillId="3" borderId="19" xfId="0" applyNumberFormat="1" applyFont="1" applyFill="1" applyBorder="1" applyAlignment="1">
      <alignment horizontal="center" vertical="center"/>
    </xf>
    <xf numFmtId="164" fontId="10" fillId="3" borderId="0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  <xf numFmtId="0" fontId="38" fillId="3" borderId="6" xfId="0" applyNumberFormat="1" applyFont="1" applyFill="1" applyBorder="1" applyAlignment="1">
      <alignment horizontal="center" vertical="center"/>
    </xf>
    <xf numFmtId="164" fontId="10" fillId="3" borderId="5" xfId="0" applyNumberFormat="1" applyFont="1" applyFill="1" applyBorder="1" applyAlignment="1">
      <alignment horizontal="center" vertical="center"/>
    </xf>
    <xf numFmtId="164" fontId="10" fillId="3" borderId="23" xfId="0" applyNumberFormat="1" applyFont="1" applyFill="1" applyBorder="1" applyAlignment="1">
      <alignment horizontal="center" vertical="center"/>
    </xf>
    <xf numFmtId="0" fontId="38" fillId="3" borderId="23" xfId="0" applyNumberFormat="1" applyFont="1" applyFill="1" applyBorder="1" applyAlignment="1">
      <alignment horizontal="center" vertical="center"/>
    </xf>
    <xf numFmtId="165" fontId="10" fillId="3" borderId="19" xfId="0" applyNumberFormat="1" applyFont="1" applyFill="1" applyBorder="1" applyAlignment="1">
      <alignment horizontal="center" vertical="center"/>
    </xf>
    <xf numFmtId="165" fontId="10" fillId="3" borderId="0" xfId="0" applyNumberFormat="1" applyFont="1" applyFill="1" applyBorder="1" applyAlignment="1">
      <alignment horizontal="center" vertical="center"/>
    </xf>
    <xf numFmtId="49" fontId="10" fillId="3" borderId="0" xfId="0" applyNumberFormat="1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6" fillId="0" borderId="1" xfId="0" applyFont="1" applyFill="1" applyBorder="1" applyAlignment="1">
      <alignment horizontal="left" vertical="center" wrapText="1" indent="1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horizontal="center" vertical="center"/>
    </xf>
    <xf numFmtId="0" fontId="10" fillId="0" borderId="1" xfId="0" quotePrefix="1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left" vertical="center" indent="1"/>
    </xf>
    <xf numFmtId="0" fontId="5" fillId="0" borderId="0" xfId="0" applyNumberFormat="1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vertical="center" wrapText="1"/>
    </xf>
    <xf numFmtId="2" fontId="51" fillId="0" borderId="1" xfId="0" applyNumberFormat="1" applyFont="1" applyFill="1" applyBorder="1" applyAlignment="1">
      <alignment horizontal="center" vertical="center"/>
    </xf>
    <xf numFmtId="2" fontId="51" fillId="0" borderId="3" xfId="0" applyNumberFormat="1" applyFont="1" applyFill="1" applyBorder="1" applyAlignment="1">
      <alignment horizontal="center" vertical="center"/>
    </xf>
    <xf numFmtId="2" fontId="51" fillId="0" borderId="0" xfId="0" applyNumberFormat="1" applyFont="1" applyFill="1" applyBorder="1" applyAlignment="1">
      <alignment horizontal="center" vertical="center"/>
    </xf>
    <xf numFmtId="2" fontId="51" fillId="0" borderId="8" xfId="0" applyNumberFormat="1" applyFont="1" applyFill="1" applyBorder="1" applyAlignment="1">
      <alignment horizontal="center" vertical="center"/>
    </xf>
    <xf numFmtId="0" fontId="10" fillId="0" borderId="27" xfId="0" quotePrefix="1" applyFont="1" applyBorder="1" applyAlignment="1">
      <alignment vertical="center"/>
    </xf>
    <xf numFmtId="0" fontId="26" fillId="0" borderId="14" xfId="0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wrapText="1"/>
    </xf>
    <xf numFmtId="0" fontId="34" fillId="0" borderId="0" xfId="0" applyFont="1" applyBorder="1" applyAlignment="1">
      <alignment horizontal="center" vertical="center" wrapText="1"/>
    </xf>
    <xf numFmtId="0" fontId="26" fillId="0" borderId="12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/>
    </xf>
    <xf numFmtId="0" fontId="26" fillId="0" borderId="8" xfId="0" applyNumberFormat="1" applyFont="1" applyFill="1" applyBorder="1" applyAlignment="1">
      <alignment horizontal="center" vertical="center"/>
    </xf>
    <xf numFmtId="0" fontId="26" fillId="0" borderId="3" xfId="0" applyNumberFormat="1" applyFont="1" applyFill="1" applyBorder="1" applyAlignment="1">
      <alignment horizontal="center" vertical="center"/>
    </xf>
    <xf numFmtId="0" fontId="16" fillId="0" borderId="12" xfId="0" applyNumberFormat="1" applyFont="1" applyFill="1" applyBorder="1" applyAlignment="1">
      <alignment horizontal="center" vertic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 applyProtection="1">
      <alignment vertical="center"/>
    </xf>
    <xf numFmtId="164" fontId="14" fillId="0" borderId="0" xfId="0" applyNumberFormat="1" applyFont="1" applyFill="1" applyBorder="1" applyAlignment="1" applyProtection="1">
      <alignment vertical="center"/>
    </xf>
    <xf numFmtId="0" fontId="35" fillId="0" borderId="0" xfId="0" applyFont="1" applyBorder="1" applyAlignment="1">
      <alignment vertical="center" wrapText="1"/>
    </xf>
    <xf numFmtId="0" fontId="16" fillId="0" borderId="4" xfId="0" applyNumberFormat="1" applyFont="1" applyFill="1" applyBorder="1" applyAlignment="1">
      <alignment horizontal="center" vertical="center" wrapText="1"/>
    </xf>
    <xf numFmtId="0" fontId="15" fillId="0" borderId="17" xfId="0" applyNumberFormat="1" applyFont="1" applyFill="1" applyBorder="1" applyAlignment="1">
      <alignment horizontal="left"/>
    </xf>
    <xf numFmtId="0" fontId="52" fillId="12" borderId="1" xfId="0" applyNumberFormat="1" applyFont="1" applyFill="1" applyBorder="1" applyAlignment="1">
      <alignment horizontal="center" vertical="center"/>
    </xf>
    <xf numFmtId="0" fontId="15" fillId="0" borderId="9" xfId="0" applyNumberFormat="1" applyFont="1" applyFill="1" applyBorder="1" applyAlignment="1">
      <alignment horizontal="left"/>
    </xf>
    <xf numFmtId="0" fontId="16" fillId="0" borderId="2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26" fillId="0" borderId="3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2" fontId="10" fillId="0" borderId="0" xfId="0" applyNumberFormat="1" applyFont="1"/>
    <xf numFmtId="0" fontId="21" fillId="0" borderId="1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5" fillId="7" borderId="17" xfId="0" applyNumberFormat="1" applyFont="1" applyFill="1" applyBorder="1" applyAlignment="1">
      <alignment horizontal="left"/>
    </xf>
    <xf numFmtId="0" fontId="10" fillId="0" borderId="7" xfId="0" applyFont="1" applyBorder="1"/>
    <xf numFmtId="0" fontId="10" fillId="0" borderId="9" xfId="0" applyFont="1" applyBorder="1"/>
    <xf numFmtId="0" fontId="10" fillId="0" borderId="2" xfId="0" applyNumberFormat="1" applyFont="1" applyBorder="1"/>
    <xf numFmtId="0" fontId="10" fillId="0" borderId="4" xfId="0" applyNumberFormat="1" applyFont="1" applyBorder="1"/>
    <xf numFmtId="0" fontId="2" fillId="0" borderId="27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vertical="center" wrapText="1"/>
    </xf>
    <xf numFmtId="0" fontId="1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38" fillId="3" borderId="23" xfId="0" applyFont="1" applyFill="1" applyBorder="1" applyAlignment="1">
      <alignment horizontal="center" vertical="center"/>
    </xf>
    <xf numFmtId="0" fontId="38" fillId="0" borderId="23" xfId="0" applyFont="1" applyFill="1" applyBorder="1" applyAlignment="1">
      <alignment horizontal="center" vertical="center"/>
    </xf>
    <xf numFmtId="0" fontId="36" fillId="0" borderId="1" xfId="0" applyFont="1" applyFill="1" applyBorder="1" applyAlignment="1" applyProtection="1">
      <alignment horizontal="center" vertical="center"/>
    </xf>
    <xf numFmtId="0" fontId="16" fillId="0" borderId="12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7" fillId="0" borderId="49" xfId="0" applyFont="1" applyBorder="1" applyAlignment="1">
      <alignment horizontal="left" vertical="top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16" fillId="0" borderId="12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/>
    <xf numFmtId="49" fontId="0" fillId="0" borderId="0" xfId="0" applyNumberFormat="1" applyAlignment="1">
      <alignment horizontal="left" vertical="center" indent="1"/>
    </xf>
    <xf numFmtId="0" fontId="0" fillId="0" borderId="0" xfId="0" applyFill="1" applyAlignment="1">
      <alignment horizontal="left" vertical="center" inden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50" xfId="0" applyFont="1" applyBorder="1" applyAlignment="1">
      <alignment vertical="center"/>
    </xf>
    <xf numFmtId="0" fontId="2" fillId="0" borderId="12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left" vertical="center" wrapText="1"/>
    </xf>
    <xf numFmtId="164" fontId="0" fillId="0" borderId="12" xfId="0" applyNumberFormat="1" applyBorder="1" applyAlignment="1" applyProtection="1">
      <alignment horizontal="center" vertical="center"/>
      <protection locked="0"/>
    </xf>
    <xf numFmtId="164" fontId="0" fillId="0" borderId="13" xfId="0" applyNumberFormat="1" applyBorder="1" applyAlignment="1" applyProtection="1">
      <alignment horizontal="center" vertical="center"/>
      <protection locked="0"/>
    </xf>
    <xf numFmtId="49" fontId="0" fillId="0" borderId="14" xfId="0" applyNumberFormat="1" applyBorder="1" applyAlignment="1" applyProtection="1">
      <alignment horizontal="left" vertical="center" indent="1"/>
      <protection locked="0"/>
    </xf>
    <xf numFmtId="0" fontId="3" fillId="0" borderId="13" xfId="0" applyFont="1" applyFill="1" applyBorder="1" applyAlignment="1" applyProtection="1">
      <alignment horizontal="center" vertical="center"/>
    </xf>
    <xf numFmtId="0" fontId="38" fillId="3" borderId="0" xfId="0" applyNumberFormat="1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vertical="center"/>
    </xf>
    <xf numFmtId="0" fontId="26" fillId="13" borderId="1" xfId="0" applyNumberFormat="1" applyFont="1" applyFill="1" applyBorder="1" applyAlignment="1">
      <alignment horizontal="center" vertical="center"/>
    </xf>
    <xf numFmtId="2" fontId="51" fillId="13" borderId="1" xfId="0" applyNumberFormat="1" applyFont="1" applyFill="1" applyBorder="1" applyAlignment="1">
      <alignment horizontal="center" vertical="center"/>
    </xf>
    <xf numFmtId="0" fontId="26" fillId="13" borderId="12" xfId="0" applyNumberFormat="1" applyFont="1" applyFill="1" applyBorder="1" applyAlignment="1">
      <alignment horizontal="center" vertical="center"/>
    </xf>
    <xf numFmtId="0" fontId="10" fillId="13" borderId="0" xfId="0" applyFont="1" applyFill="1"/>
    <xf numFmtId="0" fontId="10" fillId="13" borderId="27" xfId="0" applyFont="1" applyFill="1" applyBorder="1" applyAlignment="1">
      <alignment vertical="center"/>
    </xf>
    <xf numFmtId="2" fontId="10" fillId="13" borderId="0" xfId="0" applyNumberFormat="1" applyFont="1" applyFill="1"/>
    <xf numFmtId="0" fontId="26" fillId="13" borderId="5" xfId="0" applyNumberFormat="1" applyFont="1" applyFill="1" applyBorder="1" applyAlignment="1">
      <alignment horizontal="center" vertical="center"/>
    </xf>
    <xf numFmtId="2" fontId="51" fillId="13" borderId="0" xfId="0" applyNumberFormat="1" applyFont="1" applyFill="1" applyBorder="1" applyAlignment="1">
      <alignment horizontal="center" vertical="center"/>
    </xf>
    <xf numFmtId="0" fontId="26" fillId="13" borderId="0" xfId="0" applyNumberFormat="1" applyFont="1" applyFill="1" applyBorder="1" applyAlignment="1">
      <alignment horizontal="center" vertical="center"/>
    </xf>
    <xf numFmtId="2" fontId="51" fillId="14" borderId="1" xfId="0" applyNumberFormat="1" applyFont="1" applyFill="1" applyBorder="1" applyAlignment="1">
      <alignment horizontal="center" vertical="center"/>
    </xf>
    <xf numFmtId="2" fontId="51" fillId="13" borderId="3" xfId="0" applyNumberFormat="1" applyFont="1" applyFill="1" applyBorder="1" applyAlignment="1">
      <alignment horizontal="center" vertical="center"/>
    </xf>
    <xf numFmtId="0" fontId="3" fillId="9" borderId="1" xfId="0" applyNumberFormat="1" applyFont="1" applyFill="1" applyBorder="1" applyAlignment="1" applyProtection="1">
      <alignment horizontal="center" vertical="center"/>
    </xf>
    <xf numFmtId="0" fontId="2" fillId="9" borderId="1" xfId="0" applyFont="1" applyFill="1" applyBorder="1" applyAlignment="1" applyProtection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6" fillId="13" borderId="14" xfId="0" applyNumberFormat="1" applyFont="1" applyFill="1" applyBorder="1" applyAlignment="1">
      <alignment horizontal="center" vertical="center" wrapText="1"/>
    </xf>
    <xf numFmtId="0" fontId="26" fillId="13" borderId="0" xfId="0" applyNumberFormat="1" applyFont="1" applyFill="1" applyBorder="1" applyAlignment="1">
      <alignment horizontal="center" vertical="center" wrapText="1"/>
    </xf>
    <xf numFmtId="0" fontId="10" fillId="15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21" fillId="0" borderId="2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center" vertical="center"/>
    </xf>
    <xf numFmtId="0" fontId="10" fillId="15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2" xfId="0" applyNumberFormat="1" applyFont="1" applyBorder="1" applyAlignment="1">
      <alignment horizontal="center" vertical="center"/>
    </xf>
    <xf numFmtId="0" fontId="10" fillId="15" borderId="12" xfId="0" applyFont="1" applyFill="1" applyBorder="1" applyAlignment="1">
      <alignment horizontal="center" vertical="center"/>
    </xf>
    <xf numFmtId="0" fontId="10" fillId="15" borderId="12" xfId="0" applyNumberFormat="1" applyFont="1" applyFill="1" applyBorder="1" applyAlignment="1">
      <alignment horizontal="center" vertical="center"/>
    </xf>
    <xf numFmtId="0" fontId="10" fillId="15" borderId="20" xfId="0" applyNumberFormat="1" applyFont="1" applyFill="1" applyBorder="1" applyAlignment="1">
      <alignment horizontal="center" vertical="center"/>
    </xf>
    <xf numFmtId="0" fontId="10" fillId="0" borderId="20" xfId="0" applyNumberFormat="1" applyFont="1" applyBorder="1" applyAlignment="1">
      <alignment horizontal="center" vertical="center"/>
    </xf>
    <xf numFmtId="0" fontId="10" fillId="15" borderId="2" xfId="0" applyFont="1" applyFill="1" applyBorder="1" applyAlignment="1">
      <alignment horizontal="left" vertical="center" indent="1"/>
    </xf>
    <xf numFmtId="0" fontId="10" fillId="0" borderId="2" xfId="0" applyFont="1" applyBorder="1" applyAlignment="1">
      <alignment horizontal="left" vertical="center" indent="1"/>
    </xf>
    <xf numFmtId="0" fontId="10" fillId="15" borderId="12" xfId="0" applyFont="1" applyFill="1" applyBorder="1" applyAlignment="1">
      <alignment horizontal="left" vertical="center" indent="1"/>
    </xf>
    <xf numFmtId="0" fontId="10" fillId="0" borderId="12" xfId="0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left" vertical="top" wrapText="1"/>
    </xf>
    <xf numFmtId="0" fontId="37" fillId="0" borderId="16" xfId="0" applyFont="1" applyBorder="1" applyAlignment="1">
      <alignment horizontal="left" vertical="top" wrapText="1"/>
    </xf>
    <xf numFmtId="0" fontId="37" fillId="0" borderId="15" xfId="0" applyFont="1" applyBorder="1" applyAlignment="1">
      <alignment horizontal="left" vertical="top" wrapText="1"/>
    </xf>
    <xf numFmtId="0" fontId="34" fillId="0" borderId="27" xfId="0" applyFont="1" applyBorder="1" applyAlignment="1">
      <alignment horizontal="center" vertical="center" textRotation="90" wrapText="1"/>
    </xf>
    <xf numFmtId="0" fontId="34" fillId="0" borderId="48" xfId="0" applyFont="1" applyBorder="1" applyAlignment="1">
      <alignment horizontal="center" vertical="center" textRotation="90" wrapText="1"/>
    </xf>
    <xf numFmtId="0" fontId="35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top" wrapText="1"/>
    </xf>
    <xf numFmtId="0" fontId="35" fillId="0" borderId="1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textRotation="90" wrapText="1"/>
    </xf>
    <xf numFmtId="0" fontId="34" fillId="3" borderId="0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5" fillId="0" borderId="18" xfId="0" applyNumberFormat="1" applyFont="1" applyFill="1" applyBorder="1" applyAlignment="1" applyProtection="1">
      <alignment horizontal="left" vertical="center" indent="1"/>
      <protection locked="0"/>
    </xf>
    <xf numFmtId="0" fontId="25" fillId="0" borderId="16" xfId="0" applyNumberFormat="1" applyFont="1" applyFill="1" applyBorder="1" applyAlignment="1" applyProtection="1">
      <alignment horizontal="left" vertical="center" indent="1"/>
      <protection locked="0"/>
    </xf>
    <xf numFmtId="0" fontId="25" fillId="0" borderId="15" xfId="0" applyNumberFormat="1" applyFont="1" applyFill="1" applyBorder="1" applyAlignment="1" applyProtection="1">
      <alignment horizontal="left" vertical="center" indent="1"/>
      <protection locked="0"/>
    </xf>
    <xf numFmtId="0" fontId="26" fillId="0" borderId="18" xfId="0" applyNumberFormat="1" applyFont="1" applyFill="1" applyBorder="1" applyAlignment="1" applyProtection="1">
      <alignment horizontal="left" vertical="center" indent="1"/>
      <protection locked="0"/>
    </xf>
    <xf numFmtId="0" fontId="26" fillId="0" borderId="16" xfId="0" applyNumberFormat="1" applyFont="1" applyFill="1" applyBorder="1" applyAlignment="1" applyProtection="1">
      <alignment horizontal="left" vertical="center" indent="1"/>
      <protection locked="0"/>
    </xf>
    <xf numFmtId="0" fontId="26" fillId="0" borderId="15" xfId="0" applyNumberFormat="1" applyFont="1" applyFill="1" applyBorder="1" applyAlignment="1" applyProtection="1">
      <alignment horizontal="left" vertical="center" indent="1"/>
      <protection locked="0"/>
    </xf>
    <xf numFmtId="49" fontId="6" fillId="0" borderId="18" xfId="0" applyNumberFormat="1" applyFont="1" applyFill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5" xfId="0" applyNumberFormat="1" applyFont="1" applyFill="1" applyBorder="1" applyAlignment="1">
      <alignment horizontal="center" vertical="center" wrapText="1"/>
    </xf>
    <xf numFmtId="49" fontId="15" fillId="8" borderId="11" xfId="0" applyNumberFormat="1" applyFont="1" applyFill="1" applyBorder="1" applyAlignment="1">
      <alignment horizontal="center" vertical="center"/>
    </xf>
    <xf numFmtId="49" fontId="26" fillId="0" borderId="18" xfId="0" applyNumberFormat="1" applyFont="1" applyFill="1" applyBorder="1" applyAlignment="1" applyProtection="1">
      <alignment horizontal="left" vertical="center" indent="1"/>
      <protection locked="0"/>
    </xf>
    <xf numFmtId="49" fontId="26" fillId="0" borderId="16" xfId="0" applyNumberFormat="1" applyFont="1" applyFill="1" applyBorder="1" applyAlignment="1" applyProtection="1">
      <alignment horizontal="left" vertical="center" indent="1"/>
      <protection locked="0"/>
    </xf>
    <xf numFmtId="49" fontId="26" fillId="0" borderId="15" xfId="0" applyNumberFormat="1" applyFont="1" applyFill="1" applyBorder="1" applyAlignment="1" applyProtection="1">
      <alignment horizontal="left" vertical="center" indent="1"/>
      <protection locked="0"/>
    </xf>
    <xf numFmtId="0" fontId="57" fillId="0" borderId="59" xfId="0" applyFont="1" applyBorder="1" applyAlignment="1">
      <alignment horizontal="center" vertical="center"/>
    </xf>
    <xf numFmtId="0" fontId="57" fillId="0" borderId="60" xfId="0" applyFont="1" applyBorder="1" applyAlignment="1">
      <alignment horizontal="center" vertical="center"/>
    </xf>
    <xf numFmtId="0" fontId="57" fillId="0" borderId="61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56" fillId="0" borderId="52" xfId="0" applyFont="1" applyBorder="1" applyAlignment="1">
      <alignment horizontal="center" vertical="center"/>
    </xf>
    <xf numFmtId="0" fontId="56" fillId="0" borderId="53" xfId="0" applyFont="1" applyBorder="1" applyAlignment="1">
      <alignment horizontal="center" vertical="center"/>
    </xf>
    <xf numFmtId="0" fontId="56" fillId="0" borderId="54" xfId="0" applyFont="1" applyBorder="1" applyAlignment="1">
      <alignment horizontal="center" vertical="center"/>
    </xf>
    <xf numFmtId="0" fontId="56" fillId="0" borderId="55" xfId="0" applyFont="1" applyBorder="1" applyAlignment="1">
      <alignment horizontal="center" vertical="center"/>
    </xf>
    <xf numFmtId="0" fontId="56" fillId="0" borderId="56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 wrapText="1"/>
    </xf>
    <xf numFmtId="0" fontId="55" fillId="0" borderId="57" xfId="0" applyFont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 wrapText="1"/>
    </xf>
    <xf numFmtId="0" fontId="55" fillId="0" borderId="53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54" xfId="0" applyFont="1" applyBorder="1" applyAlignment="1">
      <alignment horizontal="center" vertical="center" wrapText="1"/>
    </xf>
    <xf numFmtId="0" fontId="55" fillId="0" borderId="55" xfId="0" applyFont="1" applyBorder="1" applyAlignment="1">
      <alignment horizontal="center" vertical="center" wrapText="1"/>
    </xf>
    <xf numFmtId="0" fontId="55" fillId="0" borderId="58" xfId="0" applyFont="1" applyBorder="1" applyAlignment="1">
      <alignment horizontal="center" vertical="center" wrapText="1"/>
    </xf>
    <xf numFmtId="0" fontId="55" fillId="0" borderId="5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6" fillId="9" borderId="0" xfId="0" applyNumberFormat="1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center" vertical="center" wrapText="1"/>
    </xf>
    <xf numFmtId="0" fontId="14" fillId="7" borderId="4" xfId="0" applyNumberFormat="1" applyFont="1" applyFill="1" applyBorder="1" applyAlignment="1">
      <alignment horizontal="center" vertical="center" wrapText="1"/>
    </xf>
    <xf numFmtId="0" fontId="53" fillId="7" borderId="2" xfId="0" applyNumberFormat="1" applyFont="1" applyFill="1" applyBorder="1" applyAlignment="1">
      <alignment horizontal="right" vertical="top" wrapText="1"/>
    </xf>
    <xf numFmtId="0" fontId="53" fillId="7" borderId="4" xfId="0" applyNumberFormat="1" applyFont="1" applyFill="1" applyBorder="1" applyAlignment="1">
      <alignment horizontal="right" vertical="top" wrapText="1"/>
    </xf>
    <xf numFmtId="0" fontId="21" fillId="0" borderId="2" xfId="0" applyNumberFormat="1" applyFont="1" applyFill="1" applyBorder="1" applyAlignment="1">
      <alignment horizontal="center" vertical="top" wrapText="1"/>
    </xf>
    <xf numFmtId="0" fontId="21" fillId="0" borderId="4" xfId="0" applyNumberFormat="1" applyFont="1" applyFill="1" applyBorder="1" applyAlignment="1">
      <alignment horizontal="center" vertical="top" wrapText="1"/>
    </xf>
    <xf numFmtId="0" fontId="26" fillId="0" borderId="12" xfId="0" applyNumberFormat="1" applyFont="1" applyFill="1" applyBorder="1" applyAlignment="1">
      <alignment horizontal="center" vertical="center" wrapText="1"/>
    </xf>
    <xf numFmtId="0" fontId="26" fillId="0" borderId="13" xfId="0" applyNumberFormat="1" applyFont="1" applyFill="1" applyBorder="1" applyAlignment="1">
      <alignment horizontal="center" vertical="center" wrapText="1"/>
    </xf>
    <xf numFmtId="0" fontId="26" fillId="0" borderId="14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 indent="1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left" vertical="center" wrapText="1" indent="1"/>
    </xf>
    <xf numFmtId="0" fontId="15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 indent="1"/>
    </xf>
    <xf numFmtId="0" fontId="26" fillId="13" borderId="1" xfId="0" applyNumberFormat="1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6" fillId="0" borderId="3" xfId="0" applyNumberFormat="1" applyFont="1" applyFill="1" applyBorder="1" applyAlignment="1">
      <alignment horizontal="center" vertical="center" wrapText="1"/>
    </xf>
    <xf numFmtId="0" fontId="26" fillId="13" borderId="12" xfId="0" applyNumberFormat="1" applyFont="1" applyFill="1" applyBorder="1" applyAlignment="1">
      <alignment horizontal="center" vertical="center" wrapText="1"/>
    </xf>
    <xf numFmtId="0" fontId="26" fillId="13" borderId="13" xfId="0" applyNumberFormat="1" applyFont="1" applyFill="1" applyBorder="1" applyAlignment="1">
      <alignment horizontal="center" vertical="center" wrapText="1"/>
    </xf>
    <xf numFmtId="0" fontId="26" fillId="13" borderId="14" xfId="0" applyNumberFormat="1" applyFont="1" applyFill="1" applyBorder="1" applyAlignment="1">
      <alignment horizontal="center" vertical="center" wrapText="1"/>
    </xf>
    <xf numFmtId="2" fontId="26" fillId="0" borderId="20" xfId="0" applyNumberFormat="1" applyFont="1" applyFill="1" applyBorder="1" applyAlignment="1">
      <alignment horizontal="center" vertical="center" wrapText="1"/>
    </xf>
    <xf numFmtId="2" fontId="26" fillId="0" borderId="17" xfId="0" applyNumberFormat="1" applyFont="1" applyFill="1" applyBorder="1" applyAlignment="1">
      <alignment horizontal="center" vertical="center" wrapText="1"/>
    </xf>
    <xf numFmtId="2" fontId="15" fillId="0" borderId="20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0" fontId="28" fillId="0" borderId="20" xfId="0" applyNumberFormat="1" applyFont="1" applyFill="1" applyBorder="1" applyAlignment="1">
      <alignment horizontal="center" vertical="center"/>
    </xf>
    <xf numFmtId="0" fontId="28" fillId="0" borderId="17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left" vertical="center" indent="1"/>
    </xf>
    <xf numFmtId="0" fontId="26" fillId="0" borderId="4" xfId="0" applyNumberFormat="1" applyFont="1" applyFill="1" applyBorder="1" applyAlignment="1">
      <alignment horizontal="left" vertical="center" indent="1"/>
    </xf>
    <xf numFmtId="0" fontId="26" fillId="0" borderId="5" xfId="0" applyNumberFormat="1" applyFont="1" applyFill="1" applyBorder="1" applyAlignment="1">
      <alignment horizontal="left" vertical="center" indent="1"/>
    </xf>
    <xf numFmtId="0" fontId="26" fillId="0" borderId="6" xfId="0" applyNumberFormat="1" applyFont="1" applyFill="1" applyBorder="1" applyAlignment="1">
      <alignment horizontal="left" vertical="center" indent="1"/>
    </xf>
    <xf numFmtId="164" fontId="15" fillId="0" borderId="20" xfId="0" applyNumberFormat="1" applyFont="1" applyFill="1" applyBorder="1" applyAlignment="1">
      <alignment horizontal="center" vertical="center"/>
    </xf>
    <xf numFmtId="164" fontId="15" fillId="0" borderId="17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center" vertic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26" fillId="0" borderId="9" xfId="0" applyNumberFormat="1" applyFont="1" applyFill="1" applyBorder="1" applyAlignment="1">
      <alignment horizontal="center" vertical="center" wrapText="1"/>
    </xf>
    <xf numFmtId="0" fontId="26" fillId="0" borderId="4" xfId="0" applyNumberFormat="1" applyFont="1" applyFill="1" applyBorder="1" applyAlignment="1">
      <alignment horizontal="center" vertical="center" wrapText="1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14" xfId="0" applyNumberFormat="1" applyFont="1" applyFill="1" applyBorder="1" applyAlignment="1">
      <alignment horizontal="center" vertical="center" wrapText="1"/>
    </xf>
    <xf numFmtId="0" fontId="16" fillId="0" borderId="12" xfId="0" applyNumberFormat="1" applyFont="1" applyFill="1" applyBorder="1" applyAlignment="1">
      <alignment horizontal="center" vertic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0" fontId="16" fillId="0" borderId="14" xfId="0" applyNumberFormat="1" applyFont="1" applyFill="1" applyBorder="1" applyAlignment="1">
      <alignment horizontal="center" vertical="center" wrapText="1"/>
    </xf>
    <xf numFmtId="0" fontId="16" fillId="0" borderId="12" xfId="0" applyNumberFormat="1" applyFont="1" applyFill="1" applyBorder="1" applyAlignment="1">
      <alignment horizontal="center" wrapText="1"/>
    </xf>
    <xf numFmtId="0" fontId="16" fillId="0" borderId="13" xfId="0" applyNumberFormat="1" applyFont="1" applyFill="1" applyBorder="1" applyAlignment="1">
      <alignment horizontal="center" wrapText="1"/>
    </xf>
    <xf numFmtId="0" fontId="16" fillId="0" borderId="14" xfId="0" applyNumberFormat="1" applyFont="1" applyFill="1" applyBorder="1" applyAlignment="1">
      <alignment horizontal="center" wrapText="1"/>
    </xf>
    <xf numFmtId="0" fontId="15" fillId="0" borderId="12" xfId="0" applyNumberFormat="1" applyFont="1" applyFill="1" applyBorder="1" applyAlignment="1">
      <alignment horizontal="center" vertical="center" wrapText="1"/>
    </xf>
    <xf numFmtId="0" fontId="15" fillId="0" borderId="13" xfId="0" applyNumberFormat="1" applyFont="1" applyFill="1" applyBorder="1" applyAlignment="1">
      <alignment horizontal="center" vertical="center" wrapText="1"/>
    </xf>
    <xf numFmtId="0" fontId="15" fillId="0" borderId="14" xfId="0" applyNumberFormat="1" applyFont="1" applyFill="1" applyBorder="1" applyAlignment="1">
      <alignment horizontal="center" vertical="center" wrapText="1"/>
    </xf>
    <xf numFmtId="0" fontId="26" fillId="13" borderId="0" xfId="0" applyNumberFormat="1" applyFont="1" applyFill="1" applyBorder="1" applyAlignment="1">
      <alignment horizontal="center" vertical="center" wrapText="1"/>
    </xf>
    <xf numFmtId="0" fontId="26" fillId="13" borderId="6" xfId="0" applyNumberFormat="1" applyFont="1" applyFill="1" applyBorder="1" applyAlignment="1">
      <alignment horizontal="center" vertical="center" wrapText="1"/>
    </xf>
    <xf numFmtId="2" fontId="44" fillId="0" borderId="5" xfId="0" applyNumberFormat="1" applyFont="1" applyFill="1" applyBorder="1" applyAlignment="1">
      <alignment horizontal="center" vertical="center" wrapText="1"/>
    </xf>
    <xf numFmtId="2" fontId="44" fillId="0" borderId="0" xfId="0" applyNumberFormat="1" applyFont="1" applyFill="1" applyBorder="1" applyAlignment="1">
      <alignment horizontal="center" vertical="center"/>
    </xf>
    <xf numFmtId="2" fontId="44" fillId="0" borderId="6" xfId="0" applyNumberFormat="1" applyFont="1" applyFill="1" applyBorder="1" applyAlignment="1">
      <alignment horizontal="center" vertical="center"/>
    </xf>
    <xf numFmtId="2" fontId="44" fillId="0" borderId="7" xfId="0" applyNumberFormat="1" applyFont="1" applyFill="1" applyBorder="1" applyAlignment="1">
      <alignment horizontal="center" vertical="center" wrapText="1"/>
    </xf>
    <xf numFmtId="2" fontId="44" fillId="0" borderId="8" xfId="0" applyNumberFormat="1" applyFont="1" applyFill="1" applyBorder="1" applyAlignment="1">
      <alignment horizontal="center" vertical="center"/>
    </xf>
    <xf numFmtId="2" fontId="44" fillId="0" borderId="9" xfId="0" applyNumberFormat="1" applyFont="1" applyFill="1" applyBorder="1" applyAlignment="1">
      <alignment horizontal="center" vertical="center"/>
    </xf>
    <xf numFmtId="2" fontId="40" fillId="0" borderId="20" xfId="0" applyNumberFormat="1" applyFont="1" applyFill="1" applyBorder="1" applyAlignment="1">
      <alignment horizontal="center" vertical="center"/>
    </xf>
    <xf numFmtId="2" fontId="40" fillId="0" borderId="17" xfId="0" applyNumberFormat="1" applyFont="1" applyFill="1" applyBorder="1" applyAlignment="1">
      <alignment horizontal="center" vertical="center"/>
    </xf>
    <xf numFmtId="2" fontId="6" fillId="0" borderId="17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right" wrapText="1"/>
    </xf>
    <xf numFmtId="2" fontId="40" fillId="0" borderId="20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right" vertical="center" wrapText="1"/>
    </xf>
    <xf numFmtId="0" fontId="5" fillId="0" borderId="39" xfId="0" applyFont="1" applyFill="1" applyBorder="1" applyAlignment="1">
      <alignment horizontal="right" wrapText="1"/>
    </xf>
    <xf numFmtId="0" fontId="28" fillId="0" borderId="40" xfId="0" applyFont="1" applyFill="1" applyBorder="1" applyAlignment="1">
      <alignment horizontal="right" vertical="center" wrapText="1"/>
    </xf>
    <xf numFmtId="2" fontId="44" fillId="0" borderId="2" xfId="0" applyNumberFormat="1" applyFont="1" applyFill="1" applyBorder="1" applyAlignment="1">
      <alignment horizontal="center" vertical="center" wrapText="1"/>
    </xf>
    <xf numFmtId="2" fontId="44" fillId="0" borderId="3" xfId="0" applyNumberFormat="1" applyFont="1" applyFill="1" applyBorder="1" applyAlignment="1">
      <alignment horizontal="center" vertical="center"/>
    </xf>
    <xf numFmtId="2" fontId="44" fillId="0" borderId="4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right" vertical="center" wrapText="1"/>
    </xf>
    <xf numFmtId="2" fontId="40" fillId="8" borderId="20" xfId="0" applyNumberFormat="1" applyFont="1" applyFill="1" applyBorder="1" applyAlignment="1">
      <alignment horizontal="center" vertical="center"/>
    </xf>
    <xf numFmtId="2" fontId="40" fillId="8" borderId="17" xfId="0" applyNumberFormat="1" applyFont="1" applyFill="1" applyBorder="1" applyAlignment="1">
      <alignment horizontal="center" vertical="center"/>
    </xf>
    <xf numFmtId="2" fontId="6" fillId="8" borderId="17" xfId="0" applyNumberFormat="1" applyFont="1" applyFill="1" applyBorder="1" applyAlignment="1">
      <alignment horizontal="center" vertical="center"/>
    </xf>
    <xf numFmtId="0" fontId="41" fillId="8" borderId="20" xfId="0" applyFont="1" applyFill="1" applyBorder="1" applyAlignment="1">
      <alignment horizontal="right" wrapText="1"/>
    </xf>
    <xf numFmtId="2" fontId="40" fillId="8" borderId="20" xfId="0" applyNumberFormat="1" applyFont="1" applyFill="1" applyBorder="1" applyAlignment="1">
      <alignment horizontal="center" vertical="center" wrapText="1"/>
    </xf>
    <xf numFmtId="2" fontId="6" fillId="8" borderId="17" xfId="0" applyNumberFormat="1" applyFont="1" applyFill="1" applyBorder="1" applyAlignment="1">
      <alignment horizontal="center" vertical="center" wrapText="1"/>
    </xf>
    <xf numFmtId="0" fontId="41" fillId="8" borderId="17" xfId="0" applyFont="1" applyFill="1" applyBorder="1" applyAlignment="1">
      <alignment horizontal="right" vertical="center" wrapText="1"/>
    </xf>
    <xf numFmtId="2" fontId="49" fillId="0" borderId="20" xfId="0" applyNumberFormat="1" applyFont="1" applyFill="1" applyBorder="1" applyAlignment="1">
      <alignment horizontal="center" vertical="center"/>
    </xf>
    <xf numFmtId="2" fontId="49" fillId="0" borderId="20" xfId="0" applyNumberFormat="1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right" wrapText="1"/>
    </xf>
    <xf numFmtId="0" fontId="41" fillId="0" borderId="42" xfId="0" applyFont="1" applyFill="1" applyBorder="1" applyAlignment="1">
      <alignment horizontal="right" vertical="center" wrapText="1"/>
    </xf>
    <xf numFmtId="2" fontId="40" fillId="8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40" fillId="8" borderId="1" xfId="0" applyNumberFormat="1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right" wrapText="1"/>
    </xf>
    <xf numFmtId="2" fontId="40" fillId="0" borderId="5" xfId="0" applyNumberFormat="1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center" vertical="center"/>
    </xf>
    <xf numFmtId="2" fontId="40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right" wrapText="1"/>
    </xf>
    <xf numFmtId="2" fontId="40" fillId="0" borderId="6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right" vertical="center" wrapText="1"/>
    </xf>
    <xf numFmtId="2" fontId="40" fillId="0" borderId="2" xfId="0" applyNumberFormat="1" applyFont="1" applyFill="1" applyBorder="1" applyAlignment="1">
      <alignment horizontal="center" vertical="center"/>
    </xf>
    <xf numFmtId="2" fontId="40" fillId="0" borderId="3" xfId="0" applyNumberFormat="1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right" wrapText="1"/>
    </xf>
    <xf numFmtId="2" fontId="40" fillId="0" borderId="4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right" wrapText="1"/>
    </xf>
    <xf numFmtId="0" fontId="28" fillId="0" borderId="39" xfId="0" applyFont="1" applyFill="1" applyBorder="1" applyAlignment="1">
      <alignment horizontal="right" wrapText="1"/>
    </xf>
    <xf numFmtId="0" fontId="41" fillId="0" borderId="40" xfId="0" applyFont="1" applyFill="1" applyBorder="1" applyAlignment="1">
      <alignment horizontal="right" vertical="center" wrapText="1"/>
    </xf>
    <xf numFmtId="0" fontId="41" fillId="0" borderId="39" xfId="0" applyFont="1" applyFill="1" applyBorder="1" applyAlignment="1">
      <alignment horizontal="right" wrapText="1"/>
    </xf>
    <xf numFmtId="2" fontId="46" fillId="0" borderId="17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right" vertical="top" wrapText="1"/>
    </xf>
    <xf numFmtId="0" fontId="21" fillId="4" borderId="2" xfId="0" applyNumberFormat="1" applyFont="1" applyFill="1" applyBorder="1" applyAlignment="1">
      <alignment horizontal="left" vertical="center" indent="1"/>
    </xf>
    <xf numFmtId="0" fontId="21" fillId="4" borderId="3" xfId="0" applyNumberFormat="1" applyFont="1" applyFill="1" applyBorder="1" applyAlignment="1">
      <alignment horizontal="left" vertical="center" indent="1"/>
    </xf>
    <xf numFmtId="0" fontId="21" fillId="4" borderId="7" xfId="0" applyNumberFormat="1" applyFont="1" applyFill="1" applyBorder="1" applyAlignment="1">
      <alignment horizontal="left" vertical="center" indent="1"/>
    </xf>
    <xf numFmtId="0" fontId="21" fillId="4" borderId="8" xfId="0" applyNumberFormat="1" applyFont="1" applyFill="1" applyBorder="1" applyAlignment="1">
      <alignment horizontal="left" vertical="center" indent="1"/>
    </xf>
    <xf numFmtId="2" fontId="17" fillId="4" borderId="20" xfId="0" applyNumberFormat="1" applyFont="1" applyFill="1" applyBorder="1" applyAlignment="1">
      <alignment horizontal="center" vertical="center" wrapText="1"/>
    </xf>
    <xf numFmtId="2" fontId="17" fillId="4" borderId="17" xfId="0" applyNumberFormat="1" applyFont="1" applyFill="1" applyBorder="1" applyAlignment="1">
      <alignment horizontal="center" vertical="center" wrapText="1"/>
    </xf>
    <xf numFmtId="2" fontId="15" fillId="4" borderId="20" xfId="0" applyNumberFormat="1" applyFont="1" applyFill="1" applyBorder="1" applyAlignment="1">
      <alignment horizontal="center" vertical="center"/>
    </xf>
    <xf numFmtId="2" fontId="15" fillId="4" borderId="17" xfId="0" applyNumberFormat="1" applyFont="1" applyFill="1" applyBorder="1" applyAlignment="1">
      <alignment horizontal="center" vertical="center"/>
    </xf>
    <xf numFmtId="2" fontId="17" fillId="0" borderId="20" xfId="0" applyNumberFormat="1" applyFont="1" applyFill="1" applyBorder="1" applyAlignment="1">
      <alignment horizontal="center" vertical="center" wrapText="1"/>
    </xf>
    <xf numFmtId="2" fontId="17" fillId="0" borderId="17" xfId="0" applyNumberFormat="1" applyFont="1" applyFill="1" applyBorder="1" applyAlignment="1">
      <alignment horizontal="center" vertical="center" wrapText="1"/>
    </xf>
    <xf numFmtId="0" fontId="21" fillId="4" borderId="2" xfId="0" applyNumberFormat="1" applyFont="1" applyFill="1" applyBorder="1" applyAlignment="1">
      <alignment horizontal="left" vertical="center" wrapText="1" indent="1"/>
    </xf>
    <xf numFmtId="0" fontId="21" fillId="4" borderId="4" xfId="0" applyNumberFormat="1" applyFont="1" applyFill="1" applyBorder="1" applyAlignment="1">
      <alignment horizontal="left" vertical="center" wrapText="1" indent="1"/>
    </xf>
    <xf numFmtId="0" fontId="21" fillId="4" borderId="7" xfId="0" applyNumberFormat="1" applyFont="1" applyFill="1" applyBorder="1" applyAlignment="1">
      <alignment horizontal="left" vertical="center" wrapText="1" indent="1"/>
    </xf>
    <xf numFmtId="0" fontId="21" fillId="4" borderId="9" xfId="0" applyNumberFormat="1" applyFont="1" applyFill="1" applyBorder="1" applyAlignment="1">
      <alignment horizontal="left" vertical="center" wrapText="1" indent="1"/>
    </xf>
    <xf numFmtId="164" fontId="15" fillId="4" borderId="20" xfId="0" applyNumberFormat="1" applyFont="1" applyFill="1" applyBorder="1" applyAlignment="1">
      <alignment horizontal="center" vertical="center"/>
    </xf>
    <xf numFmtId="164" fontId="15" fillId="4" borderId="17" xfId="0" applyNumberFormat="1" applyFont="1" applyFill="1" applyBorder="1" applyAlignment="1">
      <alignment horizontal="center" vertical="center"/>
    </xf>
    <xf numFmtId="0" fontId="15" fillId="0" borderId="20" xfId="0" applyNumberFormat="1" applyFont="1" applyFill="1" applyBorder="1" applyAlignment="1">
      <alignment horizontal="center" vertical="center"/>
    </xf>
    <xf numFmtId="0" fontId="15" fillId="0" borderId="17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5" fillId="0" borderId="6" xfId="0" applyNumberFormat="1" applyFont="1" applyFill="1" applyBorder="1" applyAlignment="1">
      <alignment horizontal="center" vertical="center" wrapText="1"/>
    </xf>
    <xf numFmtId="0" fontId="15" fillId="0" borderId="7" xfId="0" applyNumberFormat="1" applyFont="1" applyFill="1" applyBorder="1" applyAlignment="1">
      <alignment horizontal="center" vertical="center" wrapText="1"/>
    </xf>
    <xf numFmtId="0" fontId="15" fillId="0" borderId="9" xfId="0" applyNumberFormat="1" applyFont="1" applyFill="1" applyBorder="1" applyAlignment="1">
      <alignment horizontal="center" vertical="center" wrapText="1"/>
    </xf>
    <xf numFmtId="2" fontId="26" fillId="0" borderId="47" xfId="0" applyNumberFormat="1" applyFont="1" applyFill="1" applyBorder="1" applyAlignment="1">
      <alignment horizontal="center" vertical="center" wrapText="1"/>
    </xf>
    <xf numFmtId="2" fontId="15" fillId="0" borderId="47" xfId="0" applyNumberFormat="1" applyFont="1" applyFill="1" applyBorder="1" applyAlignment="1">
      <alignment horizontal="center" vertical="center"/>
    </xf>
    <xf numFmtId="0" fontId="3" fillId="0" borderId="12" xfId="1" applyFont="1" applyFill="1" applyBorder="1" applyAlignment="1" applyProtection="1">
      <alignment horizontal="center" vertical="center" wrapText="1"/>
    </xf>
    <xf numFmtId="0" fontId="3" fillId="0" borderId="14" xfId="1" applyFont="1" applyFill="1" applyBorder="1" applyAlignment="1" applyProtection="1">
      <alignment horizontal="center" vertical="center" wrapText="1"/>
    </xf>
    <xf numFmtId="165" fontId="47" fillId="0" borderId="12" xfId="1" applyNumberFormat="1" applyBorder="1" applyAlignment="1" applyProtection="1">
      <alignment horizontal="left" vertical="center" indent="1"/>
      <protection locked="0"/>
    </xf>
    <xf numFmtId="165" fontId="47" fillId="0" borderId="14" xfId="1" applyNumberFormat="1" applyBorder="1" applyAlignment="1" applyProtection="1">
      <alignment horizontal="left" vertical="center" indent="1"/>
      <protection locked="0"/>
    </xf>
    <xf numFmtId="164" fontId="47" fillId="0" borderId="12" xfId="1" applyNumberFormat="1" applyBorder="1" applyAlignment="1" applyProtection="1">
      <alignment horizontal="left" vertical="center" indent="1"/>
      <protection locked="0"/>
    </xf>
    <xf numFmtId="164" fontId="47" fillId="0" borderId="14" xfId="1" applyNumberFormat="1" applyBorder="1" applyAlignment="1" applyProtection="1">
      <alignment horizontal="left" vertical="center" indent="1"/>
      <protection locked="0"/>
    </xf>
    <xf numFmtId="0" fontId="30" fillId="0" borderId="3" xfId="1" applyFont="1" applyBorder="1" applyAlignment="1" applyProtection="1">
      <alignment horizontal="center" vertical="center"/>
      <protection locked="0"/>
    </xf>
    <xf numFmtId="164" fontId="0" fillId="0" borderId="12" xfId="0" applyNumberFormat="1" applyBorder="1" applyAlignment="1" applyProtection="1">
      <alignment horizontal="left" vertical="center" indent="1"/>
      <protection locked="0"/>
    </xf>
    <xf numFmtId="164" fontId="0" fillId="0" borderId="14" xfId="0" applyNumberFormat="1" applyBorder="1" applyAlignment="1" applyProtection="1">
      <alignment horizontal="left" vertical="center" indent="1"/>
      <protection locked="0"/>
    </xf>
    <xf numFmtId="0" fontId="30" fillId="0" borderId="3" xfId="0" applyFont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165" fontId="0" fillId="0" borderId="12" xfId="0" applyNumberFormat="1" applyBorder="1" applyAlignment="1" applyProtection="1">
      <alignment horizontal="left" vertical="center" indent="1"/>
      <protection locked="0"/>
    </xf>
    <xf numFmtId="165" fontId="0" fillId="0" borderId="14" xfId="0" applyNumberFormat="1" applyBorder="1" applyAlignment="1" applyProtection="1">
      <alignment horizontal="left" vertical="center" indent="1"/>
      <protection locked="0"/>
    </xf>
    <xf numFmtId="0" fontId="30" fillId="0" borderId="0" xfId="1" applyFont="1" applyBorder="1" applyAlignment="1" applyProtection="1">
      <alignment horizontal="center" vertical="center"/>
      <protection locked="0"/>
    </xf>
    <xf numFmtId="0" fontId="58" fillId="0" borderId="3" xfId="1" applyFont="1" applyBorder="1" applyAlignment="1" applyProtection="1">
      <alignment horizontal="center" vertical="center"/>
      <protection locked="0"/>
    </xf>
  </cellXfs>
  <cellStyles count="2">
    <cellStyle name="Обычный" xfId="0" builtinId="0"/>
    <cellStyle name="Обычный 2" xfId="1"/>
  </cellStyles>
  <dxfs count="268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indexed="64"/>
        </top>
      </border>
    </dxf>
    <dxf>
      <font>
        <b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dott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dotted">
          <color auto="1"/>
        </left>
        <right style="dotted">
          <color auto="1"/>
        </right>
        <top/>
        <bottom/>
        <vertical style="dotted">
          <color auto="1"/>
        </vertical>
        <horizontal/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h:mm;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6" formatCode="h:mm:ss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5" formatCode="h: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top style="thin">
          <color theme="1"/>
        </top>
        <bottom style="thin">
          <color theme="1"/>
        </bottom>
      </border>
    </dxf>
  </dxfs>
  <tableStyles count="4" defaultTableStyle="TableStyleMedium2" defaultPivotStyle="PivotStyleLight16">
    <tableStyle name="TableStyleLight1 2" pivot="0" count="7">
      <tableStyleElement type="wholeTable" dxfId="267"/>
      <tableStyleElement type="headerRow" dxfId="266"/>
      <tableStyleElement type="totalRow" dxfId="265"/>
      <tableStyleElement type="firstColumn" dxfId="264"/>
      <tableStyleElement type="lastColumn" dxfId="263"/>
      <tableStyleElement type="firstRowStripe" dxfId="262"/>
      <tableStyleElement type="firstColumnStripe" dxfId="261"/>
    </tableStyle>
    <tableStyle name="Стиль таблицы 1" pivot="0" count="2">
      <tableStyleElement type="firstRowStripe" dxfId="260"/>
      <tableStyleElement type="secondRowStripe" dxfId="259"/>
    </tableStyle>
    <tableStyle name="тюльпаны" pivot="0" count="4">
      <tableStyleElement type="headerRow" dxfId="258"/>
      <tableStyleElement type="totalRow" dxfId="257"/>
      <tableStyleElement type="firstRowStripe" dxfId="256"/>
      <tableStyleElement type="secondRowStripe" dxfId="255"/>
    </tableStyle>
    <tableStyle name="тюльпаны 2" pivot="0" count="4">
      <tableStyleElement type="headerRow" dxfId="254"/>
      <tableStyleElement type="totalRow" dxfId="253"/>
      <tableStyleElement type="firstRowStripe" dxfId="252"/>
      <tableStyleElement type="secondRowStripe" dxfId="251"/>
    </tableStyle>
  </tableStyles>
  <colors>
    <mruColors>
      <color rgb="FF4CB4AA"/>
      <color rgb="FFFFFF99"/>
      <color rgb="FFFF6600"/>
      <color rgb="FFFF9933"/>
      <color rgb="FFFFFFCC"/>
      <color rgb="FF99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microsoft.com/office/2006/relationships/vbaProject" Target="vbaProject.bin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1.png"/><Relationship Id="rId1" Type="http://schemas.openxmlformats.org/officeDocument/2006/relationships/image" Target="../media/image3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17.png"/><Relationship Id="rId1" Type="http://schemas.openxmlformats.org/officeDocument/2006/relationships/image" Target="../media/image35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5.png"/><Relationship Id="rId4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35.png"/><Relationship Id="rId5" Type="http://schemas.openxmlformats.org/officeDocument/2006/relationships/image" Target="../media/image39.png"/><Relationship Id="rId4" Type="http://schemas.openxmlformats.org/officeDocument/2006/relationships/image" Target="../media/image4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54.png"/><Relationship Id="rId18" Type="http://schemas.openxmlformats.org/officeDocument/2006/relationships/image" Target="../media/image59.jpeg"/><Relationship Id="rId3" Type="http://schemas.openxmlformats.org/officeDocument/2006/relationships/image" Target="../media/image30.png"/><Relationship Id="rId7" Type="http://schemas.openxmlformats.org/officeDocument/2006/relationships/image" Target="../media/image49.png"/><Relationship Id="rId12" Type="http://schemas.openxmlformats.org/officeDocument/2006/relationships/image" Target="../media/image53.png"/><Relationship Id="rId17" Type="http://schemas.openxmlformats.org/officeDocument/2006/relationships/image" Target="../media/image58.png"/><Relationship Id="rId2" Type="http://schemas.openxmlformats.org/officeDocument/2006/relationships/image" Target="../media/image45.png"/><Relationship Id="rId16" Type="http://schemas.openxmlformats.org/officeDocument/2006/relationships/image" Target="../media/image57.jpeg"/><Relationship Id="rId1" Type="http://schemas.openxmlformats.org/officeDocument/2006/relationships/image" Target="../media/image22.png"/><Relationship Id="rId6" Type="http://schemas.openxmlformats.org/officeDocument/2006/relationships/image" Target="../media/image48.png"/><Relationship Id="rId11" Type="http://schemas.openxmlformats.org/officeDocument/2006/relationships/image" Target="../media/image52.jpeg"/><Relationship Id="rId5" Type="http://schemas.openxmlformats.org/officeDocument/2006/relationships/image" Target="../media/image47.pn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19" Type="http://schemas.openxmlformats.org/officeDocument/2006/relationships/image" Target="../media/image60.png"/><Relationship Id="rId4" Type="http://schemas.openxmlformats.org/officeDocument/2006/relationships/image" Target="../media/image46.png"/><Relationship Id="rId9" Type="http://schemas.openxmlformats.org/officeDocument/2006/relationships/image" Target="../media/image50.png"/><Relationship Id="rId14" Type="http://schemas.openxmlformats.org/officeDocument/2006/relationships/image" Target="../media/image55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5.png"/><Relationship Id="rId1" Type="http://schemas.openxmlformats.org/officeDocument/2006/relationships/image" Target="../media/image66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68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70.png"/><Relationship Id="rId1" Type="http://schemas.openxmlformats.org/officeDocument/2006/relationships/image" Target="../media/image69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7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7.png"/><Relationship Id="rId1" Type="http://schemas.openxmlformats.org/officeDocument/2006/relationships/image" Target="../media/image7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7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6.png"/><Relationship Id="rId1" Type="http://schemas.openxmlformats.org/officeDocument/2006/relationships/image" Target="../media/image7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</xdr:row>
          <xdr:rowOff>38100</xdr:rowOff>
        </xdr:from>
        <xdr:to>
          <xdr:col>7</xdr:col>
          <xdr:colOff>466725</xdr:colOff>
          <xdr:row>2</xdr:row>
          <xdr:rowOff>161925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Сформировать протоколы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</xdr:row>
          <xdr:rowOff>28575</xdr:rowOff>
        </xdr:from>
        <xdr:to>
          <xdr:col>7</xdr:col>
          <xdr:colOff>466725</xdr:colOff>
          <xdr:row>4</xdr:row>
          <xdr:rowOff>152400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Проверить протоколы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1</xdr:row>
          <xdr:rowOff>38100</xdr:rowOff>
        </xdr:from>
        <xdr:to>
          <xdr:col>13</xdr:col>
          <xdr:colOff>495300</xdr:colOff>
          <xdr:row>2</xdr:row>
          <xdr:rowOff>161925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Обработать служ. столбец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1</xdr:row>
          <xdr:rowOff>38100</xdr:rowOff>
        </xdr:from>
        <xdr:to>
          <xdr:col>10</xdr:col>
          <xdr:colOff>438150</xdr:colOff>
          <xdr:row>2</xdr:row>
          <xdr:rowOff>161925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техн. легенду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3</xdr:row>
          <xdr:rowOff>28575</xdr:rowOff>
        </xdr:from>
        <xdr:to>
          <xdr:col>10</xdr:col>
          <xdr:colOff>438150</xdr:colOff>
          <xdr:row>4</xdr:row>
          <xdr:rowOff>152400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легенду Pro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5</xdr:row>
          <xdr:rowOff>38100</xdr:rowOff>
        </xdr:from>
        <xdr:to>
          <xdr:col>4</xdr:col>
          <xdr:colOff>666750</xdr:colOff>
          <xdr:row>6</xdr:row>
          <xdr:rowOff>161925</xdr:rowOff>
        </xdr:to>
        <xdr:sp macro="" textlink="">
          <xdr:nvSpPr>
            <xdr:cNvPr id="19462" name="Butto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Изменить расстояние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5</xdr:row>
          <xdr:rowOff>38100</xdr:rowOff>
        </xdr:from>
        <xdr:to>
          <xdr:col>7</xdr:col>
          <xdr:colOff>466725</xdr:colOff>
          <xdr:row>6</xdr:row>
          <xdr:rowOff>161925</xdr:rowOff>
        </xdr:to>
        <xdr:sp macro="" textlink="">
          <xdr:nvSpPr>
            <xdr:cNvPr id="19464" name="Button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Разделить протокол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47625</xdr:colOff>
          <xdr:row>5</xdr:row>
          <xdr:rowOff>57150</xdr:rowOff>
        </xdr:from>
        <xdr:to>
          <xdr:col>10</xdr:col>
          <xdr:colOff>419100</xdr:colOff>
          <xdr:row>6</xdr:row>
          <xdr:rowOff>180975</xdr:rowOff>
        </xdr:to>
        <xdr:sp macro="" textlink="">
          <xdr:nvSpPr>
            <xdr:cNvPr id="19465" name="Button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Показать легенду Light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598715</xdr:colOff>
      <xdr:row>14</xdr:row>
      <xdr:rowOff>27214</xdr:rowOff>
    </xdr:from>
    <xdr:to>
      <xdr:col>9</xdr:col>
      <xdr:colOff>36964</xdr:colOff>
      <xdr:row>31</xdr:row>
      <xdr:rowOff>65314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4014107"/>
          <a:ext cx="4949142" cy="3276600"/>
        </a:xfrm>
        <a:prstGeom prst="rect">
          <a:avLst/>
        </a:prstGeom>
        <a:ln w="47625">
          <a:solidFill>
            <a:srgbClr val="4CB4AA"/>
          </a:solidFill>
        </a:ln>
      </xdr:spPr>
    </xdr:pic>
    <xdr:clientData/>
  </xdr:twoCellAnchor>
  <xdr:twoCellAnchor editAs="oneCell">
    <xdr:from>
      <xdr:col>2</xdr:col>
      <xdr:colOff>394607</xdr:colOff>
      <xdr:row>26</xdr:row>
      <xdr:rowOff>13608</xdr:rowOff>
    </xdr:from>
    <xdr:to>
      <xdr:col>7</xdr:col>
      <xdr:colOff>381006</xdr:colOff>
      <xdr:row>33</xdr:row>
      <xdr:rowOff>158391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6286501"/>
          <a:ext cx="3048006" cy="14782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9</xdr:col>
      <xdr:colOff>72342</xdr:colOff>
      <xdr:row>31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981450"/>
          <a:ext cx="4949142" cy="3276600"/>
        </a:xfrm>
        <a:prstGeom prst="rect">
          <a:avLst/>
        </a:prstGeom>
        <a:ln w="47625">
          <a:solidFill>
            <a:srgbClr val="4CB4AA"/>
          </a:solidFill>
        </a:ln>
      </xdr:spPr>
    </xdr:pic>
    <xdr:clientData/>
  </xdr:twoCellAnchor>
  <xdr:twoCellAnchor editAs="oneCell">
    <xdr:from>
      <xdr:col>2</xdr:col>
      <xdr:colOff>323850</xdr:colOff>
      <xdr:row>26</xdr:row>
      <xdr:rowOff>38100</xdr:rowOff>
    </xdr:from>
    <xdr:to>
      <xdr:col>7</xdr:col>
      <xdr:colOff>323856</xdr:colOff>
      <xdr:row>33</xdr:row>
      <xdr:rowOff>182883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6305550"/>
          <a:ext cx="3048006" cy="14782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</xdr:colOff>
      <xdr:row>0</xdr:row>
      <xdr:rowOff>66675</xdr:rowOff>
    </xdr:from>
    <xdr:to>
      <xdr:col>6</xdr:col>
      <xdr:colOff>514350</xdr:colOff>
      <xdr:row>0</xdr:row>
      <xdr:rowOff>575695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0612" y="66675"/>
          <a:ext cx="1033463" cy="5090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319367</xdr:colOff>
      <xdr:row>3</xdr:row>
      <xdr:rowOff>123264</xdr:rowOff>
    </xdr:from>
    <xdr:to>
      <xdr:col>5</xdr:col>
      <xdr:colOff>312242</xdr:colOff>
      <xdr:row>3</xdr:row>
      <xdr:rowOff>735264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867" y="742389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329174</xdr:colOff>
      <xdr:row>3</xdr:row>
      <xdr:rowOff>123265</xdr:rowOff>
    </xdr:from>
    <xdr:to>
      <xdr:col>7</xdr:col>
      <xdr:colOff>322049</xdr:colOff>
      <xdr:row>3</xdr:row>
      <xdr:rowOff>735265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924" y="742390"/>
          <a:ext cx="612000" cy="612000"/>
        </a:xfrm>
        <a:prstGeom prst="rect">
          <a:avLst/>
        </a:prstGeom>
      </xdr:spPr>
    </xdr:pic>
    <xdr:clientData/>
  </xdr:twoCellAnchor>
  <xdr:oneCellAnchor>
    <xdr:from>
      <xdr:col>6</xdr:col>
      <xdr:colOff>324970</xdr:colOff>
      <xdr:row>4</xdr:row>
      <xdr:rowOff>123264</xdr:rowOff>
    </xdr:from>
    <xdr:ext cx="612000" cy="612000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720" y="1694889"/>
          <a:ext cx="612000" cy="612000"/>
        </a:xfrm>
        <a:prstGeom prst="rect">
          <a:avLst/>
        </a:prstGeom>
      </xdr:spPr>
    </xdr:pic>
    <xdr:clientData/>
  </xdr:oneCellAnchor>
  <xdr:twoCellAnchor editAs="oneCell">
    <xdr:from>
      <xdr:col>4</xdr:col>
      <xdr:colOff>319367</xdr:colOff>
      <xdr:row>5</xdr:row>
      <xdr:rowOff>151278</xdr:rowOff>
    </xdr:from>
    <xdr:to>
      <xdr:col>5</xdr:col>
      <xdr:colOff>312242</xdr:colOff>
      <xdr:row>5</xdr:row>
      <xdr:rowOff>763278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867" y="2675403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329174</xdr:colOff>
      <xdr:row>5</xdr:row>
      <xdr:rowOff>151279</xdr:rowOff>
    </xdr:from>
    <xdr:to>
      <xdr:col>7</xdr:col>
      <xdr:colOff>322049</xdr:colOff>
      <xdr:row>5</xdr:row>
      <xdr:rowOff>763279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924" y="2675404"/>
          <a:ext cx="612000" cy="612000"/>
        </a:xfrm>
        <a:prstGeom prst="rect">
          <a:avLst/>
        </a:prstGeom>
      </xdr:spPr>
    </xdr:pic>
    <xdr:clientData/>
  </xdr:twoCellAnchor>
  <xdr:oneCellAnchor>
    <xdr:from>
      <xdr:col>6</xdr:col>
      <xdr:colOff>324970</xdr:colOff>
      <xdr:row>6</xdr:row>
      <xdr:rowOff>112058</xdr:rowOff>
    </xdr:from>
    <xdr:ext cx="612000" cy="612000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720" y="3588683"/>
          <a:ext cx="612000" cy="612000"/>
        </a:xfrm>
        <a:prstGeom prst="rect">
          <a:avLst/>
        </a:prstGeom>
      </xdr:spPr>
    </xdr:pic>
    <xdr:clientData/>
  </xdr:oneCellAnchor>
  <xdr:twoCellAnchor editAs="oneCell">
    <xdr:from>
      <xdr:col>4</xdr:col>
      <xdr:colOff>319367</xdr:colOff>
      <xdr:row>7</xdr:row>
      <xdr:rowOff>162485</xdr:rowOff>
    </xdr:from>
    <xdr:to>
      <xdr:col>5</xdr:col>
      <xdr:colOff>312242</xdr:colOff>
      <xdr:row>7</xdr:row>
      <xdr:rowOff>774485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867" y="459161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6</xdr:col>
      <xdr:colOff>329174</xdr:colOff>
      <xdr:row>7</xdr:row>
      <xdr:rowOff>162486</xdr:rowOff>
    </xdr:from>
    <xdr:to>
      <xdr:col>7</xdr:col>
      <xdr:colOff>322049</xdr:colOff>
      <xdr:row>7</xdr:row>
      <xdr:rowOff>774486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924" y="4591611"/>
          <a:ext cx="612000" cy="612000"/>
        </a:xfrm>
        <a:prstGeom prst="rect">
          <a:avLst/>
        </a:prstGeom>
      </xdr:spPr>
    </xdr:pic>
    <xdr:clientData/>
  </xdr:twoCellAnchor>
  <xdr:oneCellAnchor>
    <xdr:from>
      <xdr:col>7</xdr:col>
      <xdr:colOff>67234</xdr:colOff>
      <xdr:row>8</xdr:row>
      <xdr:rowOff>156882</xdr:rowOff>
    </xdr:from>
    <xdr:ext cx="612000" cy="612000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1109" y="5538507"/>
          <a:ext cx="612000" cy="612000"/>
        </a:xfrm>
        <a:prstGeom prst="rect">
          <a:avLst/>
        </a:prstGeom>
      </xdr:spPr>
    </xdr:pic>
    <xdr:clientData/>
  </xdr:oneCellAnchor>
  <xdr:twoCellAnchor editAs="oneCell">
    <xdr:from>
      <xdr:col>5</xdr:col>
      <xdr:colOff>571500</xdr:colOff>
      <xdr:row>8</xdr:row>
      <xdr:rowOff>156882</xdr:rowOff>
    </xdr:from>
    <xdr:to>
      <xdr:col>6</xdr:col>
      <xdr:colOff>564375</xdr:colOff>
      <xdr:row>8</xdr:row>
      <xdr:rowOff>768882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5538507"/>
          <a:ext cx="612000" cy="612000"/>
        </a:xfrm>
        <a:prstGeom prst="rect">
          <a:avLst/>
        </a:prstGeom>
      </xdr:spPr>
    </xdr:pic>
    <xdr:clientData/>
  </xdr:twoCellAnchor>
  <xdr:oneCellAnchor>
    <xdr:from>
      <xdr:col>6</xdr:col>
      <xdr:colOff>324970</xdr:colOff>
      <xdr:row>9</xdr:row>
      <xdr:rowOff>156882</xdr:rowOff>
    </xdr:from>
    <xdr:ext cx="612000" cy="612000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720" y="6491007"/>
          <a:ext cx="612000" cy="612000"/>
        </a:xfrm>
        <a:prstGeom prst="rect">
          <a:avLst/>
        </a:prstGeom>
      </xdr:spPr>
    </xdr:pic>
    <xdr:clientData/>
  </xdr:oneCellAnchor>
  <xdr:oneCellAnchor>
    <xdr:from>
      <xdr:col>6</xdr:col>
      <xdr:colOff>329174</xdr:colOff>
      <xdr:row>10</xdr:row>
      <xdr:rowOff>77640</xdr:rowOff>
    </xdr:from>
    <xdr:ext cx="612000" cy="612000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924" y="7364265"/>
          <a:ext cx="612000" cy="612000"/>
        </a:xfrm>
        <a:prstGeom prst="rect">
          <a:avLst/>
        </a:prstGeom>
      </xdr:spPr>
    </xdr:pic>
    <xdr:clientData/>
  </xdr:oneCellAnchor>
  <xdr:oneCellAnchor>
    <xdr:from>
      <xdr:col>4</xdr:col>
      <xdr:colOff>299356</xdr:colOff>
      <xdr:row>11</xdr:row>
      <xdr:rowOff>108857</xdr:rowOff>
    </xdr:from>
    <xdr:ext cx="612000" cy="6120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6" y="8347982"/>
          <a:ext cx="612000" cy="612000"/>
        </a:xfrm>
        <a:prstGeom prst="rect">
          <a:avLst/>
        </a:prstGeom>
      </xdr:spPr>
    </xdr:pic>
    <xdr:clientData/>
  </xdr:oneCellAnchor>
  <xdr:oneCellAnchor>
    <xdr:from>
      <xdr:col>5</xdr:col>
      <xdr:colOff>554091</xdr:colOff>
      <xdr:row>11</xdr:row>
      <xdr:rowOff>108858</xdr:rowOff>
    </xdr:from>
    <xdr:ext cx="612000" cy="6120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9716" y="8347983"/>
          <a:ext cx="612000" cy="612000"/>
        </a:xfrm>
        <a:prstGeom prst="rect">
          <a:avLst/>
        </a:prstGeom>
      </xdr:spPr>
    </xdr:pic>
    <xdr:clientData/>
  </xdr:oneCellAnchor>
  <xdr:twoCellAnchor editAs="oneCell">
    <xdr:from>
      <xdr:col>7</xdr:col>
      <xdr:colOff>64234</xdr:colOff>
      <xdr:row>11</xdr:row>
      <xdr:rowOff>108858</xdr:rowOff>
    </xdr:from>
    <xdr:to>
      <xdr:col>8</xdr:col>
      <xdr:colOff>57109</xdr:colOff>
      <xdr:row>11</xdr:row>
      <xdr:rowOff>720858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109" y="8347983"/>
          <a:ext cx="612000" cy="61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7</xdr:row>
      <xdr:rowOff>21919</xdr:rowOff>
    </xdr:from>
    <xdr:to>
      <xdr:col>1</xdr:col>
      <xdr:colOff>238648</xdr:colOff>
      <xdr:row>7</xdr:row>
      <xdr:rowOff>356785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16483" y="3921777"/>
          <a:ext cx="433203" cy="33486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511557</xdr:colOff>
      <xdr:row>5</xdr:row>
      <xdr:rowOff>103826</xdr:rowOff>
    </xdr:from>
    <xdr:to>
      <xdr:col>2</xdr:col>
      <xdr:colOff>154596</xdr:colOff>
      <xdr:row>5</xdr:row>
      <xdr:rowOff>292618</xdr:rowOff>
    </xdr:to>
    <xdr:grpSp>
      <xdr:nvGrpSpPr>
        <xdr:cNvPr id="4" name="Группа 3"/>
        <xdr:cNvGrpSpPr/>
      </xdr:nvGrpSpPr>
      <xdr:grpSpPr>
        <a:xfrm>
          <a:off x="511557" y="3494726"/>
          <a:ext cx="862239" cy="188792"/>
          <a:chOff x="482982" y="3887156"/>
          <a:chExt cx="862239" cy="188792"/>
        </a:xfrm>
      </xdr:grpSpPr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912304" y="3494227"/>
            <a:ext cx="0" cy="8586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914102" y="3608438"/>
            <a:ext cx="0" cy="86223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131218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126052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120885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115719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110553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105386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1002205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950542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898879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847216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795553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74389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69222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64056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58890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53723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88400</xdr:colOff>
      <xdr:row>18</xdr:row>
      <xdr:rowOff>67580</xdr:rowOff>
    </xdr:from>
    <xdr:to>
      <xdr:col>0</xdr:col>
      <xdr:colOff>341268</xdr:colOff>
      <xdr:row>18</xdr:row>
      <xdr:rowOff>321647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>
          <a:spLocks noChangeAspect="1"/>
        </xdr:cNvSpPr>
      </xdr:nvSpPr>
      <xdr:spPr>
        <a:xfrm>
          <a:off x="88400" y="6743363"/>
          <a:ext cx="252868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445794</xdr:colOff>
      <xdr:row>18</xdr:row>
      <xdr:rowOff>72092</xdr:rowOff>
    </xdr:from>
    <xdr:to>
      <xdr:col>1</xdr:col>
      <xdr:colOff>85749</xdr:colOff>
      <xdr:row>18</xdr:row>
      <xdr:rowOff>321647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>
          <a:spLocks noChangeAspect="1"/>
        </xdr:cNvSpPr>
      </xdr:nvSpPr>
      <xdr:spPr>
        <a:xfrm>
          <a:off x="445794" y="6747875"/>
          <a:ext cx="252868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190275</xdr:colOff>
      <xdr:row>18</xdr:row>
      <xdr:rowOff>72092</xdr:rowOff>
    </xdr:from>
    <xdr:to>
      <xdr:col>1</xdr:col>
      <xdr:colOff>442848</xdr:colOff>
      <xdr:row>18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>
          <a:spLocks noChangeAspect="1"/>
        </xdr:cNvSpPr>
      </xdr:nvSpPr>
      <xdr:spPr>
        <a:xfrm>
          <a:off x="803188" y="6747875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19</xdr:row>
      <xdr:rowOff>58183</xdr:rowOff>
    </xdr:from>
    <xdr:to>
      <xdr:col>2</xdr:col>
      <xdr:colOff>144782</xdr:colOff>
      <xdr:row>19</xdr:row>
      <xdr:rowOff>333077</xdr:rowOff>
    </xdr:to>
    <xdr:sp macro="" textlink="">
      <xdr:nvSpPr>
        <xdr:cNvPr id="34" name="Полилиния 33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524893" y="7106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20</xdr:row>
      <xdr:rowOff>75169</xdr:rowOff>
    </xdr:from>
    <xdr:to>
      <xdr:col>1</xdr:col>
      <xdr:colOff>380406</xdr:colOff>
      <xdr:row>20</xdr:row>
      <xdr:rowOff>262152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/>
      </xdr:nvCxnSpPr>
      <xdr:spPr>
        <a:xfrm>
          <a:off x="915271" y="7504669"/>
          <a:ext cx="74735" cy="186983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21</xdr:row>
      <xdr:rowOff>173057</xdr:rowOff>
    </xdr:from>
    <xdr:to>
      <xdr:col>1</xdr:col>
      <xdr:colOff>155323</xdr:colOff>
      <xdr:row>21</xdr:row>
      <xdr:rowOff>237827</xdr:rowOff>
    </xdr:to>
    <xdr:cxnSp macro="">
      <xdr:nvCxnSpPr>
        <xdr:cNvPr id="36" name="Прямая соединительная линия 35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>
          <a:off x="734443" y="7983557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21</xdr:row>
      <xdr:rowOff>173057</xdr:rowOff>
    </xdr:from>
    <xdr:to>
      <xdr:col>1</xdr:col>
      <xdr:colOff>520291</xdr:colOff>
      <xdr:row>21</xdr:row>
      <xdr:rowOff>226397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V="1">
          <a:off x="761113" y="7983557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23</xdr:row>
      <xdr:rowOff>58183</xdr:rowOff>
    </xdr:from>
    <xdr:to>
      <xdr:col>2</xdr:col>
      <xdr:colOff>144782</xdr:colOff>
      <xdr:row>23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524893" y="8630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23</xdr:row>
      <xdr:rowOff>123698</xdr:rowOff>
    </xdr:from>
    <xdr:to>
      <xdr:col>1</xdr:col>
      <xdr:colOff>414454</xdr:colOff>
      <xdr:row>23</xdr:row>
      <xdr:rowOff>152889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CxnSpPr/>
      </xdr:nvCxnSpPr>
      <xdr:spPr>
        <a:xfrm>
          <a:off x="1011763" y="8696198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23</xdr:row>
      <xdr:rowOff>53600</xdr:rowOff>
    </xdr:from>
    <xdr:to>
      <xdr:col>1</xdr:col>
      <xdr:colOff>563578</xdr:colOff>
      <xdr:row>23</xdr:row>
      <xdr:rowOff>86169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CxnSpPr/>
      </xdr:nvCxnSpPr>
      <xdr:spPr>
        <a:xfrm flipV="1">
          <a:off x="1172563" y="8626100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22</xdr:row>
      <xdr:rowOff>58183</xdr:rowOff>
    </xdr:from>
    <xdr:to>
      <xdr:col>2</xdr:col>
      <xdr:colOff>144782</xdr:colOff>
      <xdr:row>22</xdr:row>
      <xdr:rowOff>333077</xdr:rowOff>
    </xdr:to>
    <xdr:sp macro="" textlink="">
      <xdr:nvSpPr>
        <xdr:cNvPr id="41" name="Полилиния 40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524893" y="8249683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22</xdr:row>
      <xdr:rowOff>132001</xdr:rowOff>
    </xdr:from>
    <xdr:to>
      <xdr:col>2</xdr:col>
      <xdr:colOff>75571</xdr:colOff>
      <xdr:row>22</xdr:row>
      <xdr:rowOff>204001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Aspect="1"/>
        </xdr:cNvSpPr>
      </xdr:nvSpPr>
      <xdr:spPr>
        <a:xfrm>
          <a:off x="1222771" y="832350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129367</xdr:colOff>
      <xdr:row>23</xdr:row>
      <xdr:rowOff>205680</xdr:rowOff>
    </xdr:from>
    <xdr:to>
      <xdr:col>1</xdr:col>
      <xdr:colOff>170121</xdr:colOff>
      <xdr:row>23</xdr:row>
      <xdr:rowOff>305854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CxnSpPr/>
      </xdr:nvCxnSpPr>
      <xdr:spPr>
        <a:xfrm flipH="1" flipV="1">
          <a:off x="738967" y="8778180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547374</xdr:colOff>
      <xdr:row>18</xdr:row>
      <xdr:rowOff>73997</xdr:rowOff>
    </xdr:from>
    <xdr:to>
      <xdr:col>2</xdr:col>
      <xdr:colOff>187329</xdr:colOff>
      <xdr:row>18</xdr:row>
      <xdr:rowOff>323552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>
          <a:spLocks noChangeAspect="1"/>
        </xdr:cNvSpPr>
      </xdr:nvSpPr>
      <xdr:spPr>
        <a:xfrm>
          <a:off x="1160287" y="6749780"/>
          <a:ext cx="252868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291856</xdr:colOff>
      <xdr:row>18</xdr:row>
      <xdr:rowOff>69485</xdr:rowOff>
    </xdr:from>
    <xdr:to>
      <xdr:col>2</xdr:col>
      <xdr:colOff>546405</xdr:colOff>
      <xdr:row>18</xdr:row>
      <xdr:rowOff>323552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>
          <a:spLocks noChangeAspect="1"/>
        </xdr:cNvSpPr>
      </xdr:nvSpPr>
      <xdr:spPr>
        <a:xfrm>
          <a:off x="1517682" y="6745268"/>
          <a:ext cx="254549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7</xdr:row>
      <xdr:rowOff>21919</xdr:rowOff>
    </xdr:from>
    <xdr:to>
      <xdr:col>2</xdr:col>
      <xdr:colOff>205247</xdr:colOff>
      <xdr:row>7</xdr:row>
      <xdr:rowOff>356785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992437" y="3921777"/>
          <a:ext cx="434885" cy="334866"/>
        </a:xfrm>
        <a:prstGeom prst="rect">
          <a:avLst/>
        </a:prstGeom>
        <a:solidFill>
          <a:schemeClr val="bg1">
            <a:lumMod val="85000"/>
          </a:schemeClr>
        </a:solidFill>
        <a:ln w="1905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20</xdr:row>
      <xdr:rowOff>60381</xdr:rowOff>
    </xdr:from>
    <xdr:to>
      <xdr:col>2</xdr:col>
      <xdr:colOff>122801</xdr:colOff>
      <xdr:row>20</xdr:row>
      <xdr:rowOff>335275</xdr:rowOff>
    </xdr:to>
    <xdr:sp macro="" textlink="">
      <xdr:nvSpPr>
        <xdr:cNvPr id="47" name="Полилиния 46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/>
      </xdr:nvSpPr>
      <xdr:spPr>
        <a:xfrm>
          <a:off x="502912" y="7489881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20878</xdr:colOff>
      <xdr:row>22</xdr:row>
      <xdr:rowOff>250243</xdr:rowOff>
    </xdr:from>
    <xdr:to>
      <xdr:col>1</xdr:col>
      <xdr:colOff>92878</xdr:colOff>
      <xdr:row>22</xdr:row>
      <xdr:rowOff>322243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>
          <a:spLocks noChangeAspect="1"/>
        </xdr:cNvSpPr>
      </xdr:nvSpPr>
      <xdr:spPr>
        <a:xfrm>
          <a:off x="630478" y="84417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13</xdr:row>
      <xdr:rowOff>44055</xdr:rowOff>
    </xdr:from>
    <xdr:to>
      <xdr:col>2</xdr:col>
      <xdr:colOff>120601</xdr:colOff>
      <xdr:row>13</xdr:row>
      <xdr:rowOff>315651</xdr:rowOff>
    </xdr:to>
    <xdr:grpSp>
      <xdr:nvGrpSpPr>
        <xdr:cNvPr id="50" name="Группа 49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>
          <a:grpSpLocks noChangeAspect="1"/>
        </xdr:cNvGrpSpPr>
      </xdr:nvGrpSpPr>
      <xdr:grpSpPr>
        <a:xfrm>
          <a:off x="1145265" y="6482955"/>
          <a:ext cx="194536" cy="271596"/>
          <a:chOff x="831586" y="6064374"/>
          <a:chExt cx="194536" cy="271596"/>
        </a:xfrm>
      </xdr:grpSpPr>
      <xdr:sp macro="" textlink="">
        <xdr:nvSpPr>
          <xdr:cNvPr id="51" name="Овал 50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>
            <a:spLocks noChangeAspect="1"/>
          </xdr:cNvSpPr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2" name="Прямая со стрелкой 51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" name="Прямая со стрелкой 52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130098</xdr:colOff>
      <xdr:row>6</xdr:row>
      <xdr:rowOff>68906</xdr:rowOff>
    </xdr:from>
    <xdr:to>
      <xdr:col>2</xdr:col>
      <xdr:colOff>408879</xdr:colOff>
      <xdr:row>6</xdr:row>
      <xdr:rowOff>287661</xdr:rowOff>
    </xdr:to>
    <xdr:grpSp>
      <xdr:nvGrpSpPr>
        <xdr:cNvPr id="12" name="Группа 11"/>
        <xdr:cNvGrpSpPr/>
      </xdr:nvGrpSpPr>
      <xdr:grpSpPr>
        <a:xfrm>
          <a:off x="130098" y="3840806"/>
          <a:ext cx="1497981" cy="218755"/>
          <a:chOff x="130098" y="3587764"/>
          <a:chExt cx="1500856" cy="218755"/>
        </a:xfrm>
      </xdr:grpSpPr>
      <xdr:grpSp>
        <xdr:nvGrpSpPr>
          <xdr:cNvPr id="11" name="Группа 10"/>
          <xdr:cNvGrpSpPr/>
        </xdr:nvGrpSpPr>
        <xdr:grpSpPr>
          <a:xfrm>
            <a:off x="1105823" y="3587764"/>
            <a:ext cx="231801" cy="150655"/>
            <a:chOff x="1105823" y="3587764"/>
            <a:chExt cx="231801" cy="150655"/>
          </a:xfrm>
        </xdr:grpSpPr>
        <xdr:sp macro="" textlink="">
          <xdr:nvSpPr>
            <xdr:cNvPr id="67" name="Овал 66">
              <a:extLst>
                <a:ext uri="{FF2B5EF4-FFF2-40B4-BE49-F238E27FC236}">
                  <a16:creationId xmlns:a16="http://schemas.microsoft.com/office/drawing/2014/main" id="{00000000-0008-0000-0600-000043000000}"/>
                </a:ext>
              </a:extLst>
            </xdr:cNvPr>
            <xdr:cNvSpPr/>
          </xdr:nvSpPr>
          <xdr:spPr>
            <a:xfrm flipH="1">
              <a:off x="1105823" y="3690058"/>
              <a:ext cx="46948" cy="48361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8" name="Прямая со стрелкой 67">
              <a:extLst>
                <a:ext uri="{FF2B5EF4-FFF2-40B4-BE49-F238E27FC236}">
                  <a16:creationId xmlns:a16="http://schemas.microsoft.com/office/drawing/2014/main" id="{00000000-0008-0000-0600-000044000000}"/>
                </a:ext>
              </a:extLst>
            </xdr:cNvPr>
            <xdr:cNvCxnSpPr/>
          </xdr:nvCxnSpPr>
          <xdr:spPr>
            <a:xfrm flipV="1">
              <a:off x="1157055" y="3587764"/>
              <a:ext cx="180569" cy="108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10" name="Группа 9"/>
          <xdr:cNvGrpSpPr/>
        </xdr:nvGrpSpPr>
        <xdr:grpSpPr>
          <a:xfrm>
            <a:off x="402461" y="3687553"/>
            <a:ext cx="365521" cy="118966"/>
            <a:chOff x="402461" y="3687553"/>
            <a:chExt cx="365521" cy="118966"/>
          </a:xfrm>
        </xdr:grpSpPr>
        <xdr:sp macro="" textlink="">
          <xdr:nvSpPr>
            <xdr:cNvPr id="65" name="Овал 64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>
              <a:spLocks noChangeAspect="1"/>
            </xdr:cNvSpPr>
          </xdr:nvSpPr>
          <xdr:spPr>
            <a:xfrm>
              <a:off x="721034" y="3687553"/>
              <a:ext cx="46948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6" name="Прямая со стрелкой 65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648628" y="3734519"/>
              <a:ext cx="72228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63" name="Овал 62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>
              <a:spLocks noChangeAspect="1"/>
            </xdr:cNvSpPr>
          </xdr:nvSpPr>
          <xdr:spPr>
            <a:xfrm flipH="1">
              <a:off x="402461" y="3687553"/>
              <a:ext cx="46948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64" name="Прямая со стрелкой 63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>
              <a:off x="449587" y="3734519"/>
              <a:ext cx="72228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130098" y="3714003"/>
            <a:ext cx="259472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777983" y="3714003"/>
            <a:ext cx="321611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1309343" y="3714003"/>
            <a:ext cx="321611" cy="0"/>
          </a:xfrm>
          <a:prstGeom prst="straightConnector1">
            <a:avLst/>
          </a:prstGeom>
          <a:ln w="19050">
            <a:prstDash val="dashDot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342900</xdr:colOff>
      <xdr:row>14</xdr:row>
      <xdr:rowOff>45646</xdr:rowOff>
    </xdr:from>
    <xdr:to>
      <xdr:col>1</xdr:col>
      <xdr:colOff>17116</xdr:colOff>
      <xdr:row>14</xdr:row>
      <xdr:rowOff>325737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42900" y="5979721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14</xdr:row>
      <xdr:rowOff>59794</xdr:rowOff>
    </xdr:from>
    <xdr:to>
      <xdr:col>2</xdr:col>
      <xdr:colOff>439911</xdr:colOff>
      <xdr:row>14</xdr:row>
      <xdr:rowOff>315343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749774" y="5993869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000" b="1">
              <a:solidFill>
                <a:sysClr val="windowText" lastClr="000000"/>
              </a:solidFill>
            </a:rPr>
            <a:t>ПОЧИНОК</a:t>
          </a:r>
        </a:p>
      </xdr:txBody>
    </xdr:sp>
    <xdr:clientData/>
  </xdr:twoCellAnchor>
  <xdr:twoCellAnchor>
    <xdr:from>
      <xdr:col>0</xdr:col>
      <xdr:colOff>492013</xdr:colOff>
      <xdr:row>13</xdr:row>
      <xdr:rowOff>69819</xdr:rowOff>
    </xdr:from>
    <xdr:to>
      <xdr:col>1</xdr:col>
      <xdr:colOff>100398</xdr:colOff>
      <xdr:row>13</xdr:row>
      <xdr:rowOff>294412</xdr:rowOff>
    </xdr:to>
    <xdr:grpSp>
      <xdr:nvGrpSpPr>
        <xdr:cNvPr id="88" name="Группа 87"/>
        <xdr:cNvGrpSpPr>
          <a:grpSpLocks noChangeAspect="1"/>
        </xdr:cNvGrpSpPr>
      </xdr:nvGrpSpPr>
      <xdr:grpSpPr>
        <a:xfrm>
          <a:off x="492013" y="6508719"/>
          <a:ext cx="217985" cy="224593"/>
          <a:chOff x="432109" y="5929430"/>
          <a:chExt cx="216520" cy="224593"/>
        </a:xfrm>
      </xdr:grpSpPr>
      <xdr:sp macro="" textlink="">
        <xdr:nvSpPr>
          <xdr:cNvPr id="89" name="Равнобедренный треугольник 88"/>
          <xdr:cNvSpPr/>
        </xdr:nvSpPr>
        <xdr:spPr>
          <a:xfrm>
            <a:off x="432109" y="5929430"/>
            <a:ext cx="216520" cy="107040"/>
          </a:xfrm>
          <a:prstGeom prst="triangl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0" name="Прямоугольник 89"/>
          <xdr:cNvSpPr/>
        </xdr:nvSpPr>
        <xdr:spPr>
          <a:xfrm>
            <a:off x="469966" y="6035370"/>
            <a:ext cx="140351" cy="118653"/>
          </a:xfrm>
          <a:prstGeom prst="rect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179616</xdr:colOff>
      <xdr:row>10</xdr:row>
      <xdr:rowOff>47391</xdr:rowOff>
    </xdr:from>
    <xdr:to>
      <xdr:col>1</xdr:col>
      <xdr:colOff>342571</xdr:colOff>
      <xdr:row>10</xdr:row>
      <xdr:rowOff>324654</xdr:rowOff>
    </xdr:to>
    <xdr:grpSp>
      <xdr:nvGrpSpPr>
        <xdr:cNvPr id="69" name="Группа 68"/>
        <xdr:cNvGrpSpPr/>
      </xdr:nvGrpSpPr>
      <xdr:grpSpPr>
        <a:xfrm>
          <a:off x="789216" y="5343291"/>
          <a:ext cx="162955" cy="277263"/>
          <a:chOff x="787595" y="5101721"/>
          <a:chExt cx="162955" cy="277263"/>
        </a:xfrm>
      </xdr:grpSpPr>
      <xdr:sp macro="" textlink="">
        <xdr:nvSpPr>
          <xdr:cNvPr id="48" name="Овал 47">
            <a:extLst>
              <a:ext uri="{FF2B5EF4-FFF2-40B4-BE49-F238E27FC236}">
                <a16:creationId xmlns:a16="http://schemas.microsoft.com/office/drawing/2014/main" id="{00000000-0008-0000-0600-000037000000}"/>
              </a:ext>
            </a:extLst>
          </xdr:cNvPr>
          <xdr:cNvSpPr>
            <a:spLocks noChangeAspect="1"/>
          </xdr:cNvSpPr>
        </xdr:nvSpPr>
        <xdr:spPr>
          <a:xfrm>
            <a:off x="787595" y="5101721"/>
            <a:ext cx="162955" cy="16155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03" name="Прямоугольник 102">
            <a:extLst>
              <a:ext uri="{FF2B5EF4-FFF2-40B4-BE49-F238E27FC236}">
                <a16:creationId xmlns:a16="http://schemas.microsoft.com/office/drawing/2014/main" id="{00000000-0008-0000-0600-000030000000}"/>
              </a:ext>
            </a:extLst>
          </xdr:cNvPr>
          <xdr:cNvSpPr>
            <a:spLocks noChangeAspect="1"/>
          </xdr:cNvSpPr>
        </xdr:nvSpPr>
        <xdr:spPr>
          <a:xfrm>
            <a:off x="800860" y="5291450"/>
            <a:ext cx="135733" cy="5403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104" name="Прямая со стрелкой 103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CxnSpPr/>
        </xdr:nvCxnSpPr>
        <xdr:spPr>
          <a:xfrm flipV="1">
            <a:off x="869501" y="5187465"/>
            <a:ext cx="0" cy="191519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501298</xdr:colOff>
      <xdr:row>2</xdr:row>
      <xdr:rowOff>721540</xdr:rowOff>
    </xdr:from>
    <xdr:to>
      <xdr:col>0</xdr:col>
      <xdr:colOff>574541</xdr:colOff>
      <xdr:row>2</xdr:row>
      <xdr:rowOff>793540</xdr:rowOff>
    </xdr:to>
    <xdr:sp macro="" textlink="">
      <xdr:nvSpPr>
        <xdr:cNvPr id="113" name="Овал 1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501298" y="1287597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237149</xdr:colOff>
      <xdr:row>2</xdr:row>
      <xdr:rowOff>477482</xdr:rowOff>
    </xdr:from>
    <xdr:to>
      <xdr:col>1</xdr:col>
      <xdr:colOff>237953</xdr:colOff>
      <xdr:row>2</xdr:row>
      <xdr:rowOff>477482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5400000" flipV="1">
          <a:off x="542351" y="1153355"/>
          <a:ext cx="0" cy="6104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590911</xdr:colOff>
      <xdr:row>2</xdr:row>
      <xdr:rowOff>729823</xdr:rowOff>
    </xdr:from>
    <xdr:to>
      <xdr:col>2</xdr:col>
      <xdr:colOff>53311</xdr:colOff>
      <xdr:row>2</xdr:row>
      <xdr:rowOff>801823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1200511" y="12958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59215</xdr:colOff>
      <xdr:row>2</xdr:row>
      <xdr:rowOff>134179</xdr:rowOff>
    </xdr:from>
    <xdr:to>
      <xdr:col>2</xdr:col>
      <xdr:colOff>223638</xdr:colOff>
      <xdr:row>2</xdr:row>
      <xdr:rowOff>445023</xdr:rowOff>
    </xdr:to>
    <xdr:sp macro="" textlink="">
      <xdr:nvSpPr>
        <xdr:cNvPr id="122" name="Полилиния 121"/>
        <xdr:cNvSpPr/>
      </xdr:nvSpPr>
      <xdr:spPr>
        <a:xfrm>
          <a:off x="1280205" y="696729"/>
          <a:ext cx="164423" cy="31084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212912"/>
            <a:gd name="connsiteY0" fmla="*/ 661147 h 661146"/>
            <a:gd name="connsiteX1" fmla="*/ 212912 w 212912"/>
            <a:gd name="connsiteY1" fmla="*/ 0 h 661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2912" h="661146">
              <a:moveTo>
                <a:pt x="0" y="661147"/>
              </a:moveTo>
              <a:cubicBezTo>
                <a:pt x="42956" y="437029"/>
                <a:pt x="127934" y="218514"/>
                <a:pt x="212912" y="0"/>
              </a:cubicBezTo>
            </a:path>
          </a:pathLst>
        </a:custGeom>
        <a:noFill/>
        <a:ln w="1905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541039</xdr:colOff>
      <xdr:row>2</xdr:row>
      <xdr:rowOff>350825</xdr:rowOff>
    </xdr:from>
    <xdr:to>
      <xdr:col>2</xdr:col>
      <xdr:colOff>55126</xdr:colOff>
      <xdr:row>2</xdr:row>
      <xdr:rowOff>478855</xdr:rowOff>
    </xdr:to>
    <xdr:grpSp>
      <xdr:nvGrpSpPr>
        <xdr:cNvPr id="5" name="Группа 4"/>
        <xdr:cNvGrpSpPr/>
      </xdr:nvGrpSpPr>
      <xdr:grpSpPr>
        <a:xfrm>
          <a:off x="1150639" y="912800"/>
          <a:ext cx="123687" cy="128030"/>
          <a:chOff x="1132242" y="1306343"/>
          <a:chExt cx="123151" cy="128030"/>
        </a:xfrm>
      </xdr:grpSpPr>
      <xdr:cxnSp macro="">
        <xdr:nvCxnSpPr>
          <xdr:cNvPr id="125" name="Прямая соединительная линия 12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" name="Прямоугольник 12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54932</xdr:colOff>
      <xdr:row>2</xdr:row>
      <xdr:rowOff>477483</xdr:rowOff>
    </xdr:from>
    <xdr:to>
      <xdr:col>2</xdr:col>
      <xdr:colOff>414137</xdr:colOff>
      <xdr:row>2</xdr:row>
      <xdr:rowOff>477483</xdr:rowOff>
    </xdr:to>
    <xdr:cxnSp macro="">
      <xdr:nvCxnSpPr>
        <xdr:cNvPr id="127" name="Прямая со стрелкой 1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274132" y="1458558"/>
          <a:ext cx="359205" cy="0"/>
        </a:xfrm>
        <a:prstGeom prst="straightConnector1">
          <a:avLst/>
        </a:prstGeom>
        <a:ln w="19050">
          <a:prstDash val="sysDash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364434</xdr:colOff>
      <xdr:row>8</xdr:row>
      <xdr:rowOff>81613</xdr:rowOff>
    </xdr:from>
    <xdr:to>
      <xdr:col>2</xdr:col>
      <xdr:colOff>3521</xdr:colOff>
      <xdr:row>8</xdr:row>
      <xdr:rowOff>333613</xdr:rowOff>
    </xdr:to>
    <xdr:grpSp>
      <xdr:nvGrpSpPr>
        <xdr:cNvPr id="160" name="Группа 159"/>
        <xdr:cNvGrpSpPr>
          <a:grpSpLocks noChangeAspect="1"/>
        </xdr:cNvGrpSpPr>
      </xdr:nvGrpSpPr>
      <xdr:grpSpPr>
        <a:xfrm>
          <a:off x="974034" y="4615513"/>
          <a:ext cx="248687" cy="252000"/>
          <a:chOff x="2849880" y="7536180"/>
          <a:chExt cx="278130" cy="262890"/>
        </a:xfrm>
      </xdr:grpSpPr>
      <xdr:sp macro="" textlink="">
        <xdr:nvSpPr>
          <xdr:cNvPr id="162" name="Прямоугольник 161"/>
          <xdr:cNvSpPr/>
        </xdr:nvSpPr>
        <xdr:spPr>
          <a:xfrm>
            <a:off x="2849880" y="7536180"/>
            <a:ext cx="278130" cy="26289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63" name="Рисунок 16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884109" y="7562329"/>
            <a:ext cx="209672" cy="21059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596851</xdr:colOff>
      <xdr:row>8</xdr:row>
      <xdr:rowOff>71409</xdr:rowOff>
    </xdr:from>
    <xdr:to>
      <xdr:col>1</xdr:col>
      <xdr:colOff>235938</xdr:colOff>
      <xdr:row>8</xdr:row>
      <xdr:rowOff>323409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51" y="4867039"/>
          <a:ext cx="252000" cy="252000"/>
        </a:xfrm>
        <a:prstGeom prst="rect">
          <a:avLst/>
        </a:prstGeom>
      </xdr:spPr>
    </xdr:pic>
    <xdr:clientData/>
  </xdr:twoCellAnchor>
  <xdr:twoCellAnchor>
    <xdr:from>
      <xdr:col>1</xdr:col>
      <xdr:colOff>191574</xdr:colOff>
      <xdr:row>9</xdr:row>
      <xdr:rowOff>24849</xdr:rowOff>
    </xdr:from>
    <xdr:to>
      <xdr:col>1</xdr:col>
      <xdr:colOff>349876</xdr:colOff>
      <xdr:row>9</xdr:row>
      <xdr:rowOff>373855</xdr:rowOff>
    </xdr:to>
    <xdr:grpSp>
      <xdr:nvGrpSpPr>
        <xdr:cNvPr id="54" name="Группа 53"/>
        <xdr:cNvGrpSpPr/>
      </xdr:nvGrpSpPr>
      <xdr:grpSpPr>
        <a:xfrm>
          <a:off x="801174" y="4939749"/>
          <a:ext cx="158302" cy="349006"/>
          <a:chOff x="799553" y="4698179"/>
          <a:chExt cx="158302" cy="349006"/>
        </a:xfrm>
      </xdr:grpSpPr>
      <xdr:cxnSp macro="">
        <xdr:nvCxnSpPr>
          <xdr:cNvPr id="165" name="Прямая со стрелкой 164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CxnSpPr/>
        </xdr:nvCxnSpPr>
        <xdr:spPr>
          <a:xfrm flipV="1">
            <a:off x="878704" y="4698179"/>
            <a:ext cx="0" cy="349006"/>
          </a:xfrm>
          <a:prstGeom prst="straightConnector1">
            <a:avLst/>
          </a:prstGeom>
          <a:ln w="15875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grpSp>
        <xdr:nvGrpSpPr>
          <xdr:cNvPr id="166" name="Группа 165"/>
          <xdr:cNvGrpSpPr/>
        </xdr:nvGrpSpPr>
        <xdr:grpSpPr>
          <a:xfrm>
            <a:off x="799553" y="4879371"/>
            <a:ext cx="158302" cy="149105"/>
            <a:chOff x="2849880" y="7536180"/>
            <a:chExt cx="278130" cy="262890"/>
          </a:xfrm>
        </xdr:grpSpPr>
        <xdr:sp macro="" textlink="">
          <xdr:nvSpPr>
            <xdr:cNvPr id="168" name="Прямоугольник 167"/>
            <xdr:cNvSpPr/>
          </xdr:nvSpPr>
          <xdr:spPr>
            <a:xfrm>
              <a:off x="2849880" y="7536180"/>
              <a:ext cx="278130" cy="262890"/>
            </a:xfrm>
            <a:prstGeom prst="rect">
              <a:avLst/>
            </a:prstGeom>
            <a:solidFill>
              <a:srgbClr val="FFFF0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pic>
          <xdr:nvPicPr>
            <xdr:cNvPr id="169" name="Рисунок 168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2875416" y="7562329"/>
              <a:ext cx="209672" cy="210592"/>
            </a:xfrm>
            <a:prstGeom prst="rect">
              <a:avLst/>
            </a:prstGeom>
          </xdr:spPr>
        </xdr:pic>
      </xdr:grpSp>
      <xdr:pic>
        <xdr:nvPicPr>
          <xdr:cNvPr id="167" name="Рисунок 16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27" y="4711797"/>
            <a:ext cx="134155" cy="13415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107674</xdr:colOff>
      <xdr:row>21</xdr:row>
      <xdr:rowOff>82826</xdr:rowOff>
    </xdr:from>
    <xdr:to>
      <xdr:col>2</xdr:col>
      <xdr:colOff>214829</xdr:colOff>
      <xdr:row>21</xdr:row>
      <xdr:rowOff>320950</xdr:rowOff>
    </xdr:to>
    <xdr:cxnSp macro="">
      <xdr:nvCxnSpPr>
        <xdr:cNvPr id="170" name="Прямая со стрелкой 169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H="1">
          <a:off x="1333500" y="7901609"/>
          <a:ext cx="107155" cy="238124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248619</xdr:colOff>
      <xdr:row>4</xdr:row>
      <xdr:rowOff>257140</xdr:rowOff>
    </xdr:from>
    <xdr:to>
      <xdr:col>1</xdr:col>
      <xdr:colOff>449805</xdr:colOff>
      <xdr:row>4</xdr:row>
      <xdr:rowOff>437140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532" y="3131205"/>
          <a:ext cx="201186" cy="180000"/>
        </a:xfrm>
        <a:prstGeom prst="rect">
          <a:avLst/>
        </a:prstGeom>
      </xdr:spPr>
    </xdr:pic>
    <xdr:clientData/>
  </xdr:twoCellAnchor>
  <xdr:twoCellAnchor>
    <xdr:from>
      <xdr:col>2</xdr:col>
      <xdr:colOff>198376</xdr:colOff>
      <xdr:row>3</xdr:row>
      <xdr:rowOff>134179</xdr:rowOff>
    </xdr:from>
    <xdr:to>
      <xdr:col>2</xdr:col>
      <xdr:colOff>198376</xdr:colOff>
      <xdr:row>3</xdr:row>
      <xdr:rowOff>747896</xdr:rowOff>
    </xdr:to>
    <xdr:cxnSp macro="">
      <xdr:nvCxnSpPr>
        <xdr:cNvPr id="194" name="Прямая со стрелкой 19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417576" y="1641850"/>
          <a:ext cx="0" cy="613717"/>
        </a:xfrm>
        <a:prstGeom prst="straightConnector1">
          <a:avLst/>
        </a:prstGeom>
        <a:ln w="3492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162376</xdr:colOff>
      <xdr:row>3</xdr:row>
      <xdr:rowOff>706887</xdr:rowOff>
    </xdr:from>
    <xdr:to>
      <xdr:col>2</xdr:col>
      <xdr:colOff>234376</xdr:colOff>
      <xdr:row>3</xdr:row>
      <xdr:rowOff>777665</xdr:rowOff>
    </xdr:to>
    <xdr:sp macro="" textlink="">
      <xdr:nvSpPr>
        <xdr:cNvPr id="195" name="Овал 19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1381576" y="2214558"/>
          <a:ext cx="72000" cy="7077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550069</xdr:colOff>
      <xdr:row>3</xdr:row>
      <xdr:rowOff>177202</xdr:rowOff>
    </xdr:from>
    <xdr:to>
      <xdr:col>0</xdr:col>
      <xdr:colOff>550069</xdr:colOff>
      <xdr:row>3</xdr:row>
      <xdr:rowOff>451675</xdr:rowOff>
    </xdr:to>
    <xdr:cxnSp macro="">
      <xdr:nvCxnSpPr>
        <xdr:cNvPr id="208" name="Прямая со стрелкой 20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50069" y="1684873"/>
          <a:ext cx="0" cy="274473"/>
        </a:xfrm>
        <a:prstGeom prst="straightConnector1">
          <a:avLst/>
        </a:prstGeom>
        <a:ln w="3492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514069</xdr:colOff>
      <xdr:row>3</xdr:row>
      <xdr:rowOff>706887</xdr:rowOff>
    </xdr:from>
    <xdr:to>
      <xdr:col>0</xdr:col>
      <xdr:colOff>586069</xdr:colOff>
      <xdr:row>3</xdr:row>
      <xdr:rowOff>777665</xdr:rowOff>
    </xdr:to>
    <xdr:sp macro="" textlink="">
      <xdr:nvSpPr>
        <xdr:cNvPr id="209" name="Овал 20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514069" y="2214558"/>
          <a:ext cx="72000" cy="70778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550069</xdr:colOff>
      <xdr:row>3</xdr:row>
      <xdr:rowOff>549992</xdr:rowOff>
    </xdr:from>
    <xdr:to>
      <xdr:col>0</xdr:col>
      <xdr:colOff>550069</xdr:colOff>
      <xdr:row>3</xdr:row>
      <xdr:rowOff>754674</xdr:rowOff>
    </xdr:to>
    <xdr:cxnSp macro="">
      <xdr:nvCxnSpPr>
        <xdr:cNvPr id="210" name="Прямая со стрелкой 20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50069" y="2057663"/>
          <a:ext cx="0" cy="204682"/>
        </a:xfrm>
        <a:prstGeom prst="straightConnector1">
          <a:avLst/>
        </a:prstGeom>
        <a:ln w="34925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341977</xdr:colOff>
      <xdr:row>4</xdr:row>
      <xdr:rowOff>150508</xdr:rowOff>
    </xdr:from>
    <xdr:to>
      <xdr:col>0</xdr:col>
      <xdr:colOff>341977</xdr:colOff>
      <xdr:row>4</xdr:row>
      <xdr:rowOff>764225</xdr:rowOff>
    </xdr:to>
    <xdr:cxnSp macro="">
      <xdr:nvCxnSpPr>
        <xdr:cNvPr id="212" name="Прямая со стрелкой 2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41977" y="2599794"/>
          <a:ext cx="0" cy="613717"/>
        </a:xfrm>
        <a:prstGeom prst="straightConnector1">
          <a:avLst/>
        </a:prstGeom>
        <a:ln w="3492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305356</xdr:colOff>
      <xdr:row>4</xdr:row>
      <xdr:rowOff>737869</xdr:rowOff>
    </xdr:from>
    <xdr:to>
      <xdr:col>0</xdr:col>
      <xdr:colOff>378599</xdr:colOff>
      <xdr:row>4</xdr:row>
      <xdr:rowOff>809869</xdr:rowOff>
    </xdr:to>
    <xdr:sp macro="" textlink="">
      <xdr:nvSpPr>
        <xdr:cNvPr id="213" name="Овал 2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305356" y="318715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38100</xdr:colOff>
      <xdr:row>4</xdr:row>
      <xdr:rowOff>493811</xdr:rowOff>
    </xdr:from>
    <xdr:to>
      <xdr:col>1</xdr:col>
      <xdr:colOff>38904</xdr:colOff>
      <xdr:row>4</xdr:row>
      <xdr:rowOff>493811</xdr:rowOff>
    </xdr:to>
    <xdr:cxnSp macro="">
      <xdr:nvCxnSpPr>
        <xdr:cNvPr id="214" name="Прямая со стрелкой 21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5400000" flipV="1">
          <a:off x="343302" y="3056995"/>
          <a:ext cx="0" cy="6104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476158</xdr:colOff>
      <xdr:row>4</xdr:row>
      <xdr:rowOff>150508</xdr:rowOff>
    </xdr:from>
    <xdr:to>
      <xdr:col>1</xdr:col>
      <xdr:colOff>476158</xdr:colOff>
      <xdr:row>4</xdr:row>
      <xdr:rowOff>764225</xdr:rowOff>
    </xdr:to>
    <xdr:cxnSp macro="">
      <xdr:nvCxnSpPr>
        <xdr:cNvPr id="225" name="Прямая со стрелкой 22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85758" y="2599794"/>
          <a:ext cx="0" cy="613717"/>
        </a:xfrm>
        <a:prstGeom prst="straightConnector1">
          <a:avLst/>
        </a:prstGeom>
        <a:ln w="3492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439537</xdr:colOff>
      <xdr:row>4</xdr:row>
      <xdr:rowOff>737869</xdr:rowOff>
    </xdr:from>
    <xdr:to>
      <xdr:col>1</xdr:col>
      <xdr:colOff>512780</xdr:colOff>
      <xdr:row>4</xdr:row>
      <xdr:rowOff>809869</xdr:rowOff>
    </xdr:to>
    <xdr:sp macro="" textlink="">
      <xdr:nvSpPr>
        <xdr:cNvPr id="226" name="Овал 22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1049137" y="3187155"/>
          <a:ext cx="7324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172281</xdr:colOff>
      <xdr:row>4</xdr:row>
      <xdr:rowOff>493811</xdr:rowOff>
    </xdr:from>
    <xdr:to>
      <xdr:col>1</xdr:col>
      <xdr:colOff>480397</xdr:colOff>
      <xdr:row>4</xdr:row>
      <xdr:rowOff>493811</xdr:rowOff>
    </xdr:to>
    <xdr:cxnSp macro="">
      <xdr:nvCxnSpPr>
        <xdr:cNvPr id="227" name="Прямая со стрелкой 2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779500" y="3357264"/>
          <a:ext cx="308116" cy="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537919</xdr:colOff>
      <xdr:row>2</xdr:row>
      <xdr:rowOff>142204</xdr:rowOff>
    </xdr:from>
    <xdr:to>
      <xdr:col>0</xdr:col>
      <xdr:colOff>537919</xdr:colOff>
      <xdr:row>2</xdr:row>
      <xdr:rowOff>755921</xdr:rowOff>
    </xdr:to>
    <xdr:cxnSp macro="">
      <xdr:nvCxnSpPr>
        <xdr:cNvPr id="149" name="Прямая со стрелкой 1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37919" y="708261"/>
          <a:ext cx="0" cy="613717"/>
        </a:xfrm>
        <a:prstGeom prst="straightConnector1">
          <a:avLst/>
        </a:prstGeom>
        <a:ln w="3492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289890</xdr:colOff>
      <xdr:row>12</xdr:row>
      <xdr:rowOff>49729</xdr:rowOff>
    </xdr:from>
    <xdr:to>
      <xdr:col>1</xdr:col>
      <xdr:colOff>391880</xdr:colOff>
      <xdr:row>12</xdr:row>
      <xdr:rowOff>337729</xdr:rowOff>
    </xdr:to>
    <xdr:grpSp>
      <xdr:nvGrpSpPr>
        <xdr:cNvPr id="129" name="Группа 128"/>
        <xdr:cNvGrpSpPr>
          <a:grpSpLocks noChangeAspect="1"/>
        </xdr:cNvGrpSpPr>
      </xdr:nvGrpSpPr>
      <xdr:grpSpPr>
        <a:xfrm flipH="1">
          <a:off x="899490" y="6107629"/>
          <a:ext cx="101990" cy="288000"/>
          <a:chOff x="2974731" y="8507714"/>
          <a:chExt cx="359019" cy="1014540"/>
        </a:xfrm>
      </xdr:grpSpPr>
      <xdr:sp macro="" textlink="">
        <xdr:nvSpPr>
          <xdr:cNvPr id="134" name="Прямоугольник 133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5" name="Овал 134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6" name="Овал 135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7" name="Овал 136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174172</xdr:colOff>
      <xdr:row>4</xdr:row>
      <xdr:rowOff>326572</xdr:rowOff>
    </xdr:from>
    <xdr:to>
      <xdr:col>0</xdr:col>
      <xdr:colOff>246172</xdr:colOff>
      <xdr:row>4</xdr:row>
      <xdr:rowOff>398572</xdr:rowOff>
    </xdr:to>
    <xdr:sp macro="" textlink="">
      <xdr:nvSpPr>
        <xdr:cNvPr id="138" name="Овал 137"/>
        <xdr:cNvSpPr>
          <a:spLocks noChangeAspect="1"/>
        </xdr:cNvSpPr>
      </xdr:nvSpPr>
      <xdr:spPr>
        <a:xfrm>
          <a:off x="174172" y="2525486"/>
          <a:ext cx="72000" cy="72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332014</xdr:colOff>
      <xdr:row>4</xdr:row>
      <xdr:rowOff>337458</xdr:rowOff>
    </xdr:from>
    <xdr:to>
      <xdr:col>2</xdr:col>
      <xdr:colOff>404014</xdr:colOff>
      <xdr:row>4</xdr:row>
      <xdr:rowOff>409458</xdr:rowOff>
    </xdr:to>
    <xdr:sp macro="" textlink="">
      <xdr:nvSpPr>
        <xdr:cNvPr id="139" name="Овал 138"/>
        <xdr:cNvSpPr>
          <a:spLocks noChangeAspect="1"/>
        </xdr:cNvSpPr>
      </xdr:nvSpPr>
      <xdr:spPr>
        <a:xfrm>
          <a:off x="1551214" y="2536372"/>
          <a:ext cx="72000" cy="72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272142</xdr:colOff>
      <xdr:row>4</xdr:row>
      <xdr:rowOff>555173</xdr:rowOff>
    </xdr:from>
    <xdr:to>
      <xdr:col>2</xdr:col>
      <xdr:colOff>344142</xdr:colOff>
      <xdr:row>4</xdr:row>
      <xdr:rowOff>627173</xdr:rowOff>
    </xdr:to>
    <xdr:sp macro="" textlink="">
      <xdr:nvSpPr>
        <xdr:cNvPr id="140" name="Овал 139"/>
        <xdr:cNvSpPr>
          <a:spLocks noChangeAspect="1"/>
        </xdr:cNvSpPr>
      </xdr:nvSpPr>
      <xdr:spPr>
        <a:xfrm>
          <a:off x="1491342" y="2754087"/>
          <a:ext cx="72000" cy="72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95250</xdr:colOff>
      <xdr:row>3</xdr:row>
      <xdr:rowOff>307182</xdr:rowOff>
    </xdr:from>
    <xdr:to>
      <xdr:col>2</xdr:col>
      <xdr:colOff>154781</xdr:colOff>
      <xdr:row>3</xdr:row>
      <xdr:rowOff>685800</xdr:rowOff>
    </xdr:to>
    <xdr:sp macro="" textlink="">
      <xdr:nvSpPr>
        <xdr:cNvPr id="8" name="Полилиния 7"/>
        <xdr:cNvSpPr/>
      </xdr:nvSpPr>
      <xdr:spPr>
        <a:xfrm flipH="1">
          <a:off x="1314450" y="1564482"/>
          <a:ext cx="59531" cy="378618"/>
        </a:xfrm>
        <a:custGeom>
          <a:avLst/>
          <a:gdLst>
            <a:gd name="connsiteX0" fmla="*/ 59531 w 59531"/>
            <a:gd name="connsiteY0" fmla="*/ 378618 h 378618"/>
            <a:gd name="connsiteX1" fmla="*/ 0 w 59531"/>
            <a:gd name="connsiteY1" fmla="*/ 319087 h 378618"/>
            <a:gd name="connsiteX2" fmla="*/ 0 w 59531"/>
            <a:gd name="connsiteY2" fmla="*/ 59531 h 378618"/>
            <a:gd name="connsiteX3" fmla="*/ 59531 w 59531"/>
            <a:gd name="connsiteY3" fmla="*/ 0 h 3786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531" h="378618">
              <a:moveTo>
                <a:pt x="59531" y="378618"/>
              </a:moveTo>
              <a:lnTo>
                <a:pt x="0" y="319087"/>
              </a:lnTo>
              <a:lnTo>
                <a:pt x="0" y="59531"/>
              </a:lnTo>
              <a:lnTo>
                <a:pt x="59531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240506</xdr:colOff>
      <xdr:row>3</xdr:row>
      <xdr:rowOff>307182</xdr:rowOff>
    </xdr:from>
    <xdr:to>
      <xdr:col>2</xdr:col>
      <xdr:colOff>300037</xdr:colOff>
      <xdr:row>3</xdr:row>
      <xdr:rowOff>685800</xdr:rowOff>
    </xdr:to>
    <xdr:sp macro="" textlink="">
      <xdr:nvSpPr>
        <xdr:cNvPr id="143" name="Полилиния 142"/>
        <xdr:cNvSpPr/>
      </xdr:nvSpPr>
      <xdr:spPr>
        <a:xfrm>
          <a:off x="1459706" y="1564482"/>
          <a:ext cx="59531" cy="378618"/>
        </a:xfrm>
        <a:custGeom>
          <a:avLst/>
          <a:gdLst>
            <a:gd name="connsiteX0" fmla="*/ 59531 w 59531"/>
            <a:gd name="connsiteY0" fmla="*/ 378618 h 378618"/>
            <a:gd name="connsiteX1" fmla="*/ 0 w 59531"/>
            <a:gd name="connsiteY1" fmla="*/ 319087 h 378618"/>
            <a:gd name="connsiteX2" fmla="*/ 0 w 59531"/>
            <a:gd name="connsiteY2" fmla="*/ 59531 h 378618"/>
            <a:gd name="connsiteX3" fmla="*/ 59531 w 59531"/>
            <a:gd name="connsiteY3" fmla="*/ 0 h 3786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531" h="378618">
              <a:moveTo>
                <a:pt x="59531" y="378618"/>
              </a:moveTo>
              <a:lnTo>
                <a:pt x="0" y="319087"/>
              </a:lnTo>
              <a:lnTo>
                <a:pt x="0" y="59531"/>
              </a:lnTo>
              <a:lnTo>
                <a:pt x="59531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360761</xdr:colOff>
      <xdr:row>3</xdr:row>
      <xdr:rowOff>522684</xdr:rowOff>
    </xdr:from>
    <xdr:to>
      <xdr:col>1</xdr:col>
      <xdr:colOff>129779</xdr:colOff>
      <xdr:row>3</xdr:row>
      <xdr:rowOff>582215</xdr:rowOff>
    </xdr:to>
    <xdr:sp macro="" textlink="">
      <xdr:nvSpPr>
        <xdr:cNvPr id="144" name="Полилиния 143"/>
        <xdr:cNvSpPr/>
      </xdr:nvSpPr>
      <xdr:spPr>
        <a:xfrm rot="16200000" flipH="1">
          <a:off x="520304" y="1870812"/>
          <a:ext cx="59531" cy="378618"/>
        </a:xfrm>
        <a:custGeom>
          <a:avLst/>
          <a:gdLst>
            <a:gd name="connsiteX0" fmla="*/ 59531 w 59531"/>
            <a:gd name="connsiteY0" fmla="*/ 378618 h 378618"/>
            <a:gd name="connsiteX1" fmla="*/ 0 w 59531"/>
            <a:gd name="connsiteY1" fmla="*/ 319087 h 378618"/>
            <a:gd name="connsiteX2" fmla="*/ 0 w 59531"/>
            <a:gd name="connsiteY2" fmla="*/ 59531 h 378618"/>
            <a:gd name="connsiteX3" fmla="*/ 59531 w 59531"/>
            <a:gd name="connsiteY3" fmla="*/ 0 h 3786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531" h="378618">
              <a:moveTo>
                <a:pt x="59531" y="378618"/>
              </a:moveTo>
              <a:lnTo>
                <a:pt x="0" y="319087"/>
              </a:lnTo>
              <a:lnTo>
                <a:pt x="0" y="59531"/>
              </a:lnTo>
              <a:lnTo>
                <a:pt x="59531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360761</xdr:colOff>
      <xdr:row>3</xdr:row>
      <xdr:rowOff>413147</xdr:rowOff>
    </xdr:from>
    <xdr:to>
      <xdr:col>1</xdr:col>
      <xdr:colOff>129779</xdr:colOff>
      <xdr:row>3</xdr:row>
      <xdr:rowOff>472678</xdr:rowOff>
    </xdr:to>
    <xdr:sp macro="" textlink="">
      <xdr:nvSpPr>
        <xdr:cNvPr id="145" name="Полилиния 144"/>
        <xdr:cNvSpPr/>
      </xdr:nvSpPr>
      <xdr:spPr>
        <a:xfrm rot="16200000">
          <a:off x="520304" y="1761275"/>
          <a:ext cx="59531" cy="378618"/>
        </a:xfrm>
        <a:custGeom>
          <a:avLst/>
          <a:gdLst>
            <a:gd name="connsiteX0" fmla="*/ 59531 w 59531"/>
            <a:gd name="connsiteY0" fmla="*/ 378618 h 378618"/>
            <a:gd name="connsiteX1" fmla="*/ 0 w 59531"/>
            <a:gd name="connsiteY1" fmla="*/ 319087 h 378618"/>
            <a:gd name="connsiteX2" fmla="*/ 0 w 59531"/>
            <a:gd name="connsiteY2" fmla="*/ 59531 h 378618"/>
            <a:gd name="connsiteX3" fmla="*/ 59531 w 59531"/>
            <a:gd name="connsiteY3" fmla="*/ 0 h 3786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531" h="378618">
              <a:moveTo>
                <a:pt x="59531" y="378618"/>
              </a:moveTo>
              <a:lnTo>
                <a:pt x="0" y="319087"/>
              </a:lnTo>
              <a:lnTo>
                <a:pt x="0" y="59531"/>
              </a:lnTo>
              <a:lnTo>
                <a:pt x="59531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18207</xdr:colOff>
      <xdr:row>2</xdr:row>
      <xdr:rowOff>477680</xdr:rowOff>
    </xdr:from>
    <xdr:to>
      <xdr:col>2</xdr:col>
      <xdr:colOff>445846</xdr:colOff>
      <xdr:row>2</xdr:row>
      <xdr:rowOff>766405</xdr:rowOff>
    </xdr:to>
    <xdr:sp macro="" textlink="">
      <xdr:nvSpPr>
        <xdr:cNvPr id="115" name="Полилиния 114"/>
        <xdr:cNvSpPr/>
      </xdr:nvSpPr>
      <xdr:spPr>
        <a:xfrm>
          <a:off x="1239197" y="1040230"/>
          <a:ext cx="427639" cy="288725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257735"/>
            <a:gd name="connsiteY0" fmla="*/ 1344706 h 1344706"/>
            <a:gd name="connsiteX1" fmla="*/ 44823 w 257735"/>
            <a:gd name="connsiteY1" fmla="*/ 707452 h 1344706"/>
            <a:gd name="connsiteX2" fmla="*/ 257735 w 257735"/>
            <a:gd name="connsiteY2" fmla="*/ 0 h 1344706"/>
            <a:gd name="connsiteX0" fmla="*/ 0 w 518510"/>
            <a:gd name="connsiteY0" fmla="*/ 701364 h 701364"/>
            <a:gd name="connsiteX1" fmla="*/ 44823 w 518510"/>
            <a:gd name="connsiteY1" fmla="*/ 64110 h 701364"/>
            <a:gd name="connsiteX2" fmla="*/ 518510 w 518510"/>
            <a:gd name="connsiteY2" fmla="*/ 74408 h 701364"/>
            <a:gd name="connsiteX0" fmla="*/ 0 w 518510"/>
            <a:gd name="connsiteY0" fmla="*/ 637254 h 637254"/>
            <a:gd name="connsiteX1" fmla="*/ 44823 w 518510"/>
            <a:gd name="connsiteY1" fmla="*/ 0 h 637254"/>
            <a:gd name="connsiteX2" fmla="*/ 518510 w 518510"/>
            <a:gd name="connsiteY2" fmla="*/ 10298 h 637254"/>
            <a:gd name="connsiteX0" fmla="*/ 0 w 518510"/>
            <a:gd name="connsiteY0" fmla="*/ 626955 h 626955"/>
            <a:gd name="connsiteX1" fmla="*/ 44823 w 518510"/>
            <a:gd name="connsiteY1" fmla="*/ 12855 h 626955"/>
            <a:gd name="connsiteX2" fmla="*/ 518510 w 518510"/>
            <a:gd name="connsiteY2" fmla="*/ -1 h 626955"/>
            <a:gd name="connsiteX0" fmla="*/ 0 w 511462"/>
            <a:gd name="connsiteY0" fmla="*/ 614100 h 614100"/>
            <a:gd name="connsiteX1" fmla="*/ 44823 w 511462"/>
            <a:gd name="connsiteY1" fmla="*/ 0 h 614100"/>
            <a:gd name="connsiteX2" fmla="*/ 511462 w 511462"/>
            <a:gd name="connsiteY2" fmla="*/ 10299 h 614100"/>
            <a:gd name="connsiteX0" fmla="*/ 0 w 553751"/>
            <a:gd name="connsiteY0" fmla="*/ 614100 h 614100"/>
            <a:gd name="connsiteX1" fmla="*/ 44823 w 553751"/>
            <a:gd name="connsiteY1" fmla="*/ 0 h 614100"/>
            <a:gd name="connsiteX2" fmla="*/ 553751 w 553751"/>
            <a:gd name="connsiteY2" fmla="*/ 10299 h 614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53751" h="614100">
              <a:moveTo>
                <a:pt x="0" y="614100"/>
              </a:moveTo>
              <a:cubicBezTo>
                <a:pt x="933" y="384379"/>
                <a:pt x="1867" y="224118"/>
                <a:pt x="44823" y="0"/>
              </a:cubicBezTo>
              <a:lnTo>
                <a:pt x="553751" y="10299"/>
              </a:lnTo>
            </a:path>
          </a:pathLst>
        </a:custGeom>
        <a:noFill/>
        <a:ln w="34925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118800</xdr:colOff>
      <xdr:row>4</xdr:row>
      <xdr:rowOff>746388</xdr:rowOff>
    </xdr:from>
    <xdr:to>
      <xdr:col>2</xdr:col>
      <xdr:colOff>194113</xdr:colOff>
      <xdr:row>4</xdr:row>
      <xdr:rowOff>818388</xdr:rowOff>
    </xdr:to>
    <xdr:sp macro="" textlink="">
      <xdr:nvSpPr>
        <xdr:cNvPr id="116" name="Овал 11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>
          <a:spLocks noChangeAspect="1"/>
        </xdr:cNvSpPr>
      </xdr:nvSpPr>
      <xdr:spPr>
        <a:xfrm>
          <a:off x="1344626" y="319804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200017</xdr:colOff>
      <xdr:row>4</xdr:row>
      <xdr:rowOff>150744</xdr:rowOff>
    </xdr:from>
    <xdr:to>
      <xdr:col>2</xdr:col>
      <xdr:colOff>364440</xdr:colOff>
      <xdr:row>4</xdr:row>
      <xdr:rowOff>461588</xdr:rowOff>
    </xdr:to>
    <xdr:sp macro="" textlink="">
      <xdr:nvSpPr>
        <xdr:cNvPr id="118" name="Полилиния 117"/>
        <xdr:cNvSpPr/>
      </xdr:nvSpPr>
      <xdr:spPr>
        <a:xfrm>
          <a:off x="1425843" y="2602396"/>
          <a:ext cx="164423" cy="310844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212912"/>
            <a:gd name="connsiteY0" fmla="*/ 661147 h 661146"/>
            <a:gd name="connsiteX1" fmla="*/ 212912 w 212912"/>
            <a:gd name="connsiteY1" fmla="*/ 0 h 661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2912" h="661146">
              <a:moveTo>
                <a:pt x="0" y="661147"/>
              </a:moveTo>
              <a:cubicBezTo>
                <a:pt x="42956" y="437029"/>
                <a:pt x="127934" y="218514"/>
                <a:pt x="212912" y="0"/>
              </a:cubicBezTo>
            </a:path>
          </a:pathLst>
        </a:custGeom>
        <a:noFill/>
        <a:ln w="1905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68928</xdr:colOff>
      <xdr:row>4</xdr:row>
      <xdr:rowOff>367390</xdr:rowOff>
    </xdr:from>
    <xdr:to>
      <xdr:col>2</xdr:col>
      <xdr:colOff>195928</xdr:colOff>
      <xdr:row>4</xdr:row>
      <xdr:rowOff>495420</xdr:rowOff>
    </xdr:to>
    <xdr:grpSp>
      <xdr:nvGrpSpPr>
        <xdr:cNvPr id="119" name="Группа 118"/>
        <xdr:cNvGrpSpPr/>
      </xdr:nvGrpSpPr>
      <xdr:grpSpPr>
        <a:xfrm>
          <a:off x="1288128" y="2815315"/>
          <a:ext cx="127000" cy="128030"/>
          <a:chOff x="1132242" y="1306343"/>
          <a:chExt cx="123151" cy="128030"/>
        </a:xfrm>
      </xdr:grpSpPr>
      <xdr:cxnSp macro="">
        <xdr:nvCxnSpPr>
          <xdr:cNvPr id="120" name="Прямая соединительная линия 11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3" name="Прямоугольник 12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195734</xdr:colOff>
      <xdr:row>4</xdr:row>
      <xdr:rowOff>494048</xdr:rowOff>
    </xdr:from>
    <xdr:to>
      <xdr:col>2</xdr:col>
      <xdr:colOff>554939</xdr:colOff>
      <xdr:row>4</xdr:row>
      <xdr:rowOff>494048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421560" y="2945700"/>
          <a:ext cx="359205" cy="0"/>
        </a:xfrm>
        <a:prstGeom prst="straightConnector1">
          <a:avLst/>
        </a:prstGeom>
        <a:ln w="19050">
          <a:prstDash val="sysDash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159009</xdr:colOff>
      <xdr:row>4</xdr:row>
      <xdr:rowOff>494245</xdr:rowOff>
    </xdr:from>
    <xdr:to>
      <xdr:col>2</xdr:col>
      <xdr:colOff>586648</xdr:colOff>
      <xdr:row>4</xdr:row>
      <xdr:rowOff>782970</xdr:rowOff>
    </xdr:to>
    <xdr:sp macro="" textlink="">
      <xdr:nvSpPr>
        <xdr:cNvPr id="128" name="Полилиния 127"/>
        <xdr:cNvSpPr/>
      </xdr:nvSpPr>
      <xdr:spPr>
        <a:xfrm>
          <a:off x="1384835" y="2945897"/>
          <a:ext cx="427639" cy="288725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  <a:gd name="connsiteX0" fmla="*/ 0 w 257735"/>
            <a:gd name="connsiteY0" fmla="*/ 1344706 h 1344706"/>
            <a:gd name="connsiteX1" fmla="*/ 44823 w 257735"/>
            <a:gd name="connsiteY1" fmla="*/ 707452 h 1344706"/>
            <a:gd name="connsiteX2" fmla="*/ 257735 w 257735"/>
            <a:gd name="connsiteY2" fmla="*/ 0 h 1344706"/>
            <a:gd name="connsiteX0" fmla="*/ 0 w 518510"/>
            <a:gd name="connsiteY0" fmla="*/ 701364 h 701364"/>
            <a:gd name="connsiteX1" fmla="*/ 44823 w 518510"/>
            <a:gd name="connsiteY1" fmla="*/ 64110 h 701364"/>
            <a:gd name="connsiteX2" fmla="*/ 518510 w 518510"/>
            <a:gd name="connsiteY2" fmla="*/ 74408 h 701364"/>
            <a:gd name="connsiteX0" fmla="*/ 0 w 518510"/>
            <a:gd name="connsiteY0" fmla="*/ 637254 h 637254"/>
            <a:gd name="connsiteX1" fmla="*/ 44823 w 518510"/>
            <a:gd name="connsiteY1" fmla="*/ 0 h 637254"/>
            <a:gd name="connsiteX2" fmla="*/ 518510 w 518510"/>
            <a:gd name="connsiteY2" fmla="*/ 10298 h 637254"/>
            <a:gd name="connsiteX0" fmla="*/ 0 w 518510"/>
            <a:gd name="connsiteY0" fmla="*/ 626955 h 626955"/>
            <a:gd name="connsiteX1" fmla="*/ 44823 w 518510"/>
            <a:gd name="connsiteY1" fmla="*/ 12855 h 626955"/>
            <a:gd name="connsiteX2" fmla="*/ 518510 w 518510"/>
            <a:gd name="connsiteY2" fmla="*/ -1 h 626955"/>
            <a:gd name="connsiteX0" fmla="*/ 0 w 511462"/>
            <a:gd name="connsiteY0" fmla="*/ 614100 h 614100"/>
            <a:gd name="connsiteX1" fmla="*/ 44823 w 511462"/>
            <a:gd name="connsiteY1" fmla="*/ 0 h 614100"/>
            <a:gd name="connsiteX2" fmla="*/ 511462 w 511462"/>
            <a:gd name="connsiteY2" fmla="*/ 10299 h 614100"/>
            <a:gd name="connsiteX0" fmla="*/ 0 w 553751"/>
            <a:gd name="connsiteY0" fmla="*/ 614100 h 614100"/>
            <a:gd name="connsiteX1" fmla="*/ 44823 w 553751"/>
            <a:gd name="connsiteY1" fmla="*/ 0 h 614100"/>
            <a:gd name="connsiteX2" fmla="*/ 553751 w 553751"/>
            <a:gd name="connsiteY2" fmla="*/ 10299 h 614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53751" h="614100">
              <a:moveTo>
                <a:pt x="0" y="614100"/>
              </a:moveTo>
              <a:cubicBezTo>
                <a:pt x="933" y="384379"/>
                <a:pt x="1867" y="224118"/>
                <a:pt x="44823" y="0"/>
              </a:cubicBezTo>
              <a:lnTo>
                <a:pt x="553751" y="10299"/>
              </a:lnTo>
            </a:path>
          </a:pathLst>
        </a:custGeom>
        <a:noFill/>
        <a:ln w="34925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467230</xdr:colOff>
      <xdr:row>11</xdr:row>
      <xdr:rowOff>1190201</xdr:rowOff>
    </xdr:from>
    <xdr:to>
      <xdr:col>7</xdr:col>
      <xdr:colOff>266699</xdr:colOff>
      <xdr:row>11</xdr:row>
      <xdr:rowOff>2724151</xdr:rowOff>
    </xdr:to>
    <xdr:sp macro="" textlink="">
      <xdr:nvSpPr>
        <xdr:cNvPr id="44" name="Прямоугольник 43"/>
        <xdr:cNvSpPr/>
      </xdr:nvSpPr>
      <xdr:spPr>
        <a:xfrm>
          <a:off x="2143630" y="4085801"/>
          <a:ext cx="3057019" cy="1533950"/>
        </a:xfrm>
        <a:prstGeom prst="rect">
          <a:avLst/>
        </a:prstGeom>
        <a:solidFill>
          <a:schemeClr val="bg1">
            <a:lumMod val="9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3</xdr:col>
      <xdr:colOff>728638</xdr:colOff>
      <xdr:row>11</xdr:row>
      <xdr:rowOff>303030</xdr:rowOff>
    </xdr:from>
    <xdr:to>
      <xdr:col>6</xdr:col>
      <xdr:colOff>618346</xdr:colOff>
      <xdr:row>11</xdr:row>
      <xdr:rowOff>634838</xdr:rowOff>
    </xdr:to>
    <xdr:sp macro="" textlink="">
      <xdr:nvSpPr>
        <xdr:cNvPr id="9" name="TextBox 8"/>
        <xdr:cNvSpPr txBox="1"/>
      </xdr:nvSpPr>
      <xdr:spPr>
        <a:xfrm>
          <a:off x="2405038" y="3198630"/>
          <a:ext cx="2432883" cy="331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/>
            <a:t>проспект</a:t>
          </a:r>
          <a:r>
            <a:rPr lang="ru-RU" sz="1400" b="1" baseline="0"/>
            <a:t> Гагарина</a:t>
          </a:r>
          <a:endParaRPr lang="ru-RU" sz="1400" b="1"/>
        </a:p>
      </xdr:txBody>
    </xdr:sp>
    <xdr:clientData/>
  </xdr:twoCellAnchor>
  <xdr:twoCellAnchor>
    <xdr:from>
      <xdr:col>3</xdr:col>
      <xdr:colOff>124331</xdr:colOff>
      <xdr:row>11</xdr:row>
      <xdr:rowOff>1056850</xdr:rowOff>
    </xdr:from>
    <xdr:to>
      <xdr:col>4</xdr:col>
      <xdr:colOff>128565</xdr:colOff>
      <xdr:row>11</xdr:row>
      <xdr:rowOff>2725209</xdr:rowOff>
    </xdr:to>
    <xdr:sp macro="" textlink="">
      <xdr:nvSpPr>
        <xdr:cNvPr id="11" name="Прямоугольник 10"/>
        <xdr:cNvSpPr/>
      </xdr:nvSpPr>
      <xdr:spPr>
        <a:xfrm>
          <a:off x="1796498" y="3988433"/>
          <a:ext cx="914400" cy="1668359"/>
        </a:xfrm>
        <a:prstGeom prst="rect">
          <a:avLst/>
        </a:prstGeom>
        <a:solidFill>
          <a:schemeClr val="bg1">
            <a:lumMod val="6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4</xdr:col>
      <xdr:colOff>562502</xdr:colOff>
      <xdr:row>11</xdr:row>
      <xdr:rowOff>1056850</xdr:rowOff>
    </xdr:from>
    <xdr:to>
      <xdr:col>5</xdr:col>
      <xdr:colOff>433610</xdr:colOff>
      <xdr:row>11</xdr:row>
      <xdr:rowOff>2028618</xdr:rowOff>
    </xdr:to>
    <xdr:sp macro="" textlink="">
      <xdr:nvSpPr>
        <xdr:cNvPr id="12" name="Полилиния 11"/>
        <xdr:cNvSpPr/>
      </xdr:nvSpPr>
      <xdr:spPr>
        <a:xfrm>
          <a:off x="3144835" y="3988433"/>
          <a:ext cx="781275" cy="971768"/>
        </a:xfrm>
        <a:custGeom>
          <a:avLst/>
          <a:gdLst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8" fmla="*/ 560294 w 1019735"/>
            <a:gd name="connsiteY8" fmla="*/ 1423147 h 1423147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9065 w 1019735"/>
            <a:gd name="connsiteY7" fmla="*/ 1428506 h 1428506"/>
            <a:gd name="connsiteX8" fmla="*/ 560294 w 1019735"/>
            <a:gd name="connsiteY8" fmla="*/ 1423147 h 1428506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0782 w 1019735"/>
            <a:gd name="connsiteY7" fmla="*/ 1428506 h 1428506"/>
            <a:gd name="connsiteX8" fmla="*/ 560294 w 1019735"/>
            <a:gd name="connsiteY8" fmla="*/ 1423147 h 1428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19735" h="1428506">
              <a:moveTo>
                <a:pt x="560294" y="1423147"/>
              </a:moveTo>
              <a:lnTo>
                <a:pt x="560294" y="593912"/>
              </a:lnTo>
              <a:lnTo>
                <a:pt x="0" y="593912"/>
              </a:lnTo>
              <a:lnTo>
                <a:pt x="0" y="0"/>
              </a:lnTo>
              <a:lnTo>
                <a:pt x="1019735" y="0"/>
              </a:lnTo>
              <a:lnTo>
                <a:pt x="1019735" y="605117"/>
              </a:lnTo>
              <a:lnTo>
                <a:pt x="952500" y="605117"/>
              </a:lnTo>
              <a:cubicBezTo>
                <a:pt x="955261" y="879580"/>
                <a:pt x="958021" y="1154043"/>
                <a:pt x="960782" y="1428506"/>
              </a:cubicBezTo>
              <a:lnTo>
                <a:pt x="560294" y="1423147"/>
              </a:lnTo>
              <a:close/>
            </a:path>
          </a:pathLst>
        </a:custGeom>
        <a:solidFill>
          <a:schemeClr val="bg1">
            <a:lumMod val="6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184655</xdr:colOff>
      <xdr:row>11</xdr:row>
      <xdr:rowOff>1056852</xdr:rowOff>
    </xdr:from>
    <xdr:to>
      <xdr:col>7</xdr:col>
      <xdr:colOff>493688</xdr:colOff>
      <xdr:row>11</xdr:row>
      <xdr:rowOff>2725943</xdr:rowOff>
    </xdr:to>
    <xdr:sp macro="" textlink="">
      <xdr:nvSpPr>
        <xdr:cNvPr id="13" name="Полилиния 12"/>
        <xdr:cNvSpPr/>
      </xdr:nvSpPr>
      <xdr:spPr>
        <a:xfrm>
          <a:off x="4396822" y="3988435"/>
          <a:ext cx="1028699" cy="1669091"/>
        </a:xfrm>
        <a:custGeom>
          <a:avLst/>
          <a:gdLst>
            <a:gd name="connsiteX0" fmla="*/ 672353 w 1120588"/>
            <a:gd name="connsiteY0" fmla="*/ 1389529 h 1389529"/>
            <a:gd name="connsiteX1" fmla="*/ 504265 w 1120588"/>
            <a:gd name="connsiteY1" fmla="*/ 571500 h 1389529"/>
            <a:gd name="connsiteX2" fmla="*/ 0 w 1120588"/>
            <a:gd name="connsiteY2" fmla="*/ 571500 h 1389529"/>
            <a:gd name="connsiteX3" fmla="*/ 0 w 1120588"/>
            <a:gd name="connsiteY3" fmla="*/ 0 h 1389529"/>
            <a:gd name="connsiteX4" fmla="*/ 1120588 w 1120588"/>
            <a:gd name="connsiteY4" fmla="*/ 0 h 1389529"/>
            <a:gd name="connsiteX0" fmla="*/ 779191 w 1120588"/>
            <a:gd name="connsiteY0" fmla="*/ 1911334 h 1911334"/>
            <a:gd name="connsiteX1" fmla="*/ 504265 w 1120588"/>
            <a:gd name="connsiteY1" fmla="*/ 571500 h 1911334"/>
            <a:gd name="connsiteX2" fmla="*/ 0 w 1120588"/>
            <a:gd name="connsiteY2" fmla="*/ 571500 h 1911334"/>
            <a:gd name="connsiteX3" fmla="*/ 0 w 1120588"/>
            <a:gd name="connsiteY3" fmla="*/ 0 h 1911334"/>
            <a:gd name="connsiteX4" fmla="*/ 1120588 w 1120588"/>
            <a:gd name="connsiteY4" fmla="*/ 0 h 1911334"/>
            <a:gd name="connsiteX0" fmla="*/ 836246 w 1120588"/>
            <a:gd name="connsiteY0" fmla="*/ 2270791 h 2270791"/>
            <a:gd name="connsiteX1" fmla="*/ 504265 w 1120588"/>
            <a:gd name="connsiteY1" fmla="*/ 571500 h 2270791"/>
            <a:gd name="connsiteX2" fmla="*/ 0 w 1120588"/>
            <a:gd name="connsiteY2" fmla="*/ 571500 h 2270791"/>
            <a:gd name="connsiteX3" fmla="*/ 0 w 1120588"/>
            <a:gd name="connsiteY3" fmla="*/ 0 h 2270791"/>
            <a:gd name="connsiteX4" fmla="*/ 1120588 w 1120588"/>
            <a:gd name="connsiteY4" fmla="*/ 0 h 2270791"/>
            <a:gd name="connsiteX0" fmla="*/ 836246 w 1427258"/>
            <a:gd name="connsiteY0" fmla="*/ 2270791 h 2270791"/>
            <a:gd name="connsiteX1" fmla="*/ 504265 w 1427258"/>
            <a:gd name="connsiteY1" fmla="*/ 571500 h 2270791"/>
            <a:gd name="connsiteX2" fmla="*/ 0 w 1427258"/>
            <a:gd name="connsiteY2" fmla="*/ 571500 h 2270791"/>
            <a:gd name="connsiteX3" fmla="*/ 0 w 1427258"/>
            <a:gd name="connsiteY3" fmla="*/ 0 h 2270791"/>
            <a:gd name="connsiteX4" fmla="*/ 1427258 w 1427258"/>
            <a:gd name="connsiteY4" fmla="*/ 0 h 2270791"/>
            <a:gd name="connsiteX0" fmla="*/ 836246 w 1427258"/>
            <a:gd name="connsiteY0" fmla="*/ 2270791 h 2270791"/>
            <a:gd name="connsiteX1" fmla="*/ 504265 w 1427258"/>
            <a:gd name="connsiteY1" fmla="*/ 571500 h 2270791"/>
            <a:gd name="connsiteX2" fmla="*/ 0 w 1427258"/>
            <a:gd name="connsiteY2" fmla="*/ 571500 h 2270791"/>
            <a:gd name="connsiteX3" fmla="*/ 0 w 1427258"/>
            <a:gd name="connsiteY3" fmla="*/ 0 h 2270791"/>
            <a:gd name="connsiteX4" fmla="*/ 1427258 w 1427258"/>
            <a:gd name="connsiteY4" fmla="*/ 0 h 2270791"/>
            <a:gd name="connsiteX5" fmla="*/ 836246 w 1427258"/>
            <a:gd name="connsiteY5" fmla="*/ 2270791 h 2270791"/>
            <a:gd name="connsiteX0" fmla="*/ 836246 w 1427258"/>
            <a:gd name="connsiteY0" fmla="*/ 2270791 h 2270791"/>
            <a:gd name="connsiteX1" fmla="*/ 504265 w 1427258"/>
            <a:gd name="connsiteY1" fmla="*/ 571500 h 2270791"/>
            <a:gd name="connsiteX2" fmla="*/ 0 w 1427258"/>
            <a:gd name="connsiteY2" fmla="*/ 571500 h 2270791"/>
            <a:gd name="connsiteX3" fmla="*/ 0 w 1427258"/>
            <a:gd name="connsiteY3" fmla="*/ 0 h 2270791"/>
            <a:gd name="connsiteX4" fmla="*/ 1427258 w 1427258"/>
            <a:gd name="connsiteY4" fmla="*/ 0 h 2270791"/>
            <a:gd name="connsiteX5" fmla="*/ 993405 w 1427258"/>
            <a:gd name="connsiteY5" fmla="*/ 1604208 h 2270791"/>
            <a:gd name="connsiteX6" fmla="*/ 836246 w 1427258"/>
            <a:gd name="connsiteY6" fmla="*/ 2270791 h 2270791"/>
            <a:gd name="connsiteX0" fmla="*/ 836246 w 1427258"/>
            <a:gd name="connsiteY0" fmla="*/ 2270791 h 2271788"/>
            <a:gd name="connsiteX1" fmla="*/ 504265 w 1427258"/>
            <a:gd name="connsiteY1" fmla="*/ 571500 h 2271788"/>
            <a:gd name="connsiteX2" fmla="*/ 0 w 1427258"/>
            <a:gd name="connsiteY2" fmla="*/ 571500 h 2271788"/>
            <a:gd name="connsiteX3" fmla="*/ 0 w 1427258"/>
            <a:gd name="connsiteY3" fmla="*/ 0 h 2271788"/>
            <a:gd name="connsiteX4" fmla="*/ 1427258 w 1427258"/>
            <a:gd name="connsiteY4" fmla="*/ 0 h 2271788"/>
            <a:gd name="connsiteX5" fmla="*/ 1409014 w 1427258"/>
            <a:gd name="connsiteY5" fmla="*/ 2271788 h 2271788"/>
            <a:gd name="connsiteX6" fmla="*/ 836246 w 1427258"/>
            <a:gd name="connsiteY6" fmla="*/ 2270791 h 22717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27258" h="2271788">
              <a:moveTo>
                <a:pt x="836246" y="2270791"/>
              </a:moveTo>
              <a:lnTo>
                <a:pt x="504265" y="571500"/>
              </a:lnTo>
              <a:lnTo>
                <a:pt x="0" y="571500"/>
              </a:lnTo>
              <a:lnTo>
                <a:pt x="0" y="0"/>
              </a:lnTo>
              <a:lnTo>
                <a:pt x="1427258" y="0"/>
              </a:lnTo>
              <a:lnTo>
                <a:pt x="1409014" y="2271788"/>
              </a:lnTo>
              <a:lnTo>
                <a:pt x="836246" y="2270791"/>
              </a:lnTo>
              <a:close/>
            </a:path>
          </a:pathLst>
        </a:custGeom>
        <a:solidFill>
          <a:schemeClr val="bg1">
            <a:lumMod val="6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133855</xdr:colOff>
      <xdr:row>11</xdr:row>
      <xdr:rowOff>143933</xdr:rowOff>
    </xdr:from>
    <xdr:to>
      <xdr:col>7</xdr:col>
      <xdr:colOff>573273</xdr:colOff>
      <xdr:row>11</xdr:row>
      <xdr:rowOff>202948</xdr:rowOff>
    </xdr:to>
    <xdr:sp macro="" textlink="">
      <xdr:nvSpPr>
        <xdr:cNvPr id="14" name="Полилиния 13"/>
        <xdr:cNvSpPr/>
      </xdr:nvSpPr>
      <xdr:spPr>
        <a:xfrm flipV="1">
          <a:off x="1810255" y="3039533"/>
          <a:ext cx="3696968" cy="59015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2">
              <a:lumMod val="40000"/>
              <a:lumOff val="60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57056</xdr:colOff>
      <xdr:row>11</xdr:row>
      <xdr:rowOff>1214865</xdr:rowOff>
    </xdr:from>
    <xdr:to>
      <xdr:col>5</xdr:col>
      <xdr:colOff>57056</xdr:colOff>
      <xdr:row>11</xdr:row>
      <xdr:rowOff>1214865</xdr:rowOff>
    </xdr:to>
    <xdr:cxnSp macro="">
      <xdr:nvCxnSpPr>
        <xdr:cNvPr id="16" name="Прямая соединительная линия 15"/>
        <xdr:cNvCxnSpPr/>
      </xdr:nvCxnSpPr>
      <xdr:spPr>
        <a:xfrm>
          <a:off x="3549556" y="4146448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421782</xdr:colOff>
      <xdr:row>11</xdr:row>
      <xdr:rowOff>2318807</xdr:rowOff>
    </xdr:from>
    <xdr:to>
      <xdr:col>6</xdr:col>
      <xdr:colOff>309808</xdr:colOff>
      <xdr:row>11</xdr:row>
      <xdr:rowOff>2727628</xdr:rowOff>
    </xdr:to>
    <xdr:sp macro="" textlink="">
      <xdr:nvSpPr>
        <xdr:cNvPr id="17" name="Прямоугольник 16"/>
        <xdr:cNvSpPr/>
      </xdr:nvSpPr>
      <xdr:spPr>
        <a:xfrm>
          <a:off x="3016523" y="5209152"/>
          <a:ext cx="1517130" cy="408821"/>
        </a:xfrm>
        <a:prstGeom prst="rect">
          <a:avLst/>
        </a:prstGeom>
        <a:solidFill>
          <a:srgbClr val="00B05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SKODA</a:t>
          </a:r>
          <a:endParaRPr lang="ru-RU" sz="1200" b="1"/>
        </a:p>
      </xdr:txBody>
    </xdr:sp>
    <xdr:clientData/>
  </xdr:twoCellAnchor>
  <xdr:twoCellAnchor>
    <xdr:from>
      <xdr:col>3</xdr:col>
      <xdr:colOff>133855</xdr:colOff>
      <xdr:row>11</xdr:row>
      <xdr:rowOff>886883</xdr:rowOff>
    </xdr:from>
    <xdr:to>
      <xdr:col>7</xdr:col>
      <xdr:colOff>573273</xdr:colOff>
      <xdr:row>11</xdr:row>
      <xdr:rowOff>945898</xdr:rowOff>
    </xdr:to>
    <xdr:sp macro="" textlink="">
      <xdr:nvSpPr>
        <xdr:cNvPr id="33" name="Полилиния 32"/>
        <xdr:cNvSpPr/>
      </xdr:nvSpPr>
      <xdr:spPr>
        <a:xfrm flipV="1">
          <a:off x="1810255" y="3782483"/>
          <a:ext cx="3696968" cy="59015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2">
              <a:lumMod val="40000"/>
              <a:lumOff val="60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670891</xdr:colOff>
      <xdr:row>11</xdr:row>
      <xdr:rowOff>771524</xdr:rowOff>
    </xdr:from>
    <xdr:to>
      <xdr:col>7</xdr:col>
      <xdr:colOff>481853</xdr:colOff>
      <xdr:row>11</xdr:row>
      <xdr:rowOff>1219199</xdr:rowOff>
    </xdr:to>
    <xdr:sp macro="" textlink="">
      <xdr:nvSpPr>
        <xdr:cNvPr id="28" name="Полилиния 27"/>
        <xdr:cNvSpPr/>
      </xdr:nvSpPr>
      <xdr:spPr>
        <a:xfrm>
          <a:off x="4171778" y="3672156"/>
          <a:ext cx="1241509" cy="447675"/>
        </a:xfrm>
        <a:custGeom>
          <a:avLst/>
          <a:gdLst>
            <a:gd name="connsiteX0" fmla="*/ 0 w 807720"/>
            <a:gd name="connsiteY0" fmla="*/ 624840 h 624840"/>
            <a:gd name="connsiteX1" fmla="*/ 0 w 807720"/>
            <a:gd name="connsiteY1" fmla="*/ 0 h 624840"/>
            <a:gd name="connsiteX2" fmla="*/ 807720 w 807720"/>
            <a:gd name="connsiteY2" fmla="*/ 0 h 624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7720" h="624840">
              <a:moveTo>
                <a:pt x="0" y="624840"/>
              </a:moveTo>
              <a:lnTo>
                <a:pt x="0" y="0"/>
              </a:lnTo>
              <a:lnTo>
                <a:pt x="80772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135355</xdr:colOff>
      <xdr:row>11</xdr:row>
      <xdr:rowOff>1372101</xdr:rowOff>
    </xdr:from>
    <xdr:to>
      <xdr:col>6</xdr:col>
      <xdr:colOff>593616</xdr:colOff>
      <xdr:row>11</xdr:row>
      <xdr:rowOff>1830362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1421" y="4284746"/>
          <a:ext cx="458261" cy="458261"/>
        </a:xfrm>
        <a:prstGeom prst="rect">
          <a:avLst/>
        </a:prstGeom>
      </xdr:spPr>
    </xdr:pic>
    <xdr:clientData/>
  </xdr:twoCellAnchor>
  <xdr:twoCellAnchor>
    <xdr:from>
      <xdr:col>5</xdr:col>
      <xdr:colOff>617458</xdr:colOff>
      <xdr:row>11</xdr:row>
      <xdr:rowOff>1750444</xdr:rowOff>
    </xdr:from>
    <xdr:to>
      <xdr:col>6</xdr:col>
      <xdr:colOff>8576</xdr:colOff>
      <xdr:row>11</xdr:row>
      <xdr:rowOff>1858444</xdr:rowOff>
    </xdr:to>
    <xdr:sp macro="" textlink="">
      <xdr:nvSpPr>
        <xdr:cNvPr id="38" name="Овал 37"/>
        <xdr:cNvSpPr>
          <a:spLocks noChangeAspect="1"/>
        </xdr:cNvSpPr>
      </xdr:nvSpPr>
      <xdr:spPr>
        <a:xfrm>
          <a:off x="4124390" y="4659899"/>
          <a:ext cx="105493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92480</xdr:colOff>
      <xdr:row>11</xdr:row>
      <xdr:rowOff>1097816</xdr:rowOff>
    </xdr:from>
    <xdr:to>
      <xdr:col>4</xdr:col>
      <xdr:colOff>594292</xdr:colOff>
      <xdr:row>11</xdr:row>
      <xdr:rowOff>1216782</xdr:rowOff>
    </xdr:to>
    <xdr:grpSp>
      <xdr:nvGrpSpPr>
        <xdr:cNvPr id="51" name="Группа 50"/>
        <xdr:cNvGrpSpPr/>
      </xdr:nvGrpSpPr>
      <xdr:grpSpPr>
        <a:xfrm>
          <a:off x="2691444" y="5642602"/>
          <a:ext cx="501812" cy="118966"/>
          <a:chOff x="2687221" y="3988161"/>
          <a:chExt cx="501812" cy="118966"/>
        </a:xfrm>
      </xdr:grpSpPr>
      <xdr:cxnSp macro="">
        <xdr:nvCxnSpPr>
          <xdr:cNvPr id="15" name="Прямая соединительная линия 14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Овал 44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6" name="Прямая со стрелкой 45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7" name="Овал 46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8" name="Прямая со стрелкой 4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407789</xdr:colOff>
      <xdr:row>11</xdr:row>
      <xdr:rowOff>1214865</xdr:rowOff>
    </xdr:from>
    <xdr:to>
      <xdr:col>5</xdr:col>
      <xdr:colOff>407789</xdr:colOff>
      <xdr:row>11</xdr:row>
      <xdr:rowOff>1214865</xdr:rowOff>
    </xdr:to>
    <xdr:cxnSp macro="">
      <xdr:nvCxnSpPr>
        <xdr:cNvPr id="53" name="Прямая соединительная линия 52"/>
        <xdr:cNvCxnSpPr/>
      </xdr:nvCxnSpPr>
      <xdr:spPr>
        <a:xfrm>
          <a:off x="3915617" y="4105210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159657</xdr:colOff>
      <xdr:row>11</xdr:row>
      <xdr:rowOff>1165403</xdr:rowOff>
    </xdr:from>
    <xdr:to>
      <xdr:col>6</xdr:col>
      <xdr:colOff>206722</xdr:colOff>
      <xdr:row>11</xdr:row>
      <xdr:rowOff>1216782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spect="1"/>
        </xdr:cNvSpPr>
      </xdr:nvSpPr>
      <xdr:spPr>
        <a:xfrm flipV="1">
          <a:off x="4383502" y="4055748"/>
          <a:ext cx="47065" cy="5137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6</xdr:col>
      <xdr:colOff>87070</xdr:colOff>
      <xdr:row>11</xdr:row>
      <xdr:rowOff>1097816</xdr:rowOff>
    </xdr:from>
    <xdr:to>
      <xdr:col>6</xdr:col>
      <xdr:colOff>159479</xdr:colOff>
      <xdr:row>11</xdr:row>
      <xdr:rowOff>1169816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CxnSpPr/>
      </xdr:nvCxnSpPr>
      <xdr:spPr>
        <a:xfrm flipH="1" flipV="1">
          <a:off x="4310915" y="3988161"/>
          <a:ext cx="72409" cy="7200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411786</xdr:colOff>
      <xdr:row>11</xdr:row>
      <xdr:rowOff>1165403</xdr:rowOff>
    </xdr:from>
    <xdr:to>
      <xdr:col>5</xdr:col>
      <xdr:colOff>458851</xdr:colOff>
      <xdr:row>11</xdr:row>
      <xdr:rowOff>1216782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spect="1"/>
        </xdr:cNvSpPr>
      </xdr:nvSpPr>
      <xdr:spPr>
        <a:xfrm flipH="1" flipV="1">
          <a:off x="3919614" y="4055748"/>
          <a:ext cx="47065" cy="5137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5</xdr:col>
      <xdr:colOff>459030</xdr:colOff>
      <xdr:row>11</xdr:row>
      <xdr:rowOff>1097816</xdr:rowOff>
    </xdr:from>
    <xdr:to>
      <xdr:col>5</xdr:col>
      <xdr:colOff>531439</xdr:colOff>
      <xdr:row>11</xdr:row>
      <xdr:rowOff>1169816</xdr:rowOff>
    </xdr:to>
    <xdr:cxnSp macro="">
      <xdr:nvCxnSpPr>
        <xdr:cNvPr id="57" name="Прямая со стрелкой 56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CxnSpPr/>
      </xdr:nvCxnSpPr>
      <xdr:spPr>
        <a:xfrm flipV="1">
          <a:off x="3966858" y="3988161"/>
          <a:ext cx="72409" cy="7200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515853</xdr:colOff>
      <xdr:row>11</xdr:row>
      <xdr:rowOff>1264819</xdr:rowOff>
    </xdr:from>
    <xdr:to>
      <xdr:col>7</xdr:col>
      <xdr:colOff>487279</xdr:colOff>
      <xdr:row>11</xdr:row>
      <xdr:rowOff>2027465</xdr:rowOff>
    </xdr:to>
    <xdr:sp macro="" textlink="">
      <xdr:nvSpPr>
        <xdr:cNvPr id="2" name="TextBox 1"/>
        <xdr:cNvSpPr txBox="1"/>
      </xdr:nvSpPr>
      <xdr:spPr>
        <a:xfrm>
          <a:off x="4747674" y="2516676"/>
          <a:ext cx="692605" cy="7626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КВ-0</a:t>
          </a:r>
          <a:r>
            <a:rPr lang="ru-RU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Старт 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SKODA</a:t>
          </a:r>
        </a:p>
      </xdr:txBody>
    </xdr:sp>
    <xdr:clientData/>
  </xdr:twoCellAnchor>
  <xdr:twoCellAnchor>
    <xdr:from>
      <xdr:col>6</xdr:col>
      <xdr:colOff>235617</xdr:colOff>
      <xdr:row>11</xdr:row>
      <xdr:rowOff>1193131</xdr:rowOff>
    </xdr:from>
    <xdr:to>
      <xdr:col>7</xdr:col>
      <xdr:colOff>436145</xdr:colOff>
      <xdr:row>11</xdr:row>
      <xdr:rowOff>1193131</xdr:rowOff>
    </xdr:to>
    <xdr:cxnSp macro="">
      <xdr:nvCxnSpPr>
        <xdr:cNvPr id="5" name="Прямая соединительная линия 4"/>
        <xdr:cNvCxnSpPr/>
      </xdr:nvCxnSpPr>
      <xdr:spPr>
        <a:xfrm>
          <a:off x="4451683" y="4105776"/>
          <a:ext cx="917409" cy="0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175460</xdr:colOff>
      <xdr:row>11</xdr:row>
      <xdr:rowOff>1193131</xdr:rowOff>
    </xdr:from>
    <xdr:to>
      <xdr:col>4</xdr:col>
      <xdr:colOff>105277</xdr:colOff>
      <xdr:row>11</xdr:row>
      <xdr:rowOff>1193131</xdr:rowOff>
    </xdr:to>
    <xdr:cxnSp macro="">
      <xdr:nvCxnSpPr>
        <xdr:cNvPr id="50" name="Прямая соединительная линия 49"/>
        <xdr:cNvCxnSpPr/>
      </xdr:nvCxnSpPr>
      <xdr:spPr>
        <a:xfrm>
          <a:off x="1849855" y="4105776"/>
          <a:ext cx="842211" cy="0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606592</xdr:colOff>
      <xdr:row>11</xdr:row>
      <xdr:rowOff>1193131</xdr:rowOff>
    </xdr:from>
    <xdr:to>
      <xdr:col>5</xdr:col>
      <xdr:colOff>370974</xdr:colOff>
      <xdr:row>11</xdr:row>
      <xdr:rowOff>1193131</xdr:rowOff>
    </xdr:to>
    <xdr:cxnSp macro="">
      <xdr:nvCxnSpPr>
        <xdr:cNvPr id="52" name="Прямая соединительная линия 51"/>
        <xdr:cNvCxnSpPr/>
      </xdr:nvCxnSpPr>
      <xdr:spPr>
        <a:xfrm>
          <a:off x="3193381" y="4105776"/>
          <a:ext cx="676777" cy="0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670891</xdr:colOff>
      <xdr:row>11</xdr:row>
      <xdr:rowOff>1193320</xdr:rowOff>
    </xdr:from>
    <xdr:to>
      <xdr:col>5</xdr:col>
      <xdr:colOff>670891</xdr:colOff>
      <xdr:row>11</xdr:row>
      <xdr:rowOff>1682150</xdr:rowOff>
    </xdr:to>
    <xdr:cxnSp macro="">
      <xdr:nvCxnSpPr>
        <xdr:cNvPr id="7" name="Прямая соединительная линия 6"/>
        <xdr:cNvCxnSpPr/>
      </xdr:nvCxnSpPr>
      <xdr:spPr>
        <a:xfrm flipV="1">
          <a:off x="4171778" y="4093952"/>
          <a:ext cx="0" cy="488830"/>
        </a:xfrm>
        <a:prstGeom prst="line">
          <a:avLst/>
        </a:prstGeom>
        <a:ln w="3492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913426</xdr:colOff>
      <xdr:row>12</xdr:row>
      <xdr:rowOff>835061</xdr:rowOff>
    </xdr:from>
    <xdr:to>
      <xdr:col>4</xdr:col>
      <xdr:colOff>771737</xdr:colOff>
      <xdr:row>12</xdr:row>
      <xdr:rowOff>1484596</xdr:rowOff>
    </xdr:to>
    <xdr:sp macro="" textlink="">
      <xdr:nvSpPr>
        <xdr:cNvPr id="72" name="Полилиния 71"/>
        <xdr:cNvSpPr/>
      </xdr:nvSpPr>
      <xdr:spPr>
        <a:xfrm>
          <a:off x="2593290" y="7039300"/>
          <a:ext cx="771845" cy="649535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868762</xdr:colOff>
      <xdr:row>15</xdr:row>
      <xdr:rowOff>1424475</xdr:rowOff>
    </xdr:from>
    <xdr:to>
      <xdr:col>4</xdr:col>
      <xdr:colOff>64368</xdr:colOff>
      <xdr:row>15</xdr:row>
      <xdr:rowOff>1532475</xdr:rowOff>
    </xdr:to>
    <xdr:sp macro="" textlink="">
      <xdr:nvSpPr>
        <xdr:cNvPr id="90" name="Овал 89"/>
        <xdr:cNvSpPr>
          <a:spLocks noChangeAspect="1"/>
        </xdr:cNvSpPr>
      </xdr:nvSpPr>
      <xdr:spPr>
        <a:xfrm>
          <a:off x="2543157" y="1257875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10368</xdr:colOff>
      <xdr:row>15</xdr:row>
      <xdr:rowOff>156882</xdr:rowOff>
    </xdr:from>
    <xdr:to>
      <xdr:col>4</xdr:col>
      <xdr:colOff>10368</xdr:colOff>
      <xdr:row>15</xdr:row>
      <xdr:rowOff>1483724</xdr:rowOff>
    </xdr:to>
    <xdr:cxnSp macro="">
      <xdr:nvCxnSpPr>
        <xdr:cNvPr id="93" name="Прямая соединительная линия 92"/>
        <xdr:cNvCxnSpPr/>
      </xdr:nvCxnSpPr>
      <xdr:spPr>
        <a:xfrm flipV="1">
          <a:off x="2597157" y="11311158"/>
          <a:ext cx="0" cy="132684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3446</xdr:colOff>
      <xdr:row>15</xdr:row>
      <xdr:rowOff>791029</xdr:rowOff>
    </xdr:from>
    <xdr:to>
      <xdr:col>4</xdr:col>
      <xdr:colOff>716018</xdr:colOff>
      <xdr:row>15</xdr:row>
      <xdr:rowOff>810714</xdr:rowOff>
    </xdr:to>
    <xdr:cxnSp macro="">
      <xdr:nvCxnSpPr>
        <xdr:cNvPr id="95" name="Прямая соединительная линия 94"/>
        <xdr:cNvCxnSpPr/>
      </xdr:nvCxnSpPr>
      <xdr:spPr>
        <a:xfrm flipH="1">
          <a:off x="2598187" y="11925426"/>
          <a:ext cx="712572" cy="19685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224118</xdr:colOff>
      <xdr:row>15</xdr:row>
      <xdr:rowOff>580040</xdr:rowOff>
    </xdr:from>
    <xdr:to>
      <xdr:col>4</xdr:col>
      <xdr:colOff>10611</xdr:colOff>
      <xdr:row>15</xdr:row>
      <xdr:rowOff>695458</xdr:rowOff>
    </xdr:to>
    <xdr:cxnSp macro="">
      <xdr:nvCxnSpPr>
        <xdr:cNvPr id="99" name="Прямая соединительная линия 98"/>
        <xdr:cNvCxnSpPr/>
      </xdr:nvCxnSpPr>
      <xdr:spPr>
        <a:xfrm flipH="1" flipV="1">
          <a:off x="1898513" y="11734316"/>
          <a:ext cx="698887" cy="115418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316755</xdr:colOff>
      <xdr:row>14</xdr:row>
      <xdr:rowOff>844708</xdr:rowOff>
    </xdr:from>
    <xdr:to>
      <xdr:col>4</xdr:col>
      <xdr:colOff>1232</xdr:colOff>
      <xdr:row>15</xdr:row>
      <xdr:rowOff>234590</xdr:rowOff>
    </xdr:to>
    <xdr:sp macro="" textlink="">
      <xdr:nvSpPr>
        <xdr:cNvPr id="100" name="Дуга 99"/>
        <xdr:cNvSpPr/>
      </xdr:nvSpPr>
      <xdr:spPr>
        <a:xfrm rot="5400000" flipH="1">
          <a:off x="1452272" y="10228363"/>
          <a:ext cx="1038898" cy="1250149"/>
        </a:xfrm>
        <a:prstGeom prst="arc">
          <a:avLst>
            <a:gd name="adj1" fmla="val 16144932"/>
            <a:gd name="adj2" fmla="val 0"/>
          </a:avLst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317837</xdr:colOff>
      <xdr:row>13</xdr:row>
      <xdr:rowOff>1451882</xdr:rowOff>
    </xdr:from>
    <xdr:to>
      <xdr:col>4</xdr:col>
      <xdr:colOff>1232</xdr:colOff>
      <xdr:row>14</xdr:row>
      <xdr:rowOff>842911</xdr:rowOff>
    </xdr:to>
    <xdr:sp macro="" textlink="">
      <xdr:nvSpPr>
        <xdr:cNvPr id="101" name="Дуга 100"/>
        <xdr:cNvSpPr/>
      </xdr:nvSpPr>
      <xdr:spPr>
        <a:xfrm rot="5400000">
          <a:off x="1452240" y="9187636"/>
          <a:ext cx="1040044" cy="1249067"/>
        </a:xfrm>
        <a:prstGeom prst="arc">
          <a:avLst/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642881</xdr:colOff>
      <xdr:row>14</xdr:row>
      <xdr:rowOff>707542</xdr:rowOff>
    </xdr:from>
    <xdr:to>
      <xdr:col>3</xdr:col>
      <xdr:colOff>910829</xdr:colOff>
      <xdr:row>14</xdr:row>
      <xdr:rowOff>992253</xdr:rowOff>
    </xdr:to>
    <xdr:sp macro="" textlink="">
      <xdr:nvSpPr>
        <xdr:cNvPr id="102" name="Овал 101"/>
        <xdr:cNvSpPr/>
      </xdr:nvSpPr>
      <xdr:spPr>
        <a:xfrm rot="5400000">
          <a:off x="2313280" y="10205205"/>
          <a:ext cx="284711" cy="267948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860404</xdr:colOff>
      <xdr:row>14</xdr:row>
      <xdr:rowOff>1414890</xdr:rowOff>
    </xdr:from>
    <xdr:to>
      <xdr:col>4</xdr:col>
      <xdr:colOff>45097</xdr:colOff>
      <xdr:row>14</xdr:row>
      <xdr:rowOff>1522890</xdr:rowOff>
    </xdr:to>
    <xdr:sp macro="" textlink="">
      <xdr:nvSpPr>
        <xdr:cNvPr id="104" name="Овал 103"/>
        <xdr:cNvSpPr/>
      </xdr:nvSpPr>
      <xdr:spPr>
        <a:xfrm rot="5400000">
          <a:off x="2535923" y="10907433"/>
          <a:ext cx="108000" cy="101475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14</xdr:row>
      <xdr:rowOff>107157</xdr:rowOff>
    </xdr:from>
    <xdr:to>
      <xdr:col>4</xdr:col>
      <xdr:colOff>1233</xdr:colOff>
      <xdr:row>14</xdr:row>
      <xdr:rowOff>1470423</xdr:rowOff>
    </xdr:to>
    <xdr:cxnSp macro="">
      <xdr:nvCxnSpPr>
        <xdr:cNvPr id="105" name="Прямая соединительная линия 104"/>
        <xdr:cNvCxnSpPr/>
      </xdr:nvCxnSpPr>
      <xdr:spPr>
        <a:xfrm>
          <a:off x="2596796" y="959643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907741</xdr:colOff>
      <xdr:row>14</xdr:row>
      <xdr:rowOff>727045</xdr:rowOff>
    </xdr:from>
    <xdr:to>
      <xdr:col>4</xdr:col>
      <xdr:colOff>123730</xdr:colOff>
      <xdr:row>14</xdr:row>
      <xdr:rowOff>853151</xdr:rowOff>
    </xdr:to>
    <xdr:grpSp>
      <xdr:nvGrpSpPr>
        <xdr:cNvPr id="106" name="Группа 105"/>
        <xdr:cNvGrpSpPr/>
      </xdr:nvGrpSpPr>
      <xdr:grpSpPr>
        <a:xfrm flipH="1">
          <a:off x="2595027" y="11857688"/>
          <a:ext cx="127667" cy="126106"/>
          <a:chOff x="1132242" y="1306343"/>
          <a:chExt cx="123151" cy="128030"/>
        </a:xfrm>
      </xdr:grpSpPr>
      <xdr:cxnSp macro="">
        <xdr:nvCxnSpPr>
          <xdr:cNvPr id="107" name="Прямая соединительная линия 10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" name="Прямоугольник 10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1523</xdr:colOff>
      <xdr:row>15</xdr:row>
      <xdr:rowOff>782053</xdr:rowOff>
    </xdr:from>
    <xdr:to>
      <xdr:col>4</xdr:col>
      <xdr:colOff>788276</xdr:colOff>
      <xdr:row>15</xdr:row>
      <xdr:rowOff>1454634</xdr:rowOff>
    </xdr:to>
    <xdr:sp macro="" textlink="">
      <xdr:nvSpPr>
        <xdr:cNvPr id="110" name="Полилиния 109"/>
        <xdr:cNvSpPr/>
      </xdr:nvSpPr>
      <xdr:spPr>
        <a:xfrm>
          <a:off x="2596264" y="11916450"/>
          <a:ext cx="786753" cy="672581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8370" h="604630">
              <a:moveTo>
                <a:pt x="0" y="604630"/>
              </a:moveTo>
              <a:lnTo>
                <a:pt x="0" y="24848"/>
              </a:lnTo>
              <a:lnTo>
                <a:pt x="53837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845039</xdr:colOff>
      <xdr:row>16</xdr:row>
      <xdr:rowOff>1405086</xdr:rowOff>
    </xdr:from>
    <xdr:to>
      <xdr:col>4</xdr:col>
      <xdr:colOff>41361</xdr:colOff>
      <xdr:row>16</xdr:row>
      <xdr:rowOff>1513086</xdr:rowOff>
    </xdr:to>
    <xdr:sp macro="" textlink="">
      <xdr:nvSpPr>
        <xdr:cNvPr id="111" name="Овал 110"/>
        <xdr:cNvSpPr>
          <a:spLocks noChangeAspect="1"/>
        </xdr:cNvSpPr>
      </xdr:nvSpPr>
      <xdr:spPr>
        <a:xfrm rot="5400000">
          <a:off x="2527398" y="14187589"/>
          <a:ext cx="108000" cy="10940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899743</xdr:colOff>
      <xdr:row>16</xdr:row>
      <xdr:rowOff>157655</xdr:rowOff>
    </xdr:from>
    <xdr:to>
      <xdr:col>3</xdr:col>
      <xdr:colOff>899743</xdr:colOff>
      <xdr:row>16</xdr:row>
      <xdr:rowOff>830105</xdr:rowOff>
    </xdr:to>
    <xdr:cxnSp macro="">
      <xdr:nvCxnSpPr>
        <xdr:cNvPr id="112" name="Прямая соединительная линия 111"/>
        <xdr:cNvCxnSpPr/>
      </xdr:nvCxnSpPr>
      <xdr:spPr>
        <a:xfrm>
          <a:off x="2587029" y="11288298"/>
          <a:ext cx="0" cy="672450"/>
        </a:xfrm>
        <a:prstGeom prst="line">
          <a:avLst/>
        </a:prstGeom>
        <a:ln w="34925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899743</xdr:colOff>
      <xdr:row>16</xdr:row>
      <xdr:rowOff>820580</xdr:rowOff>
    </xdr:from>
    <xdr:to>
      <xdr:col>3</xdr:col>
      <xdr:colOff>899743</xdr:colOff>
      <xdr:row>16</xdr:row>
      <xdr:rowOff>1458310</xdr:rowOff>
    </xdr:to>
    <xdr:cxnSp macro="">
      <xdr:nvCxnSpPr>
        <xdr:cNvPr id="123" name="Прямая соединительная линия 122"/>
        <xdr:cNvCxnSpPr/>
      </xdr:nvCxnSpPr>
      <xdr:spPr>
        <a:xfrm>
          <a:off x="2581398" y="13603787"/>
          <a:ext cx="0" cy="637730"/>
        </a:xfrm>
        <a:prstGeom prst="line">
          <a:avLst/>
        </a:prstGeom>
        <a:ln w="34925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10246</xdr:colOff>
      <xdr:row>15</xdr:row>
      <xdr:rowOff>688419</xdr:rowOff>
    </xdr:from>
    <xdr:to>
      <xdr:col>4</xdr:col>
      <xdr:colOff>132420</xdr:colOff>
      <xdr:row>15</xdr:row>
      <xdr:rowOff>815716</xdr:rowOff>
    </xdr:to>
    <xdr:grpSp>
      <xdr:nvGrpSpPr>
        <xdr:cNvPr id="124" name="Группа 123"/>
        <xdr:cNvGrpSpPr/>
      </xdr:nvGrpSpPr>
      <xdr:grpSpPr>
        <a:xfrm flipH="1">
          <a:off x="2609210" y="13465526"/>
          <a:ext cx="122174" cy="127297"/>
          <a:chOff x="1132242" y="1306343"/>
          <a:chExt cx="123151" cy="128030"/>
        </a:xfrm>
      </xdr:grpSpPr>
      <xdr:cxnSp macro="">
        <xdr:nvCxnSpPr>
          <xdr:cNvPr id="125" name="Прямая соединительная линия 12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" name="Прямоугольник 12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5</xdr:col>
      <xdr:colOff>233487</xdr:colOff>
      <xdr:row>15</xdr:row>
      <xdr:rowOff>559564</xdr:rowOff>
    </xdr:from>
    <xdr:to>
      <xdr:col>7</xdr:col>
      <xdr:colOff>365721</xdr:colOff>
      <xdr:row>15</xdr:row>
      <xdr:rowOff>925608</xdr:rowOff>
    </xdr:to>
    <xdr:grpSp>
      <xdr:nvGrpSpPr>
        <xdr:cNvPr id="127" name="Группа 126"/>
        <xdr:cNvGrpSpPr/>
      </xdr:nvGrpSpPr>
      <xdr:grpSpPr>
        <a:xfrm>
          <a:off x="3744130" y="13336671"/>
          <a:ext cx="1574591" cy="366044"/>
          <a:chOff x="2771775" y="68541900"/>
          <a:chExt cx="2009775" cy="552450"/>
        </a:xfrm>
      </xdr:grpSpPr>
      <xdr:sp macro="" textlink="">
        <xdr:nvSpPr>
          <xdr:cNvPr id="128" name="Прямоугольник 127"/>
          <xdr:cNvSpPr/>
        </xdr:nvSpPr>
        <xdr:spPr>
          <a:xfrm>
            <a:off x="2771775" y="68541900"/>
            <a:ext cx="2009775" cy="55245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1800" b="1">
              <a:solidFill>
                <a:schemeClr val="bg1"/>
              </a:solidFill>
            </a:endParaRPr>
          </a:p>
        </xdr:txBody>
      </xdr:sp>
      <xdr:sp macro="" textlink="">
        <xdr:nvSpPr>
          <xdr:cNvPr id="129" name="Прямоугольник 128"/>
          <xdr:cNvSpPr/>
        </xdr:nvSpPr>
        <xdr:spPr>
          <a:xfrm>
            <a:off x="2876550" y="68618100"/>
            <a:ext cx="1381125" cy="400050"/>
          </a:xfrm>
          <a:prstGeom prst="rect">
            <a:avLst/>
          </a:prstGeom>
          <a:solidFill>
            <a:schemeClr val="accent1">
              <a:lumMod val="5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400" b="1">
                <a:solidFill>
                  <a:schemeClr val="bg1"/>
                </a:solidFill>
              </a:rPr>
              <a:t>АЭРОПОРТ</a:t>
            </a:r>
          </a:p>
        </xdr:txBody>
      </xdr:sp>
      <xdr:sp macro="" textlink="">
        <xdr:nvSpPr>
          <xdr:cNvPr id="130" name="Стрелка вправо 129"/>
          <xdr:cNvSpPr/>
        </xdr:nvSpPr>
        <xdr:spPr>
          <a:xfrm>
            <a:off x="4314825" y="68675250"/>
            <a:ext cx="361950" cy="285750"/>
          </a:xfrm>
          <a:prstGeom prst="rightArrow">
            <a:avLst/>
          </a:prstGeom>
          <a:solidFill>
            <a:schemeClr val="tx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5</xdr:col>
      <xdr:colOff>238081</xdr:colOff>
      <xdr:row>12</xdr:row>
      <xdr:rowOff>452019</xdr:rowOff>
    </xdr:from>
    <xdr:to>
      <xdr:col>7</xdr:col>
      <xdr:colOff>414496</xdr:colOff>
      <xdr:row>12</xdr:row>
      <xdr:rowOff>683149</xdr:rowOff>
    </xdr:to>
    <xdr:sp macro="" textlink="">
      <xdr:nvSpPr>
        <xdr:cNvPr id="131" name="Прямоугольник 130"/>
        <xdr:cNvSpPr/>
      </xdr:nvSpPr>
      <xdr:spPr>
        <a:xfrm>
          <a:off x="3748724" y="6643269"/>
          <a:ext cx="1618772" cy="2311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000" b="1">
              <a:solidFill>
                <a:sysClr val="windowText" lastClr="000000"/>
              </a:solidFill>
            </a:rPr>
            <a:t>пр. МАРШАЛА КОНЕВА </a:t>
          </a:r>
          <a:endParaRPr lang="ru-RU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233417</xdr:colOff>
      <xdr:row>12</xdr:row>
      <xdr:rowOff>492439</xdr:rowOff>
    </xdr:from>
    <xdr:to>
      <xdr:col>7</xdr:col>
      <xdr:colOff>387282</xdr:colOff>
      <xdr:row>12</xdr:row>
      <xdr:rowOff>642326</xdr:rowOff>
    </xdr:to>
    <xdr:sp macro="" textlink="">
      <xdr:nvSpPr>
        <xdr:cNvPr id="132" name="Стрелка вправо 131"/>
        <xdr:cNvSpPr/>
      </xdr:nvSpPr>
      <xdr:spPr>
        <a:xfrm>
          <a:off x="5186417" y="6683689"/>
          <a:ext cx="153865" cy="149887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371430</xdr:colOff>
      <xdr:row>13</xdr:row>
      <xdr:rowOff>672453</xdr:rowOff>
    </xdr:from>
    <xdr:to>
      <xdr:col>7</xdr:col>
      <xdr:colOff>326572</xdr:colOff>
      <xdr:row>13</xdr:row>
      <xdr:rowOff>960732</xdr:rowOff>
    </xdr:to>
    <xdr:sp macro="" textlink="">
      <xdr:nvSpPr>
        <xdr:cNvPr id="133" name="Прямоугольник 132"/>
        <xdr:cNvSpPr/>
      </xdr:nvSpPr>
      <xdr:spPr>
        <a:xfrm>
          <a:off x="3882073" y="8510167"/>
          <a:ext cx="1397499" cy="28827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200" b="1">
              <a:solidFill>
                <a:sysClr val="windowText" lastClr="000000"/>
              </a:solidFill>
            </a:rPr>
            <a:t>ул. КРУПСКОЙ</a:t>
          </a:r>
          <a:endParaRPr lang="ru-RU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112312</xdr:colOff>
      <xdr:row>13</xdr:row>
      <xdr:rowOff>731924</xdr:rowOff>
    </xdr:from>
    <xdr:to>
      <xdr:col>7</xdr:col>
      <xdr:colOff>272981</xdr:colOff>
      <xdr:row>13</xdr:row>
      <xdr:rowOff>881811</xdr:rowOff>
    </xdr:to>
    <xdr:sp macro="" textlink="">
      <xdr:nvSpPr>
        <xdr:cNvPr id="134" name="Стрелка вправо 133"/>
        <xdr:cNvSpPr/>
      </xdr:nvSpPr>
      <xdr:spPr>
        <a:xfrm>
          <a:off x="5065312" y="8569638"/>
          <a:ext cx="160669" cy="149887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911616</xdr:colOff>
      <xdr:row>12</xdr:row>
      <xdr:rowOff>149678</xdr:rowOff>
    </xdr:from>
    <xdr:to>
      <xdr:col>3</xdr:col>
      <xdr:colOff>911616</xdr:colOff>
      <xdr:row>12</xdr:row>
      <xdr:rowOff>1483178</xdr:rowOff>
    </xdr:to>
    <xdr:cxnSp macro="">
      <xdr:nvCxnSpPr>
        <xdr:cNvPr id="138" name="Прямая соединительная линия 137"/>
        <xdr:cNvCxnSpPr/>
      </xdr:nvCxnSpPr>
      <xdr:spPr>
        <a:xfrm flipV="1">
          <a:off x="2591480" y="6353917"/>
          <a:ext cx="0" cy="13335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182457</xdr:colOff>
      <xdr:row>12</xdr:row>
      <xdr:rowOff>830821</xdr:rowOff>
    </xdr:from>
    <xdr:to>
      <xdr:col>4</xdr:col>
      <xdr:colOff>698875</xdr:colOff>
      <xdr:row>12</xdr:row>
      <xdr:rowOff>830821</xdr:rowOff>
    </xdr:to>
    <xdr:cxnSp macro="">
      <xdr:nvCxnSpPr>
        <xdr:cNvPr id="140" name="Прямая соединительная линия 139"/>
        <xdr:cNvCxnSpPr/>
      </xdr:nvCxnSpPr>
      <xdr:spPr>
        <a:xfrm>
          <a:off x="1862321" y="7035060"/>
          <a:ext cx="1429952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860800</xdr:colOff>
      <xdr:row>12</xdr:row>
      <xdr:rowOff>1426028</xdr:rowOff>
    </xdr:from>
    <xdr:to>
      <xdr:col>4</xdr:col>
      <xdr:colOff>54247</xdr:colOff>
      <xdr:row>12</xdr:row>
      <xdr:rowOff>1534028</xdr:rowOff>
    </xdr:to>
    <xdr:sp macro="" textlink="">
      <xdr:nvSpPr>
        <xdr:cNvPr id="141" name="Овал 140"/>
        <xdr:cNvSpPr>
          <a:spLocks noChangeAspect="1"/>
        </xdr:cNvSpPr>
      </xdr:nvSpPr>
      <xdr:spPr>
        <a:xfrm>
          <a:off x="2540664" y="7630267"/>
          <a:ext cx="1069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4516</xdr:colOff>
      <xdr:row>12</xdr:row>
      <xdr:rowOff>704125</xdr:rowOff>
    </xdr:from>
    <xdr:to>
      <xdr:col>4</xdr:col>
      <xdr:colOff>138482</xdr:colOff>
      <xdr:row>12</xdr:row>
      <xdr:rowOff>830436</xdr:rowOff>
    </xdr:to>
    <xdr:grpSp>
      <xdr:nvGrpSpPr>
        <xdr:cNvPr id="142" name="Группа 141"/>
        <xdr:cNvGrpSpPr/>
      </xdr:nvGrpSpPr>
      <xdr:grpSpPr>
        <a:xfrm flipH="1">
          <a:off x="2603480" y="8541839"/>
          <a:ext cx="133966" cy="126311"/>
          <a:chOff x="1132242" y="1306343"/>
          <a:chExt cx="123151" cy="128030"/>
        </a:xfrm>
      </xdr:grpSpPr>
      <xdr:cxnSp macro="">
        <xdr:nvCxnSpPr>
          <xdr:cNvPr id="143" name="Прямая соединительная линия 14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4" name="Прямоугольник 14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182457</xdr:colOff>
      <xdr:row>12</xdr:row>
      <xdr:rowOff>994107</xdr:rowOff>
    </xdr:from>
    <xdr:to>
      <xdr:col>4</xdr:col>
      <xdr:colOff>5565</xdr:colOff>
      <xdr:row>12</xdr:row>
      <xdr:rowOff>994107</xdr:rowOff>
    </xdr:to>
    <xdr:cxnSp macro="">
      <xdr:nvCxnSpPr>
        <xdr:cNvPr id="145" name="Прямая соединительная линия 144"/>
        <xdr:cNvCxnSpPr/>
      </xdr:nvCxnSpPr>
      <xdr:spPr>
        <a:xfrm>
          <a:off x="1862321" y="7198346"/>
          <a:ext cx="736642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8552</xdr:colOff>
      <xdr:row>13</xdr:row>
      <xdr:rowOff>848668</xdr:rowOff>
    </xdr:from>
    <xdr:to>
      <xdr:col>4</xdr:col>
      <xdr:colOff>780397</xdr:colOff>
      <xdr:row>13</xdr:row>
      <xdr:rowOff>1498203</xdr:rowOff>
    </xdr:to>
    <xdr:sp macro="" textlink="">
      <xdr:nvSpPr>
        <xdr:cNvPr id="146" name="Полилиния 145"/>
        <xdr:cNvSpPr/>
      </xdr:nvSpPr>
      <xdr:spPr>
        <a:xfrm>
          <a:off x="2601950" y="8702463"/>
          <a:ext cx="771845" cy="649535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2412</xdr:colOff>
      <xdr:row>13</xdr:row>
      <xdr:rowOff>848668</xdr:rowOff>
    </xdr:from>
    <xdr:to>
      <xdr:col>4</xdr:col>
      <xdr:colOff>4222</xdr:colOff>
      <xdr:row>13</xdr:row>
      <xdr:rowOff>1496785</xdr:rowOff>
    </xdr:to>
    <xdr:cxnSp macro="">
      <xdr:nvCxnSpPr>
        <xdr:cNvPr id="147" name="Прямая соединительная линия 146"/>
        <xdr:cNvCxnSpPr/>
      </xdr:nvCxnSpPr>
      <xdr:spPr>
        <a:xfrm flipV="1">
          <a:off x="2595810" y="8702463"/>
          <a:ext cx="1810" cy="64811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186787</xdr:colOff>
      <xdr:row>13</xdr:row>
      <xdr:rowOff>844428</xdr:rowOff>
    </xdr:from>
    <xdr:to>
      <xdr:col>4</xdr:col>
      <xdr:colOff>703205</xdr:colOff>
      <xdr:row>13</xdr:row>
      <xdr:rowOff>844428</xdr:rowOff>
    </xdr:to>
    <xdr:cxnSp macro="">
      <xdr:nvCxnSpPr>
        <xdr:cNvPr id="148" name="Прямая соединительная линия 147"/>
        <xdr:cNvCxnSpPr/>
      </xdr:nvCxnSpPr>
      <xdr:spPr>
        <a:xfrm>
          <a:off x="1866651" y="8698223"/>
          <a:ext cx="1429952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865130</xdr:colOff>
      <xdr:row>13</xdr:row>
      <xdr:rowOff>1439635</xdr:rowOff>
    </xdr:from>
    <xdr:to>
      <xdr:col>4</xdr:col>
      <xdr:colOff>58577</xdr:colOff>
      <xdr:row>13</xdr:row>
      <xdr:rowOff>1547635</xdr:rowOff>
    </xdr:to>
    <xdr:sp macro="" textlink="">
      <xdr:nvSpPr>
        <xdr:cNvPr id="149" name="Овал 148"/>
        <xdr:cNvSpPr>
          <a:spLocks noChangeAspect="1"/>
        </xdr:cNvSpPr>
      </xdr:nvSpPr>
      <xdr:spPr>
        <a:xfrm>
          <a:off x="2544994" y="9293430"/>
          <a:ext cx="1069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8846</xdr:colOff>
      <xdr:row>13</xdr:row>
      <xdr:rowOff>717732</xdr:rowOff>
    </xdr:from>
    <xdr:to>
      <xdr:col>4</xdr:col>
      <xdr:colOff>142812</xdr:colOff>
      <xdr:row>13</xdr:row>
      <xdr:rowOff>844043</xdr:rowOff>
    </xdr:to>
    <xdr:grpSp>
      <xdr:nvGrpSpPr>
        <xdr:cNvPr id="150" name="Группа 149"/>
        <xdr:cNvGrpSpPr/>
      </xdr:nvGrpSpPr>
      <xdr:grpSpPr>
        <a:xfrm flipH="1">
          <a:off x="2607810" y="10201911"/>
          <a:ext cx="133966" cy="126311"/>
          <a:chOff x="1132242" y="1306343"/>
          <a:chExt cx="123151" cy="128030"/>
        </a:xfrm>
      </xdr:grpSpPr>
      <xdr:cxnSp macro="">
        <xdr:nvCxnSpPr>
          <xdr:cNvPr id="151" name="Прямая соединительная линия 15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2" name="Прямоугольник 15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179923</xdr:colOff>
      <xdr:row>13</xdr:row>
      <xdr:rowOff>163285</xdr:rowOff>
    </xdr:from>
    <xdr:to>
      <xdr:col>4</xdr:col>
      <xdr:colOff>179923</xdr:colOff>
      <xdr:row>13</xdr:row>
      <xdr:rowOff>848591</xdr:rowOff>
    </xdr:to>
    <xdr:cxnSp macro="">
      <xdr:nvCxnSpPr>
        <xdr:cNvPr id="154" name="Прямая соединительная линия 153"/>
        <xdr:cNvCxnSpPr/>
      </xdr:nvCxnSpPr>
      <xdr:spPr>
        <a:xfrm flipV="1">
          <a:off x="2773321" y="8017080"/>
          <a:ext cx="0" cy="68530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97687</xdr:colOff>
      <xdr:row>13</xdr:row>
      <xdr:rowOff>944335</xdr:rowOff>
    </xdr:from>
    <xdr:to>
      <xdr:col>4</xdr:col>
      <xdr:colOff>205534</xdr:colOff>
      <xdr:row>13</xdr:row>
      <xdr:rowOff>1052335</xdr:rowOff>
    </xdr:to>
    <xdr:sp macro="" textlink="">
      <xdr:nvSpPr>
        <xdr:cNvPr id="155" name="Овал 154"/>
        <xdr:cNvSpPr>
          <a:spLocks noChangeAspect="1"/>
        </xdr:cNvSpPr>
      </xdr:nvSpPr>
      <xdr:spPr>
        <a:xfrm>
          <a:off x="2688487" y="8782049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97687</xdr:colOff>
      <xdr:row>12</xdr:row>
      <xdr:rowOff>1288701</xdr:rowOff>
    </xdr:from>
    <xdr:to>
      <xdr:col>4</xdr:col>
      <xdr:colOff>205534</xdr:colOff>
      <xdr:row>12</xdr:row>
      <xdr:rowOff>1396701</xdr:rowOff>
    </xdr:to>
    <xdr:sp macro="" textlink="">
      <xdr:nvSpPr>
        <xdr:cNvPr id="156" name="Овал 155"/>
        <xdr:cNvSpPr>
          <a:spLocks noChangeAspect="1"/>
        </xdr:cNvSpPr>
      </xdr:nvSpPr>
      <xdr:spPr>
        <a:xfrm>
          <a:off x="2684091" y="7479951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651735</xdr:colOff>
      <xdr:row>16</xdr:row>
      <xdr:rowOff>706634</xdr:rowOff>
    </xdr:from>
    <xdr:to>
      <xdr:col>4</xdr:col>
      <xdr:colOff>241869</xdr:colOff>
      <xdr:row>16</xdr:row>
      <xdr:rowOff>825600</xdr:rowOff>
    </xdr:to>
    <xdr:grpSp>
      <xdr:nvGrpSpPr>
        <xdr:cNvPr id="157" name="Группа 156"/>
        <xdr:cNvGrpSpPr/>
      </xdr:nvGrpSpPr>
      <xdr:grpSpPr>
        <a:xfrm>
          <a:off x="2339021" y="15130205"/>
          <a:ext cx="501812" cy="118966"/>
          <a:chOff x="2687221" y="3988161"/>
          <a:chExt cx="501812" cy="118966"/>
        </a:xfrm>
      </xdr:grpSpPr>
      <xdr:cxnSp macro="">
        <xdr:nvCxnSpPr>
          <xdr:cNvPr id="158" name="Прямая соединительная линия 157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9" name="Овал 15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60" name="Прямая со стрелкой 15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61" name="Овал 160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62" name="Прямая со стрелкой 161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149678</xdr:colOff>
      <xdr:row>11</xdr:row>
      <xdr:rowOff>1223997</xdr:rowOff>
    </xdr:from>
    <xdr:to>
      <xdr:col>5</xdr:col>
      <xdr:colOff>446459</xdr:colOff>
      <xdr:row>11</xdr:row>
      <xdr:rowOff>1782536</xdr:rowOff>
    </xdr:to>
    <xdr:sp macro="" textlink="">
      <xdr:nvSpPr>
        <xdr:cNvPr id="164" name="TextBox 163"/>
        <xdr:cNvSpPr txBox="1"/>
      </xdr:nvSpPr>
      <xdr:spPr>
        <a:xfrm>
          <a:off x="2748642" y="4122318"/>
          <a:ext cx="1208460" cy="5585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eaLnBrk="1" fontAlgn="auto" latinLnBrk="0" hangingPunct="1"/>
          <a:r>
            <a:rPr lang="ru-RU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Сброс одометра в створе ворот</a:t>
          </a:r>
          <a:endParaRPr lang="ru-RU">
            <a:effectLst/>
          </a:endParaRPr>
        </a:p>
      </xdr:txBody>
    </xdr:sp>
    <xdr:clientData/>
  </xdr:twoCellAnchor>
  <xdr:twoCellAnchor>
    <xdr:from>
      <xdr:col>3</xdr:col>
      <xdr:colOff>908116</xdr:colOff>
      <xdr:row>16</xdr:row>
      <xdr:rowOff>826648</xdr:rowOff>
    </xdr:from>
    <xdr:to>
      <xdr:col>4</xdr:col>
      <xdr:colOff>120024</xdr:colOff>
      <xdr:row>16</xdr:row>
      <xdr:rowOff>952533</xdr:rowOff>
    </xdr:to>
    <xdr:grpSp>
      <xdr:nvGrpSpPr>
        <xdr:cNvPr id="120" name="Группа 119"/>
        <xdr:cNvGrpSpPr/>
      </xdr:nvGrpSpPr>
      <xdr:grpSpPr>
        <a:xfrm rot="5400000" flipH="1">
          <a:off x="2594252" y="15251369"/>
          <a:ext cx="125885" cy="123586"/>
          <a:chOff x="1132242" y="1306343"/>
          <a:chExt cx="123151" cy="128030"/>
        </a:xfrm>
      </xdr:grpSpPr>
      <xdr:cxnSp macro="">
        <xdr:nvCxnSpPr>
          <xdr:cNvPr id="121" name="Прямая соединительная линия 12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2" name="Прямоугольник 12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5</xdr:col>
      <xdr:colOff>667920</xdr:colOff>
      <xdr:row>11</xdr:row>
      <xdr:rowOff>1191083</xdr:rowOff>
    </xdr:from>
    <xdr:to>
      <xdr:col>6</xdr:col>
      <xdr:colOff>78611</xdr:colOff>
      <xdr:row>11</xdr:row>
      <xdr:rowOff>1316968</xdr:rowOff>
    </xdr:to>
    <xdr:grpSp>
      <xdr:nvGrpSpPr>
        <xdr:cNvPr id="165" name="Группа 164"/>
        <xdr:cNvGrpSpPr/>
      </xdr:nvGrpSpPr>
      <xdr:grpSpPr>
        <a:xfrm rot="5400000" flipH="1">
          <a:off x="4181555" y="5732877"/>
          <a:ext cx="125885" cy="131869"/>
          <a:chOff x="1132242" y="1306343"/>
          <a:chExt cx="123151" cy="128030"/>
        </a:xfrm>
      </xdr:grpSpPr>
      <xdr:cxnSp macro="">
        <xdr:nvCxnSpPr>
          <xdr:cNvPr id="166" name="Прямая соединительная линия 16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7" name="Прямоугольник 16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0</xdr:col>
      <xdr:colOff>299357</xdr:colOff>
      <xdr:row>1</xdr:row>
      <xdr:rowOff>0</xdr:rowOff>
    </xdr:from>
    <xdr:to>
      <xdr:col>2</xdr:col>
      <xdr:colOff>298677</xdr:colOff>
      <xdr:row>3</xdr:row>
      <xdr:rowOff>73591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217714"/>
          <a:ext cx="1033463" cy="509020"/>
        </a:xfrm>
        <a:prstGeom prst="rect">
          <a:avLst/>
        </a:prstGeom>
      </xdr:spPr>
    </xdr:pic>
    <xdr:clientData/>
  </xdr:twoCellAnchor>
  <xdr:twoCellAnchor>
    <xdr:from>
      <xdr:col>3</xdr:col>
      <xdr:colOff>593912</xdr:colOff>
      <xdr:row>30</xdr:row>
      <xdr:rowOff>376398</xdr:rowOff>
    </xdr:from>
    <xdr:to>
      <xdr:col>4</xdr:col>
      <xdr:colOff>336176</xdr:colOff>
      <xdr:row>30</xdr:row>
      <xdr:rowOff>1216839</xdr:rowOff>
    </xdr:to>
    <xdr:sp macro="" textlink="">
      <xdr:nvSpPr>
        <xdr:cNvPr id="92" name="Прямоугольник 91"/>
        <xdr:cNvSpPr/>
      </xdr:nvSpPr>
      <xdr:spPr>
        <a:xfrm>
          <a:off x="2270312" y="2386173"/>
          <a:ext cx="656664" cy="2241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2066</xdr:colOff>
      <xdr:row>28</xdr:row>
      <xdr:rowOff>114300</xdr:rowOff>
    </xdr:from>
    <xdr:to>
      <xdr:col>4</xdr:col>
      <xdr:colOff>2066</xdr:colOff>
      <xdr:row>28</xdr:row>
      <xdr:rowOff>1428750</xdr:rowOff>
    </xdr:to>
    <xdr:cxnSp macro="">
      <xdr:nvCxnSpPr>
        <xdr:cNvPr id="94" name="Прямая соединительная линия 93"/>
        <xdr:cNvCxnSpPr/>
      </xdr:nvCxnSpPr>
      <xdr:spPr>
        <a:xfrm>
          <a:off x="2592866" y="1933575"/>
          <a:ext cx="0" cy="76200"/>
        </a:xfrm>
        <a:prstGeom prst="line">
          <a:avLst/>
        </a:prstGeom>
        <a:ln w="34925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28</xdr:row>
      <xdr:rowOff>685800</xdr:rowOff>
    </xdr:from>
    <xdr:to>
      <xdr:col>4</xdr:col>
      <xdr:colOff>426717</xdr:colOff>
      <xdr:row>28</xdr:row>
      <xdr:rowOff>874592</xdr:rowOff>
    </xdr:to>
    <xdr:grpSp>
      <xdr:nvGrpSpPr>
        <xdr:cNvPr id="96" name="Группа 95"/>
        <xdr:cNvGrpSpPr/>
      </xdr:nvGrpSpPr>
      <xdr:grpSpPr>
        <a:xfrm>
          <a:off x="2163536" y="34866943"/>
          <a:ext cx="862145" cy="188792"/>
          <a:chOff x="482982" y="3887156"/>
          <a:chExt cx="862239" cy="188792"/>
        </a:xfrm>
      </xdr:grpSpPr>
      <xdr:cxnSp macro="">
        <xdr:nvCxnSpPr>
          <xdr:cNvPr id="97" name="Прямая со стрелкой 96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912304" y="3494227"/>
            <a:ext cx="0" cy="8586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8" name="Прямая со стрелкой 9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914102" y="3608438"/>
            <a:ext cx="0" cy="86223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3" name="Прямая со стрелкой 102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131218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9" name="Прямая со стрелкой 108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126052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3" name="Прямая со стрелкой 112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120885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4" name="Прямая со стрелкой 113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115719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5" name="Прямая со стрелкой 114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110553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6" name="Прямая со стрелкой 115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105386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7" name="Прямая со стрелкой 116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1002205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8" name="Прямая со стрелкой 117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950542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9" name="Прямая со стрелкой 118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898879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5" name="Прямая со стрелкой 134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847216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6" name="Прямая со стрелкой 135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795553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7" name="Прямая со стрелкой 136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74389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9" name="Прямая со стрелкой 138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69222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3" name="Прямая со стрелкой 152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64056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8" name="Прямая со стрелкой 167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58890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9" name="Прямая со стрелкой 168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53723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879104</xdr:colOff>
      <xdr:row>25</xdr:row>
      <xdr:rowOff>1437931</xdr:rowOff>
    </xdr:from>
    <xdr:to>
      <xdr:col>4</xdr:col>
      <xdr:colOff>72704</xdr:colOff>
      <xdr:row>25</xdr:row>
      <xdr:rowOff>1545931</xdr:rowOff>
    </xdr:to>
    <xdr:sp macro="" textlink="">
      <xdr:nvSpPr>
        <xdr:cNvPr id="170" name="Овал 169"/>
        <xdr:cNvSpPr>
          <a:spLocks noChangeAspect="1"/>
        </xdr:cNvSpPr>
      </xdr:nvSpPr>
      <xdr:spPr>
        <a:xfrm rot="5400000">
          <a:off x="2607891" y="1385544"/>
          <a:ext cx="3225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16463</xdr:colOff>
      <xdr:row>25</xdr:row>
      <xdr:rowOff>190500</xdr:rowOff>
    </xdr:from>
    <xdr:to>
      <xdr:col>4</xdr:col>
      <xdr:colOff>16463</xdr:colOff>
      <xdr:row>25</xdr:row>
      <xdr:rowOff>862950</xdr:rowOff>
    </xdr:to>
    <xdr:cxnSp macro="">
      <xdr:nvCxnSpPr>
        <xdr:cNvPr id="171" name="Прямая соединительная линия 170"/>
        <xdr:cNvCxnSpPr/>
      </xdr:nvCxnSpPr>
      <xdr:spPr>
        <a:xfrm>
          <a:off x="2607263" y="1438275"/>
          <a:ext cx="0" cy="0"/>
        </a:xfrm>
        <a:prstGeom prst="line">
          <a:avLst/>
        </a:prstGeom>
        <a:ln w="34925">
          <a:solidFill>
            <a:schemeClr val="tx1"/>
          </a:solidFill>
          <a:prstDash val="solid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21869</xdr:colOff>
      <xdr:row>25</xdr:row>
      <xdr:rowOff>758885</xdr:rowOff>
    </xdr:from>
    <xdr:to>
      <xdr:col>4</xdr:col>
      <xdr:colOff>145455</xdr:colOff>
      <xdr:row>25</xdr:row>
      <xdr:rowOff>884770</xdr:rowOff>
    </xdr:to>
    <xdr:grpSp>
      <xdr:nvGrpSpPr>
        <xdr:cNvPr id="172" name="Группа 171"/>
        <xdr:cNvGrpSpPr/>
      </xdr:nvGrpSpPr>
      <xdr:grpSpPr>
        <a:xfrm rot="16200000" flipH="1" flipV="1">
          <a:off x="2619683" y="30001785"/>
          <a:ext cx="125885" cy="123586"/>
          <a:chOff x="1132242" y="1306343"/>
          <a:chExt cx="123151" cy="128030"/>
        </a:xfrm>
      </xdr:grpSpPr>
      <xdr:cxnSp macro="">
        <xdr:nvCxnSpPr>
          <xdr:cNvPr id="173" name="Прямая соединительная линия 17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4" name="Прямоугольник 17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685800</xdr:colOff>
      <xdr:row>25</xdr:row>
      <xdr:rowOff>758529</xdr:rowOff>
    </xdr:from>
    <xdr:to>
      <xdr:col>4</xdr:col>
      <xdr:colOff>273212</xdr:colOff>
      <xdr:row>25</xdr:row>
      <xdr:rowOff>877495</xdr:rowOff>
    </xdr:to>
    <xdr:grpSp>
      <xdr:nvGrpSpPr>
        <xdr:cNvPr id="175" name="Группа 174"/>
        <xdr:cNvGrpSpPr/>
      </xdr:nvGrpSpPr>
      <xdr:grpSpPr>
        <a:xfrm flipV="1">
          <a:off x="2373086" y="30000279"/>
          <a:ext cx="499090" cy="118966"/>
          <a:chOff x="2687221" y="3988161"/>
          <a:chExt cx="501812" cy="118966"/>
        </a:xfrm>
      </xdr:grpSpPr>
      <xdr:cxnSp macro="">
        <xdr:nvCxnSpPr>
          <xdr:cNvPr id="176" name="Прямая соединительная линия 175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7" name="Овал 176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78" name="Прямая со стрелкой 17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79" name="Овал 17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80" name="Прямая со стрелкой 17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16463</xdr:colOff>
      <xdr:row>25</xdr:row>
      <xdr:rowOff>853425</xdr:rowOff>
    </xdr:from>
    <xdr:to>
      <xdr:col>4</xdr:col>
      <xdr:colOff>16463</xdr:colOff>
      <xdr:row>25</xdr:row>
      <xdr:rowOff>1491155</xdr:rowOff>
    </xdr:to>
    <xdr:cxnSp macro="">
      <xdr:nvCxnSpPr>
        <xdr:cNvPr id="182" name="Прямая соединительная линия 181"/>
        <xdr:cNvCxnSpPr/>
      </xdr:nvCxnSpPr>
      <xdr:spPr>
        <a:xfrm flipV="1">
          <a:off x="2607263" y="1434450"/>
          <a:ext cx="0" cy="0"/>
        </a:xfrm>
        <a:prstGeom prst="line">
          <a:avLst/>
        </a:prstGeom>
        <a:ln w="34925">
          <a:solidFill>
            <a:schemeClr val="tx1"/>
          </a:solidFill>
          <a:prstDash val="dash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26</xdr:row>
      <xdr:rowOff>571500</xdr:rowOff>
    </xdr:from>
    <xdr:to>
      <xdr:col>4</xdr:col>
      <xdr:colOff>12686</xdr:colOff>
      <xdr:row>26</xdr:row>
      <xdr:rowOff>850291</xdr:rowOff>
    </xdr:to>
    <xdr:cxnSp macro="">
      <xdr:nvCxnSpPr>
        <xdr:cNvPr id="184" name="Прямая соединительная линия 183"/>
        <xdr:cNvCxnSpPr/>
      </xdr:nvCxnSpPr>
      <xdr:spPr>
        <a:xfrm flipH="1" flipV="1">
          <a:off x="1895475" y="1628775"/>
          <a:ext cx="708011" cy="256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874398</xdr:colOff>
      <xdr:row>26</xdr:row>
      <xdr:rowOff>1416589</xdr:rowOff>
    </xdr:from>
    <xdr:to>
      <xdr:col>4</xdr:col>
      <xdr:colOff>57579</xdr:colOff>
      <xdr:row>26</xdr:row>
      <xdr:rowOff>1524589</xdr:rowOff>
    </xdr:to>
    <xdr:sp macro="" textlink="">
      <xdr:nvSpPr>
        <xdr:cNvPr id="185" name="Овал 184"/>
        <xdr:cNvSpPr/>
      </xdr:nvSpPr>
      <xdr:spPr>
        <a:xfrm rot="5400000">
          <a:off x="2597976" y="1578961"/>
          <a:ext cx="3225" cy="9758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13715</xdr:colOff>
      <xdr:row>26</xdr:row>
      <xdr:rowOff>108856</xdr:rowOff>
    </xdr:from>
    <xdr:to>
      <xdr:col>4</xdr:col>
      <xdr:colOff>13715</xdr:colOff>
      <xdr:row>26</xdr:row>
      <xdr:rowOff>1472122</xdr:rowOff>
    </xdr:to>
    <xdr:cxnSp macro="">
      <xdr:nvCxnSpPr>
        <xdr:cNvPr id="186" name="Прямая соединительная линия 185"/>
        <xdr:cNvCxnSpPr/>
      </xdr:nvCxnSpPr>
      <xdr:spPr>
        <a:xfrm>
          <a:off x="2604515" y="1547131"/>
          <a:ext cx="0" cy="77391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17689</xdr:colOff>
      <xdr:row>26</xdr:row>
      <xdr:rowOff>728744</xdr:rowOff>
    </xdr:from>
    <xdr:to>
      <xdr:col>4</xdr:col>
      <xdr:colOff>147487</xdr:colOff>
      <xdr:row>26</xdr:row>
      <xdr:rowOff>854850</xdr:rowOff>
    </xdr:to>
    <xdr:grpSp>
      <xdr:nvGrpSpPr>
        <xdr:cNvPr id="187" name="Группа 186"/>
        <xdr:cNvGrpSpPr/>
      </xdr:nvGrpSpPr>
      <xdr:grpSpPr>
        <a:xfrm flipH="1">
          <a:off x="2616653" y="31616958"/>
          <a:ext cx="129798" cy="126106"/>
          <a:chOff x="1132242" y="1306343"/>
          <a:chExt cx="123151" cy="128030"/>
        </a:xfrm>
      </xdr:grpSpPr>
      <xdr:cxnSp macro="">
        <xdr:nvCxnSpPr>
          <xdr:cNvPr id="188" name="Прямая соединительная линия 18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9" name="Прямоугольник 18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177362</xdr:colOff>
      <xdr:row>26</xdr:row>
      <xdr:rowOff>545224</xdr:rowOff>
    </xdr:from>
    <xdr:to>
      <xdr:col>4</xdr:col>
      <xdr:colOff>19707</xdr:colOff>
      <xdr:row>26</xdr:row>
      <xdr:rowOff>1464879</xdr:rowOff>
    </xdr:to>
    <xdr:sp macro="" textlink="">
      <xdr:nvSpPr>
        <xdr:cNvPr id="190" name="Полилиния 189"/>
        <xdr:cNvSpPr/>
      </xdr:nvSpPr>
      <xdr:spPr>
        <a:xfrm>
          <a:off x="1853762" y="1631074"/>
          <a:ext cx="756745" cy="0"/>
        </a:xfrm>
        <a:custGeom>
          <a:avLst/>
          <a:gdLst>
            <a:gd name="connsiteX0" fmla="*/ 755431 w 755431"/>
            <a:gd name="connsiteY0" fmla="*/ 919655 h 919655"/>
            <a:gd name="connsiteX1" fmla="*/ 755431 w 755431"/>
            <a:gd name="connsiteY1" fmla="*/ 302173 h 919655"/>
            <a:gd name="connsiteX2" fmla="*/ 0 w 755431"/>
            <a:gd name="connsiteY2" fmla="*/ 0 h 9196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55431" h="919655">
              <a:moveTo>
                <a:pt x="755431" y="919655"/>
              </a:moveTo>
              <a:lnTo>
                <a:pt x="755431" y="302173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866775</xdr:colOff>
      <xdr:row>27</xdr:row>
      <xdr:rowOff>1418881</xdr:rowOff>
    </xdr:from>
    <xdr:to>
      <xdr:col>4</xdr:col>
      <xdr:colOff>61092</xdr:colOff>
      <xdr:row>27</xdr:row>
      <xdr:rowOff>1526881</xdr:rowOff>
    </xdr:to>
    <xdr:sp macro="" textlink="">
      <xdr:nvSpPr>
        <xdr:cNvPr id="191" name="Овал 190"/>
        <xdr:cNvSpPr>
          <a:spLocks noChangeAspect="1"/>
        </xdr:cNvSpPr>
      </xdr:nvSpPr>
      <xdr:spPr>
        <a:xfrm rot="5400000">
          <a:off x="2595921" y="1766185"/>
          <a:ext cx="3225" cy="108717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7079</xdr:colOff>
      <xdr:row>27</xdr:row>
      <xdr:rowOff>171450</xdr:rowOff>
    </xdr:from>
    <xdr:to>
      <xdr:col>4</xdr:col>
      <xdr:colOff>7079</xdr:colOff>
      <xdr:row>27</xdr:row>
      <xdr:rowOff>843900</xdr:rowOff>
    </xdr:to>
    <xdr:cxnSp macro="">
      <xdr:nvCxnSpPr>
        <xdr:cNvPr id="192" name="Прямая соединительная линия 191"/>
        <xdr:cNvCxnSpPr/>
      </xdr:nvCxnSpPr>
      <xdr:spPr>
        <a:xfrm>
          <a:off x="2597879" y="1800225"/>
          <a:ext cx="0" cy="15225"/>
        </a:xfrm>
        <a:prstGeom prst="line">
          <a:avLst/>
        </a:prstGeom>
        <a:ln w="34925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7079</xdr:colOff>
      <xdr:row>27</xdr:row>
      <xdr:rowOff>834375</xdr:rowOff>
    </xdr:from>
    <xdr:to>
      <xdr:col>4</xdr:col>
      <xdr:colOff>7079</xdr:colOff>
      <xdr:row>27</xdr:row>
      <xdr:rowOff>1472105</xdr:rowOff>
    </xdr:to>
    <xdr:cxnSp macro="">
      <xdr:nvCxnSpPr>
        <xdr:cNvPr id="193" name="Прямая соединительная линия 192"/>
        <xdr:cNvCxnSpPr/>
      </xdr:nvCxnSpPr>
      <xdr:spPr>
        <a:xfrm>
          <a:off x="2597879" y="1815450"/>
          <a:ext cx="0" cy="0"/>
        </a:xfrm>
        <a:prstGeom prst="line">
          <a:avLst/>
        </a:prstGeom>
        <a:ln w="34925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15452</xdr:colOff>
      <xdr:row>27</xdr:row>
      <xdr:rowOff>707093</xdr:rowOff>
    </xdr:from>
    <xdr:to>
      <xdr:col>4</xdr:col>
      <xdr:colOff>139755</xdr:colOff>
      <xdr:row>27</xdr:row>
      <xdr:rowOff>832978</xdr:rowOff>
    </xdr:to>
    <xdr:grpSp>
      <xdr:nvGrpSpPr>
        <xdr:cNvPr id="194" name="Группа 193"/>
        <xdr:cNvGrpSpPr/>
      </xdr:nvGrpSpPr>
      <xdr:grpSpPr>
        <a:xfrm rot="16200000" flipH="1" flipV="1">
          <a:off x="2613625" y="33242563"/>
          <a:ext cx="125885" cy="124303"/>
          <a:chOff x="1132242" y="1306343"/>
          <a:chExt cx="123151" cy="128030"/>
        </a:xfrm>
      </xdr:grpSpPr>
      <xdr:cxnSp macro="">
        <xdr:nvCxnSpPr>
          <xdr:cNvPr id="195" name="Прямая соединительная линия 19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6" name="Прямоугольник 19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861762</xdr:colOff>
      <xdr:row>28</xdr:row>
      <xdr:rowOff>1361731</xdr:rowOff>
    </xdr:from>
    <xdr:to>
      <xdr:col>4</xdr:col>
      <xdr:colOff>56079</xdr:colOff>
      <xdr:row>28</xdr:row>
      <xdr:rowOff>1469731</xdr:rowOff>
    </xdr:to>
    <xdr:sp macro="" textlink="">
      <xdr:nvSpPr>
        <xdr:cNvPr id="197" name="Овал 196"/>
        <xdr:cNvSpPr>
          <a:spLocks noChangeAspect="1"/>
        </xdr:cNvSpPr>
      </xdr:nvSpPr>
      <xdr:spPr>
        <a:xfrm rot="5400000">
          <a:off x="2590908" y="1956685"/>
          <a:ext cx="3225" cy="108717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10439</xdr:colOff>
      <xdr:row>28</xdr:row>
      <xdr:rowOff>649943</xdr:rowOff>
    </xdr:from>
    <xdr:to>
      <xdr:col>4</xdr:col>
      <xdr:colOff>134742</xdr:colOff>
      <xdr:row>28</xdr:row>
      <xdr:rowOff>775828</xdr:rowOff>
    </xdr:to>
    <xdr:grpSp>
      <xdr:nvGrpSpPr>
        <xdr:cNvPr id="198" name="Группа 197"/>
        <xdr:cNvGrpSpPr/>
      </xdr:nvGrpSpPr>
      <xdr:grpSpPr>
        <a:xfrm rot="16200000" flipH="1" flipV="1">
          <a:off x="2608612" y="34831877"/>
          <a:ext cx="125885" cy="124303"/>
          <a:chOff x="1132242" y="1306343"/>
          <a:chExt cx="123151" cy="128030"/>
        </a:xfrm>
      </xdr:grpSpPr>
      <xdr:cxnSp macro="">
        <xdr:nvCxnSpPr>
          <xdr:cNvPr id="199" name="Прямая соединительная линия 19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0" name="Прямоугольник 19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6</xdr:col>
      <xdr:colOff>578428</xdr:colOff>
      <xdr:row>28</xdr:row>
      <xdr:rowOff>419099</xdr:rowOff>
    </xdr:from>
    <xdr:to>
      <xdr:col>7</xdr:col>
      <xdr:colOff>317418</xdr:colOff>
      <xdr:row>28</xdr:row>
      <xdr:rowOff>1181099</xdr:rowOff>
    </xdr:to>
    <xdr:sp macro="" textlink="">
      <xdr:nvSpPr>
        <xdr:cNvPr id="201" name="TextBox 200"/>
        <xdr:cNvSpPr txBox="1"/>
      </xdr:nvSpPr>
      <xdr:spPr>
        <a:xfrm>
          <a:off x="4786746" y="31297417"/>
          <a:ext cx="4490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600" b="0">
              <a:solidFill>
                <a:srgbClr val="FF0000"/>
              </a:solidFill>
            </a:rPr>
            <a:t>!</a:t>
          </a:r>
        </a:p>
      </xdr:txBody>
    </xdr:sp>
    <xdr:clientData/>
  </xdr:twoCellAnchor>
  <xdr:twoCellAnchor>
    <xdr:from>
      <xdr:col>4</xdr:col>
      <xdr:colOff>12436</xdr:colOff>
      <xdr:row>29</xdr:row>
      <xdr:rowOff>186790</xdr:rowOff>
    </xdr:from>
    <xdr:to>
      <xdr:col>4</xdr:col>
      <xdr:colOff>12436</xdr:colOff>
      <xdr:row>29</xdr:row>
      <xdr:rowOff>880241</xdr:rowOff>
    </xdr:to>
    <xdr:cxnSp macro="">
      <xdr:nvCxnSpPr>
        <xdr:cNvPr id="202" name="Прямая соединительная линия 201"/>
        <xdr:cNvCxnSpPr/>
      </xdr:nvCxnSpPr>
      <xdr:spPr>
        <a:xfrm flipV="1">
          <a:off x="2603236" y="2196565"/>
          <a:ext cx="0" cy="765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315437</xdr:colOff>
      <xdr:row>29</xdr:row>
      <xdr:rowOff>785182</xdr:rowOff>
    </xdr:from>
    <xdr:to>
      <xdr:col>4</xdr:col>
      <xdr:colOff>712304</xdr:colOff>
      <xdr:row>29</xdr:row>
      <xdr:rowOff>985561</xdr:rowOff>
    </xdr:to>
    <xdr:cxnSp macro="">
      <xdr:nvCxnSpPr>
        <xdr:cNvPr id="203" name="Прямая соединительная линия 202"/>
        <xdr:cNvCxnSpPr/>
      </xdr:nvCxnSpPr>
      <xdr:spPr>
        <a:xfrm>
          <a:off x="1991837" y="2204407"/>
          <a:ext cx="1311267" cy="35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871839</xdr:colOff>
      <xdr:row>29</xdr:row>
      <xdr:rowOff>1434367</xdr:rowOff>
    </xdr:from>
    <xdr:to>
      <xdr:col>4</xdr:col>
      <xdr:colOff>66753</xdr:colOff>
      <xdr:row>29</xdr:row>
      <xdr:rowOff>1542367</xdr:rowOff>
    </xdr:to>
    <xdr:sp macro="" textlink="">
      <xdr:nvSpPr>
        <xdr:cNvPr id="204" name="Овал 203"/>
        <xdr:cNvSpPr>
          <a:spLocks noChangeAspect="1"/>
        </xdr:cNvSpPr>
      </xdr:nvSpPr>
      <xdr:spPr>
        <a:xfrm>
          <a:off x="2548239" y="2196367"/>
          <a:ext cx="109314" cy="3225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5602</xdr:colOff>
      <xdr:row>30</xdr:row>
      <xdr:rowOff>153171</xdr:rowOff>
    </xdr:from>
    <xdr:to>
      <xdr:col>4</xdr:col>
      <xdr:colOff>5602</xdr:colOff>
      <xdr:row>30</xdr:row>
      <xdr:rowOff>1440066</xdr:rowOff>
    </xdr:to>
    <xdr:cxnSp macro="">
      <xdr:nvCxnSpPr>
        <xdr:cNvPr id="205" name="Прямая соединительная линия 204"/>
        <xdr:cNvCxnSpPr/>
      </xdr:nvCxnSpPr>
      <xdr:spPr>
        <a:xfrm flipV="1">
          <a:off x="2596402" y="2353446"/>
          <a:ext cx="0" cy="3912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5952</xdr:colOff>
      <xdr:row>30</xdr:row>
      <xdr:rowOff>1208484</xdr:rowOff>
    </xdr:from>
    <xdr:to>
      <xdr:col>4</xdr:col>
      <xdr:colOff>5952</xdr:colOff>
      <xdr:row>30</xdr:row>
      <xdr:rowOff>1470422</xdr:rowOff>
    </xdr:to>
    <xdr:cxnSp macro="">
      <xdr:nvCxnSpPr>
        <xdr:cNvPr id="206" name="Прямая соединительная линия 205"/>
        <xdr:cNvCxnSpPr/>
      </xdr:nvCxnSpPr>
      <xdr:spPr>
        <a:xfrm>
          <a:off x="2596752" y="2389584"/>
          <a:ext cx="0" cy="4763"/>
        </a:xfrm>
        <a:prstGeom prst="line">
          <a:avLst/>
        </a:prstGeom>
        <a:ln w="349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15452</xdr:colOff>
      <xdr:row>29</xdr:row>
      <xdr:rowOff>748506</xdr:rowOff>
    </xdr:from>
    <xdr:to>
      <xdr:col>4</xdr:col>
      <xdr:colOff>139755</xdr:colOff>
      <xdr:row>29</xdr:row>
      <xdr:rowOff>874391</xdr:rowOff>
    </xdr:to>
    <xdr:grpSp>
      <xdr:nvGrpSpPr>
        <xdr:cNvPr id="207" name="Группа 206"/>
        <xdr:cNvGrpSpPr/>
      </xdr:nvGrpSpPr>
      <xdr:grpSpPr>
        <a:xfrm rot="16200000" flipH="1" flipV="1">
          <a:off x="2613625" y="36576904"/>
          <a:ext cx="125885" cy="124303"/>
          <a:chOff x="1132242" y="1306343"/>
          <a:chExt cx="123151" cy="128030"/>
        </a:xfrm>
      </xdr:grpSpPr>
      <xdr:cxnSp macro="">
        <xdr:nvCxnSpPr>
          <xdr:cNvPr id="208" name="Прямая соединительная линия 20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9" name="Прямоугольник 20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oneCellAnchor>
    <xdr:from>
      <xdr:col>5</xdr:col>
      <xdr:colOff>329045</xdr:colOff>
      <xdr:row>28</xdr:row>
      <xdr:rowOff>502228</xdr:rowOff>
    </xdr:from>
    <xdr:ext cx="609653" cy="609653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8" y="31380546"/>
          <a:ext cx="609653" cy="609653"/>
        </a:xfrm>
        <a:prstGeom prst="rect">
          <a:avLst/>
        </a:prstGeom>
      </xdr:spPr>
    </xdr:pic>
    <xdr:clientData/>
  </xdr:oneCellAnchor>
  <xdr:twoCellAnchor>
    <xdr:from>
      <xdr:col>4</xdr:col>
      <xdr:colOff>95153</xdr:colOff>
      <xdr:row>28</xdr:row>
      <xdr:rowOff>962236</xdr:rowOff>
    </xdr:from>
    <xdr:to>
      <xdr:col>4</xdr:col>
      <xdr:colOff>200557</xdr:colOff>
      <xdr:row>28</xdr:row>
      <xdr:rowOff>1070236</xdr:rowOff>
    </xdr:to>
    <xdr:sp macro="" textlink="">
      <xdr:nvSpPr>
        <xdr:cNvPr id="211" name="Овал 210"/>
        <xdr:cNvSpPr>
          <a:spLocks noChangeAspect="1"/>
        </xdr:cNvSpPr>
      </xdr:nvSpPr>
      <xdr:spPr>
        <a:xfrm rot="5400000">
          <a:off x="2737042" y="1958897"/>
          <a:ext cx="3225" cy="10540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234610</xdr:colOff>
      <xdr:row>29</xdr:row>
      <xdr:rowOff>770045</xdr:rowOff>
    </xdr:from>
    <xdr:to>
      <xdr:col>4</xdr:col>
      <xdr:colOff>13138</xdr:colOff>
      <xdr:row>29</xdr:row>
      <xdr:rowOff>875839</xdr:rowOff>
    </xdr:to>
    <xdr:cxnSp macro="">
      <xdr:nvCxnSpPr>
        <xdr:cNvPr id="212" name="Прямая соединительная линия 211"/>
        <xdr:cNvCxnSpPr/>
      </xdr:nvCxnSpPr>
      <xdr:spPr>
        <a:xfrm flipH="1" flipV="1">
          <a:off x="1911010" y="2198795"/>
          <a:ext cx="692928" cy="1019"/>
        </a:xfrm>
        <a:prstGeom prst="line">
          <a:avLst/>
        </a:prstGeom>
        <a:ln w="34925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12436</xdr:colOff>
      <xdr:row>29</xdr:row>
      <xdr:rowOff>873673</xdr:rowOff>
    </xdr:from>
    <xdr:to>
      <xdr:col>4</xdr:col>
      <xdr:colOff>12436</xdr:colOff>
      <xdr:row>29</xdr:row>
      <xdr:rowOff>1463238</xdr:rowOff>
    </xdr:to>
    <xdr:cxnSp macro="">
      <xdr:nvCxnSpPr>
        <xdr:cNvPr id="213" name="Прямая соединительная линия 212"/>
        <xdr:cNvCxnSpPr/>
      </xdr:nvCxnSpPr>
      <xdr:spPr>
        <a:xfrm flipV="1">
          <a:off x="2603236" y="2197648"/>
          <a:ext cx="0" cy="0"/>
        </a:xfrm>
        <a:prstGeom prst="line">
          <a:avLst/>
        </a:prstGeom>
        <a:ln w="34925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593912</xdr:colOff>
      <xdr:row>31</xdr:row>
      <xdr:rowOff>376398</xdr:rowOff>
    </xdr:from>
    <xdr:to>
      <xdr:col>4</xdr:col>
      <xdr:colOff>336176</xdr:colOff>
      <xdr:row>31</xdr:row>
      <xdr:rowOff>1216839</xdr:rowOff>
    </xdr:to>
    <xdr:sp macro="" textlink="">
      <xdr:nvSpPr>
        <xdr:cNvPr id="217" name="Прямоугольник 216"/>
        <xdr:cNvSpPr/>
      </xdr:nvSpPr>
      <xdr:spPr>
        <a:xfrm>
          <a:off x="2270312" y="36209448"/>
          <a:ext cx="656664" cy="840441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5602</xdr:colOff>
      <xdr:row>31</xdr:row>
      <xdr:rowOff>153171</xdr:rowOff>
    </xdr:from>
    <xdr:to>
      <xdr:col>4</xdr:col>
      <xdr:colOff>5602</xdr:colOff>
      <xdr:row>31</xdr:row>
      <xdr:rowOff>1440066</xdr:rowOff>
    </xdr:to>
    <xdr:cxnSp macro="">
      <xdr:nvCxnSpPr>
        <xdr:cNvPr id="218" name="Прямая соединительная линия 217"/>
        <xdr:cNvCxnSpPr/>
      </xdr:nvCxnSpPr>
      <xdr:spPr>
        <a:xfrm flipV="1">
          <a:off x="2586011" y="34321944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158352</xdr:colOff>
      <xdr:row>31</xdr:row>
      <xdr:rowOff>419101</xdr:rowOff>
    </xdr:from>
    <xdr:to>
      <xdr:col>4</xdr:col>
      <xdr:colOff>158352</xdr:colOff>
      <xdr:row>31</xdr:row>
      <xdr:rowOff>1143000</xdr:rowOff>
    </xdr:to>
    <xdr:cxnSp macro="">
      <xdr:nvCxnSpPr>
        <xdr:cNvPr id="219" name="Прямая соединительная линия 218"/>
        <xdr:cNvCxnSpPr/>
      </xdr:nvCxnSpPr>
      <xdr:spPr>
        <a:xfrm flipV="1">
          <a:off x="2749152" y="36252151"/>
          <a:ext cx="0" cy="723899"/>
        </a:xfrm>
        <a:prstGeom prst="line">
          <a:avLst/>
        </a:prstGeom>
        <a:ln w="34925">
          <a:solidFill>
            <a:schemeClr val="tx1"/>
          </a:solidFill>
          <a:prstDash val="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61922</xdr:colOff>
      <xdr:row>31</xdr:row>
      <xdr:rowOff>157047</xdr:rowOff>
    </xdr:from>
    <xdr:ext cx="612000" cy="612000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240" y="26099683"/>
          <a:ext cx="612000" cy="612000"/>
        </a:xfrm>
        <a:prstGeom prst="rect">
          <a:avLst/>
        </a:prstGeom>
      </xdr:spPr>
    </xdr:pic>
    <xdr:clientData/>
  </xdr:oneCellAnchor>
  <xdr:twoCellAnchor>
    <xdr:from>
      <xdr:col>3</xdr:col>
      <xdr:colOff>913534</xdr:colOff>
      <xdr:row>30</xdr:row>
      <xdr:rowOff>711115</xdr:rowOff>
    </xdr:from>
    <xdr:to>
      <xdr:col>4</xdr:col>
      <xdr:colOff>171541</xdr:colOff>
      <xdr:row>30</xdr:row>
      <xdr:rowOff>1217130</xdr:rowOff>
    </xdr:to>
    <xdr:sp macro="" textlink="">
      <xdr:nvSpPr>
        <xdr:cNvPr id="223" name="Полилиния 222"/>
        <xdr:cNvSpPr/>
      </xdr:nvSpPr>
      <xdr:spPr>
        <a:xfrm>
          <a:off x="2589934" y="34915390"/>
          <a:ext cx="172407" cy="506015"/>
        </a:xfrm>
        <a:custGeom>
          <a:avLst/>
          <a:gdLst>
            <a:gd name="connsiteX0" fmla="*/ 0 w 178593"/>
            <a:gd name="connsiteY0" fmla="*/ 506015 h 506015"/>
            <a:gd name="connsiteX1" fmla="*/ 136922 w 178593"/>
            <a:gd name="connsiteY1" fmla="*/ 315515 h 506015"/>
            <a:gd name="connsiteX2" fmla="*/ 178593 w 178593"/>
            <a:gd name="connsiteY2" fmla="*/ 0 h 506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8593" h="506015">
              <a:moveTo>
                <a:pt x="0" y="506015"/>
              </a:moveTo>
              <a:cubicBezTo>
                <a:pt x="53578" y="452933"/>
                <a:pt x="107157" y="399851"/>
                <a:pt x="136922" y="315515"/>
              </a:cubicBezTo>
              <a:cubicBezTo>
                <a:pt x="166687" y="231179"/>
                <a:pt x="172640" y="115589"/>
                <a:pt x="178593" y="0"/>
              </a:cubicBezTo>
            </a:path>
          </a:pathLst>
        </a:custGeom>
        <a:noFill/>
        <a:ln w="38100">
          <a:solidFill>
            <a:schemeClr val="tx1"/>
          </a:solidFill>
          <a:prstDash val="dash"/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863648</xdr:colOff>
      <xdr:row>30</xdr:row>
      <xdr:rowOff>1393917</xdr:rowOff>
    </xdr:from>
    <xdr:to>
      <xdr:col>4</xdr:col>
      <xdr:colOff>57248</xdr:colOff>
      <xdr:row>30</xdr:row>
      <xdr:rowOff>1501917</xdr:rowOff>
    </xdr:to>
    <xdr:sp macro="" textlink="">
      <xdr:nvSpPr>
        <xdr:cNvPr id="227" name="Овал 226"/>
        <xdr:cNvSpPr>
          <a:spLocks noChangeAspect="1"/>
        </xdr:cNvSpPr>
      </xdr:nvSpPr>
      <xdr:spPr>
        <a:xfrm>
          <a:off x="2536735" y="35601091"/>
          <a:ext cx="10468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15544</xdr:colOff>
      <xdr:row>30</xdr:row>
      <xdr:rowOff>1299103</xdr:rowOff>
    </xdr:from>
    <xdr:to>
      <xdr:col>4</xdr:col>
      <xdr:colOff>139847</xdr:colOff>
      <xdr:row>30</xdr:row>
      <xdr:rowOff>1424988</xdr:rowOff>
    </xdr:to>
    <xdr:grpSp>
      <xdr:nvGrpSpPr>
        <xdr:cNvPr id="224" name="Группа 223"/>
        <xdr:cNvGrpSpPr/>
      </xdr:nvGrpSpPr>
      <xdr:grpSpPr>
        <a:xfrm rot="16200000" flipH="1" flipV="1">
          <a:off x="2613717" y="38773965"/>
          <a:ext cx="125885" cy="124303"/>
          <a:chOff x="1132242" y="1306343"/>
          <a:chExt cx="123151" cy="128030"/>
        </a:xfrm>
      </xdr:grpSpPr>
      <xdr:cxnSp macro="">
        <xdr:nvCxnSpPr>
          <xdr:cNvPr id="225" name="Прямая соединительная линия 22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6" name="Прямоугольник 22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109839</xdr:colOff>
      <xdr:row>31</xdr:row>
      <xdr:rowOff>1062892</xdr:rowOff>
    </xdr:from>
    <xdr:to>
      <xdr:col>4</xdr:col>
      <xdr:colOff>219153</xdr:colOff>
      <xdr:row>31</xdr:row>
      <xdr:rowOff>1170892</xdr:rowOff>
    </xdr:to>
    <xdr:sp macro="" textlink="">
      <xdr:nvSpPr>
        <xdr:cNvPr id="231" name="Овал 230"/>
        <xdr:cNvSpPr>
          <a:spLocks noChangeAspect="1"/>
        </xdr:cNvSpPr>
      </xdr:nvSpPr>
      <xdr:spPr>
        <a:xfrm>
          <a:off x="2700639" y="36895942"/>
          <a:ext cx="10931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167944</xdr:colOff>
      <xdr:row>31</xdr:row>
      <xdr:rowOff>689503</xdr:rowOff>
    </xdr:from>
    <xdr:to>
      <xdr:col>4</xdr:col>
      <xdr:colOff>292247</xdr:colOff>
      <xdr:row>31</xdr:row>
      <xdr:rowOff>815388</xdr:rowOff>
    </xdr:to>
    <xdr:grpSp>
      <xdr:nvGrpSpPr>
        <xdr:cNvPr id="228" name="Группа 227"/>
        <xdr:cNvGrpSpPr/>
      </xdr:nvGrpSpPr>
      <xdr:grpSpPr>
        <a:xfrm rot="16200000" flipH="1" flipV="1">
          <a:off x="2766117" y="39797223"/>
          <a:ext cx="125885" cy="124303"/>
          <a:chOff x="1132242" y="1306343"/>
          <a:chExt cx="123151" cy="128030"/>
        </a:xfrm>
      </xdr:grpSpPr>
      <xdr:cxnSp macro="">
        <xdr:nvCxnSpPr>
          <xdr:cNvPr id="229" name="Прямая соединительная линия 22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0" name="Прямоугольник 22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244310</xdr:colOff>
      <xdr:row>31</xdr:row>
      <xdr:rowOff>754730</xdr:rowOff>
    </xdr:from>
    <xdr:to>
      <xdr:col>4</xdr:col>
      <xdr:colOff>353624</xdr:colOff>
      <xdr:row>31</xdr:row>
      <xdr:rowOff>862730</xdr:rowOff>
    </xdr:to>
    <xdr:sp macro="" textlink="">
      <xdr:nvSpPr>
        <xdr:cNvPr id="232" name="Овал 231"/>
        <xdr:cNvSpPr>
          <a:spLocks noChangeAspect="1"/>
        </xdr:cNvSpPr>
      </xdr:nvSpPr>
      <xdr:spPr>
        <a:xfrm>
          <a:off x="2844075" y="36579936"/>
          <a:ext cx="10931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97687</xdr:colOff>
      <xdr:row>15</xdr:row>
      <xdr:rowOff>903513</xdr:rowOff>
    </xdr:from>
    <xdr:to>
      <xdr:col>4</xdr:col>
      <xdr:colOff>205534</xdr:colOff>
      <xdr:row>15</xdr:row>
      <xdr:rowOff>1011513</xdr:rowOff>
    </xdr:to>
    <xdr:sp macro="" textlink="">
      <xdr:nvSpPr>
        <xdr:cNvPr id="181" name="Овал 180"/>
        <xdr:cNvSpPr>
          <a:spLocks noChangeAspect="1"/>
        </xdr:cNvSpPr>
      </xdr:nvSpPr>
      <xdr:spPr>
        <a:xfrm>
          <a:off x="2696651" y="12034156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493095</xdr:colOff>
      <xdr:row>11</xdr:row>
      <xdr:rowOff>732965</xdr:rowOff>
    </xdr:from>
    <xdr:to>
      <xdr:col>4</xdr:col>
      <xdr:colOff>443562</xdr:colOff>
      <xdr:row>11</xdr:row>
      <xdr:rowOff>921757</xdr:rowOff>
    </xdr:to>
    <xdr:grpSp>
      <xdr:nvGrpSpPr>
        <xdr:cNvPr id="168" name="Группа 167"/>
        <xdr:cNvGrpSpPr/>
      </xdr:nvGrpSpPr>
      <xdr:grpSpPr>
        <a:xfrm>
          <a:off x="2180381" y="5277751"/>
          <a:ext cx="862145" cy="188792"/>
          <a:chOff x="482982" y="3887156"/>
          <a:chExt cx="862239" cy="188792"/>
        </a:xfrm>
      </xdr:grpSpPr>
      <xdr:cxnSp macro="">
        <xdr:nvCxnSpPr>
          <xdr:cNvPr id="169" name="Прямая со стрелкой 168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912304" y="3494227"/>
            <a:ext cx="0" cy="8586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9" name="Прямая со стрелкой 188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914102" y="3608438"/>
            <a:ext cx="0" cy="86223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0" name="Прямая со стрелкой 189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131218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1" name="Прямая со стрелкой 190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126052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1" name="Прямая со стрелкой 20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120885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2" name="Прямая со стрелкой 20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115719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6" name="Прямая со стрелкой 205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110553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7" name="Прямая со стрелкой 206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105386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8" name="Прямая со стрелкой 207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1002205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2" name="Прямая со стрелкой 211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950542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3" name="Прямая со стрелкой 212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898879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4" name="Прямая со стрелкой 213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847216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5" name="Прямая со стрелкой 214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795553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6" name="Прямая со стрелкой 215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743890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7" name="Прямая со стрелкой 216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692227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8" name="Прямая со стрелкой 217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640564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9" name="Прямая со стрелкой 218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588901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0" name="Прямая со стрелкой 219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537238" y="3887156"/>
            <a:ext cx="0" cy="188792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53711</xdr:colOff>
      <xdr:row>40</xdr:row>
      <xdr:rowOff>94390</xdr:rowOff>
    </xdr:from>
    <xdr:to>
      <xdr:col>6</xdr:col>
      <xdr:colOff>665711</xdr:colOff>
      <xdr:row>40</xdr:row>
      <xdr:rowOff>706390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532" y="60618961"/>
          <a:ext cx="612000" cy="612000"/>
        </a:xfrm>
        <a:prstGeom prst="rect">
          <a:avLst/>
        </a:prstGeom>
      </xdr:spPr>
    </xdr:pic>
    <xdr:clientData/>
  </xdr:twoCellAnchor>
  <xdr:twoCellAnchor>
    <xdr:from>
      <xdr:col>3</xdr:col>
      <xdr:colOff>866775</xdr:colOff>
      <xdr:row>40</xdr:row>
      <xdr:rowOff>1422033</xdr:rowOff>
    </xdr:from>
    <xdr:to>
      <xdr:col>4</xdr:col>
      <xdr:colOff>52934</xdr:colOff>
      <xdr:row>40</xdr:row>
      <xdr:rowOff>1530033</xdr:rowOff>
    </xdr:to>
    <xdr:sp macro="" textlink="">
      <xdr:nvSpPr>
        <xdr:cNvPr id="67" name="Овал 66"/>
        <xdr:cNvSpPr/>
      </xdr:nvSpPr>
      <xdr:spPr>
        <a:xfrm rot="5400000">
          <a:off x="2539455" y="10912653"/>
          <a:ext cx="108000" cy="1005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9070</xdr:colOff>
      <xdr:row>40</xdr:row>
      <xdr:rowOff>114300</xdr:rowOff>
    </xdr:from>
    <xdr:to>
      <xdr:col>4</xdr:col>
      <xdr:colOff>9070</xdr:colOff>
      <xdr:row>40</xdr:row>
      <xdr:rowOff>1477566</xdr:rowOff>
    </xdr:to>
    <xdr:cxnSp macro="">
      <xdr:nvCxnSpPr>
        <xdr:cNvPr id="68" name="Прямая соединительная линия 67"/>
        <xdr:cNvCxnSpPr/>
      </xdr:nvCxnSpPr>
      <xdr:spPr>
        <a:xfrm>
          <a:off x="2599870" y="9601200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21057</xdr:colOff>
      <xdr:row>40</xdr:row>
      <xdr:rowOff>734188</xdr:rowOff>
    </xdr:from>
    <xdr:to>
      <xdr:col>4</xdr:col>
      <xdr:colOff>148133</xdr:colOff>
      <xdr:row>40</xdr:row>
      <xdr:rowOff>860294</xdr:rowOff>
    </xdr:to>
    <xdr:grpSp>
      <xdr:nvGrpSpPr>
        <xdr:cNvPr id="69" name="Группа 68"/>
        <xdr:cNvGrpSpPr/>
      </xdr:nvGrpSpPr>
      <xdr:grpSpPr>
        <a:xfrm flipH="1">
          <a:off x="2620021" y="53026438"/>
          <a:ext cx="127076" cy="126106"/>
          <a:chOff x="1132242" y="1306343"/>
          <a:chExt cx="123151" cy="128030"/>
        </a:xfrm>
      </xdr:grpSpPr>
      <xdr:cxnSp macro="">
        <xdr:nvCxnSpPr>
          <xdr:cNvPr id="70" name="Прямая соединительная линия 6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0" name="Прямоугольник 7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179510</xdr:colOff>
      <xdr:row>40</xdr:row>
      <xdr:rowOff>821226</xdr:rowOff>
    </xdr:from>
    <xdr:to>
      <xdr:col>4</xdr:col>
      <xdr:colOff>280069</xdr:colOff>
      <xdr:row>40</xdr:row>
      <xdr:rowOff>929226</xdr:rowOff>
    </xdr:to>
    <xdr:sp macro="" textlink="">
      <xdr:nvSpPr>
        <xdr:cNvPr id="88" name="Овал 87"/>
        <xdr:cNvSpPr/>
      </xdr:nvSpPr>
      <xdr:spPr>
        <a:xfrm rot="5400000">
          <a:off x="2766590" y="10311846"/>
          <a:ext cx="108000" cy="1005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590550</xdr:colOff>
      <xdr:row>9</xdr:row>
      <xdr:rowOff>385152</xdr:rowOff>
    </xdr:from>
    <xdr:to>
      <xdr:col>4</xdr:col>
      <xdr:colOff>332814</xdr:colOff>
      <xdr:row>9</xdr:row>
      <xdr:rowOff>1225593</xdr:rowOff>
    </xdr:to>
    <xdr:sp macro="" textlink="">
      <xdr:nvSpPr>
        <xdr:cNvPr id="178" name="Прямоугольник 177"/>
        <xdr:cNvSpPr/>
      </xdr:nvSpPr>
      <xdr:spPr>
        <a:xfrm>
          <a:off x="2266950" y="13167702"/>
          <a:ext cx="656664" cy="840441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2240</xdr:colOff>
      <xdr:row>9</xdr:row>
      <xdr:rowOff>161925</xdr:rowOff>
    </xdr:from>
    <xdr:to>
      <xdr:col>4</xdr:col>
      <xdr:colOff>2240</xdr:colOff>
      <xdr:row>9</xdr:row>
      <xdr:rowOff>1448820</xdr:rowOff>
    </xdr:to>
    <xdr:cxnSp macro="">
      <xdr:nvCxnSpPr>
        <xdr:cNvPr id="179" name="Прямая соединительная линия 178"/>
        <xdr:cNvCxnSpPr/>
      </xdr:nvCxnSpPr>
      <xdr:spPr>
        <a:xfrm flipV="1">
          <a:off x="2593040" y="12944475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9</xdr:row>
      <xdr:rowOff>828478</xdr:rowOff>
    </xdr:from>
    <xdr:to>
      <xdr:col>4</xdr:col>
      <xdr:colOff>228891</xdr:colOff>
      <xdr:row>9</xdr:row>
      <xdr:rowOff>936478</xdr:rowOff>
    </xdr:to>
    <xdr:sp macro="" textlink="">
      <xdr:nvSpPr>
        <xdr:cNvPr id="180" name="Овал 179"/>
        <xdr:cNvSpPr>
          <a:spLocks noChangeAspect="1"/>
        </xdr:cNvSpPr>
      </xdr:nvSpPr>
      <xdr:spPr>
        <a:xfrm>
          <a:off x="2716327" y="13611028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2590</xdr:colOff>
      <xdr:row>9</xdr:row>
      <xdr:rowOff>95250</xdr:rowOff>
    </xdr:from>
    <xdr:to>
      <xdr:col>4</xdr:col>
      <xdr:colOff>2590</xdr:colOff>
      <xdr:row>9</xdr:row>
      <xdr:rowOff>402851</xdr:rowOff>
    </xdr:to>
    <xdr:cxnSp macro="">
      <xdr:nvCxnSpPr>
        <xdr:cNvPr id="181" name="Прямая соединительная линия 180"/>
        <xdr:cNvCxnSpPr/>
      </xdr:nvCxnSpPr>
      <xdr:spPr>
        <a:xfrm flipV="1">
          <a:off x="2593390" y="12877800"/>
          <a:ext cx="0" cy="30760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913419</xdr:colOff>
      <xdr:row>9</xdr:row>
      <xdr:rowOff>383801</xdr:rowOff>
    </xdr:from>
    <xdr:to>
      <xdr:col>4</xdr:col>
      <xdr:colOff>177612</xdr:colOff>
      <xdr:row>9</xdr:row>
      <xdr:rowOff>889816</xdr:rowOff>
    </xdr:to>
    <xdr:sp macro="" textlink="">
      <xdr:nvSpPr>
        <xdr:cNvPr id="182" name="Полилиния 181"/>
        <xdr:cNvSpPr/>
      </xdr:nvSpPr>
      <xdr:spPr>
        <a:xfrm flipV="1">
          <a:off x="2589819" y="13166351"/>
          <a:ext cx="178593" cy="506015"/>
        </a:xfrm>
        <a:custGeom>
          <a:avLst/>
          <a:gdLst>
            <a:gd name="connsiteX0" fmla="*/ 0 w 178593"/>
            <a:gd name="connsiteY0" fmla="*/ 506015 h 506015"/>
            <a:gd name="connsiteX1" fmla="*/ 136922 w 178593"/>
            <a:gd name="connsiteY1" fmla="*/ 315515 h 506015"/>
            <a:gd name="connsiteX2" fmla="*/ 178593 w 178593"/>
            <a:gd name="connsiteY2" fmla="*/ 0 h 506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8593" h="506015">
              <a:moveTo>
                <a:pt x="0" y="506015"/>
              </a:moveTo>
              <a:cubicBezTo>
                <a:pt x="53578" y="452933"/>
                <a:pt x="107157" y="399851"/>
                <a:pt x="136922" y="315515"/>
              </a:cubicBezTo>
              <a:cubicBezTo>
                <a:pt x="166687" y="231179"/>
                <a:pt x="172640" y="115589"/>
                <a:pt x="178593" y="0"/>
              </a:cubicBezTo>
            </a:path>
          </a:pathLst>
        </a:custGeom>
        <a:noFill/>
        <a:ln w="3810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174015</xdr:colOff>
      <xdr:row>9</xdr:row>
      <xdr:rowOff>743189</xdr:rowOff>
    </xdr:from>
    <xdr:to>
      <xdr:col>4</xdr:col>
      <xdr:colOff>298318</xdr:colOff>
      <xdr:row>9</xdr:row>
      <xdr:rowOff>869074</xdr:rowOff>
    </xdr:to>
    <xdr:grpSp>
      <xdr:nvGrpSpPr>
        <xdr:cNvPr id="183" name="Группа 182"/>
        <xdr:cNvGrpSpPr/>
      </xdr:nvGrpSpPr>
      <xdr:grpSpPr>
        <a:xfrm rot="16200000" flipH="1" flipV="1">
          <a:off x="2772188" y="1995837"/>
          <a:ext cx="125885" cy="124303"/>
          <a:chOff x="1132242" y="1306343"/>
          <a:chExt cx="123151" cy="128030"/>
        </a:xfrm>
      </xdr:grpSpPr>
      <xdr:cxnSp macro="">
        <xdr:nvCxnSpPr>
          <xdr:cNvPr id="184" name="Прямая соединительная линия 18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5" name="Прямоугольник 18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268402</xdr:colOff>
      <xdr:row>9</xdr:row>
      <xdr:rowOff>828478</xdr:rowOff>
    </xdr:from>
    <xdr:to>
      <xdr:col>4</xdr:col>
      <xdr:colOff>371766</xdr:colOff>
      <xdr:row>9</xdr:row>
      <xdr:rowOff>936478</xdr:rowOff>
    </xdr:to>
    <xdr:sp macro="" textlink="">
      <xdr:nvSpPr>
        <xdr:cNvPr id="186" name="Овал 185"/>
        <xdr:cNvSpPr>
          <a:spLocks noChangeAspect="1"/>
        </xdr:cNvSpPr>
      </xdr:nvSpPr>
      <xdr:spPr>
        <a:xfrm>
          <a:off x="2859202" y="13611028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871528</xdr:colOff>
      <xdr:row>11</xdr:row>
      <xdr:rowOff>1412507</xdr:rowOff>
    </xdr:from>
    <xdr:to>
      <xdr:col>4</xdr:col>
      <xdr:colOff>65128</xdr:colOff>
      <xdr:row>11</xdr:row>
      <xdr:rowOff>1520507</xdr:rowOff>
    </xdr:to>
    <xdr:sp macro="" textlink="">
      <xdr:nvSpPr>
        <xdr:cNvPr id="187" name="Овал 186"/>
        <xdr:cNvSpPr>
          <a:spLocks noChangeAspect="1"/>
        </xdr:cNvSpPr>
      </xdr:nvSpPr>
      <xdr:spPr>
        <a:xfrm rot="5400000">
          <a:off x="2550959" y="14219735"/>
          <a:ext cx="108000" cy="10713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843568</xdr:colOff>
      <xdr:row>12</xdr:row>
      <xdr:rowOff>1355357</xdr:rowOff>
    </xdr:from>
    <xdr:to>
      <xdr:col>4</xdr:col>
      <xdr:colOff>37168</xdr:colOff>
      <xdr:row>12</xdr:row>
      <xdr:rowOff>1463357</xdr:rowOff>
    </xdr:to>
    <xdr:sp macro="" textlink="">
      <xdr:nvSpPr>
        <xdr:cNvPr id="193" name="Овал 192"/>
        <xdr:cNvSpPr>
          <a:spLocks noChangeAspect="1"/>
        </xdr:cNvSpPr>
      </xdr:nvSpPr>
      <xdr:spPr>
        <a:xfrm rot="5400000">
          <a:off x="2519968" y="1743355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907704</xdr:colOff>
      <xdr:row>12</xdr:row>
      <xdr:rowOff>47625</xdr:rowOff>
    </xdr:from>
    <xdr:to>
      <xdr:col>3</xdr:col>
      <xdr:colOff>907704</xdr:colOff>
      <xdr:row>12</xdr:row>
      <xdr:rowOff>1410891</xdr:rowOff>
    </xdr:to>
    <xdr:cxnSp macro="">
      <xdr:nvCxnSpPr>
        <xdr:cNvPr id="194" name="Прямая соединительная линия 193"/>
        <xdr:cNvCxnSpPr/>
      </xdr:nvCxnSpPr>
      <xdr:spPr>
        <a:xfrm>
          <a:off x="2584104" y="16125825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903526</xdr:colOff>
      <xdr:row>12</xdr:row>
      <xdr:rowOff>80596</xdr:rowOff>
    </xdr:from>
    <xdr:to>
      <xdr:col>4</xdr:col>
      <xdr:colOff>258756</xdr:colOff>
      <xdr:row>12</xdr:row>
      <xdr:rowOff>1172308</xdr:rowOff>
    </xdr:to>
    <xdr:sp macro="" textlink="">
      <xdr:nvSpPr>
        <xdr:cNvPr id="20" name="Полилиния 19"/>
        <xdr:cNvSpPr/>
      </xdr:nvSpPr>
      <xdr:spPr>
        <a:xfrm>
          <a:off x="2577921" y="16187872"/>
          <a:ext cx="267624" cy="1091712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622790</xdr:colOff>
      <xdr:row>12</xdr:row>
      <xdr:rowOff>80595</xdr:rowOff>
    </xdr:from>
    <xdr:to>
      <xdr:col>3</xdr:col>
      <xdr:colOff>893886</xdr:colOff>
      <xdr:row>12</xdr:row>
      <xdr:rowOff>1355480</xdr:rowOff>
    </xdr:to>
    <xdr:sp macro="" textlink="">
      <xdr:nvSpPr>
        <xdr:cNvPr id="195" name="Полилиния 194"/>
        <xdr:cNvSpPr/>
      </xdr:nvSpPr>
      <xdr:spPr>
        <a:xfrm flipH="1">
          <a:off x="2293328" y="16163191"/>
          <a:ext cx="271096" cy="1274885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14653</xdr:colOff>
      <xdr:row>12</xdr:row>
      <xdr:rowOff>842596</xdr:rowOff>
    </xdr:from>
    <xdr:to>
      <xdr:col>4</xdr:col>
      <xdr:colOff>468923</xdr:colOff>
      <xdr:row>12</xdr:row>
      <xdr:rowOff>1399442</xdr:rowOff>
    </xdr:to>
    <xdr:cxnSp macro="">
      <xdr:nvCxnSpPr>
        <xdr:cNvPr id="196" name="Прямая соединительная линия 195"/>
        <xdr:cNvCxnSpPr/>
      </xdr:nvCxnSpPr>
      <xdr:spPr>
        <a:xfrm>
          <a:off x="2601057" y="16925192"/>
          <a:ext cx="454270" cy="556846"/>
        </a:xfrm>
        <a:prstGeom prst="line">
          <a:avLst/>
        </a:prstGeom>
        <a:ln w="19050">
          <a:solidFill>
            <a:schemeClr val="tx1"/>
          </a:solidFill>
          <a:prstDash val="dash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907704</xdr:colOff>
      <xdr:row>12</xdr:row>
      <xdr:rowOff>1140493</xdr:rowOff>
    </xdr:from>
    <xdr:to>
      <xdr:col>3</xdr:col>
      <xdr:colOff>907704</xdr:colOff>
      <xdr:row>12</xdr:row>
      <xdr:rowOff>1418724</xdr:rowOff>
    </xdr:to>
    <xdr:cxnSp macro="">
      <xdr:nvCxnSpPr>
        <xdr:cNvPr id="197" name="Прямая соединительная линия 196"/>
        <xdr:cNvCxnSpPr/>
      </xdr:nvCxnSpPr>
      <xdr:spPr>
        <a:xfrm>
          <a:off x="2582099" y="17247769"/>
          <a:ext cx="0" cy="278231"/>
        </a:xfrm>
        <a:prstGeom prst="line">
          <a:avLst/>
        </a:prstGeom>
        <a:ln w="34925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843568</xdr:colOff>
      <xdr:row>13</xdr:row>
      <xdr:rowOff>1479182</xdr:rowOff>
    </xdr:from>
    <xdr:to>
      <xdr:col>4</xdr:col>
      <xdr:colOff>37168</xdr:colOff>
      <xdr:row>13</xdr:row>
      <xdr:rowOff>1587182</xdr:rowOff>
    </xdr:to>
    <xdr:sp macro="" textlink="">
      <xdr:nvSpPr>
        <xdr:cNvPr id="198" name="Овал 197"/>
        <xdr:cNvSpPr>
          <a:spLocks noChangeAspect="1"/>
        </xdr:cNvSpPr>
      </xdr:nvSpPr>
      <xdr:spPr>
        <a:xfrm rot="5400000">
          <a:off x="2519968" y="1920520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903526</xdr:colOff>
      <xdr:row>13</xdr:row>
      <xdr:rowOff>172267</xdr:rowOff>
    </xdr:from>
    <xdr:to>
      <xdr:col>4</xdr:col>
      <xdr:colOff>258756</xdr:colOff>
      <xdr:row>13</xdr:row>
      <xdr:rowOff>1491846</xdr:rowOff>
    </xdr:to>
    <xdr:sp macro="" textlink="">
      <xdr:nvSpPr>
        <xdr:cNvPr id="199" name="Полилиния 198"/>
        <xdr:cNvSpPr/>
      </xdr:nvSpPr>
      <xdr:spPr>
        <a:xfrm>
          <a:off x="2576613" y="17897050"/>
          <a:ext cx="266317" cy="1319579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532665</xdr:colOff>
      <xdr:row>13</xdr:row>
      <xdr:rowOff>146442</xdr:rowOff>
    </xdr:from>
    <xdr:to>
      <xdr:col>3</xdr:col>
      <xdr:colOff>798982</xdr:colOff>
      <xdr:row>13</xdr:row>
      <xdr:rowOff>1466021</xdr:rowOff>
    </xdr:to>
    <xdr:sp macro="" textlink="">
      <xdr:nvSpPr>
        <xdr:cNvPr id="200" name="Полилиния 199"/>
        <xdr:cNvSpPr/>
      </xdr:nvSpPr>
      <xdr:spPr>
        <a:xfrm rot="12662549">
          <a:off x="2205752" y="17871225"/>
          <a:ext cx="266317" cy="1319579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646046</xdr:colOff>
      <xdr:row>13</xdr:row>
      <xdr:rowOff>853108</xdr:rowOff>
    </xdr:from>
    <xdr:to>
      <xdr:col>4</xdr:col>
      <xdr:colOff>24850</xdr:colOff>
      <xdr:row>13</xdr:row>
      <xdr:rowOff>1142999</xdr:rowOff>
    </xdr:to>
    <xdr:sp macro="" textlink="">
      <xdr:nvSpPr>
        <xdr:cNvPr id="25" name="Овал 24"/>
        <xdr:cNvSpPr/>
      </xdr:nvSpPr>
      <xdr:spPr>
        <a:xfrm>
          <a:off x="2319133" y="18577891"/>
          <a:ext cx="289891" cy="289891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498231</xdr:colOff>
      <xdr:row>13</xdr:row>
      <xdr:rowOff>915865</xdr:rowOff>
    </xdr:from>
    <xdr:to>
      <xdr:col>3</xdr:col>
      <xdr:colOff>674077</xdr:colOff>
      <xdr:row>13</xdr:row>
      <xdr:rowOff>1545981</xdr:rowOff>
    </xdr:to>
    <xdr:sp macro="" textlink="">
      <xdr:nvSpPr>
        <xdr:cNvPr id="26" name="Полилиния 25"/>
        <xdr:cNvSpPr/>
      </xdr:nvSpPr>
      <xdr:spPr>
        <a:xfrm>
          <a:off x="2168769" y="18647019"/>
          <a:ext cx="175846" cy="630116"/>
        </a:xfrm>
        <a:custGeom>
          <a:avLst/>
          <a:gdLst>
            <a:gd name="connsiteX0" fmla="*/ 175846 w 175846"/>
            <a:gd name="connsiteY0" fmla="*/ 0 h 630116"/>
            <a:gd name="connsiteX1" fmla="*/ 95250 w 175846"/>
            <a:gd name="connsiteY1" fmla="*/ 205154 h 630116"/>
            <a:gd name="connsiteX2" fmla="*/ 87923 w 175846"/>
            <a:gd name="connsiteY2" fmla="*/ 432289 h 630116"/>
            <a:gd name="connsiteX3" fmla="*/ 0 w 175846"/>
            <a:gd name="connsiteY3" fmla="*/ 630116 h 6301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5846" h="630116">
              <a:moveTo>
                <a:pt x="175846" y="0"/>
              </a:moveTo>
              <a:cubicBezTo>
                <a:pt x="142875" y="66553"/>
                <a:pt x="109904" y="133106"/>
                <a:pt x="95250" y="205154"/>
              </a:cubicBezTo>
              <a:cubicBezTo>
                <a:pt x="80596" y="277202"/>
                <a:pt x="103798" y="361462"/>
                <a:pt x="87923" y="432289"/>
              </a:cubicBezTo>
              <a:cubicBezTo>
                <a:pt x="72048" y="503116"/>
                <a:pt x="36024" y="566616"/>
                <a:pt x="0" y="630116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403695</xdr:colOff>
      <xdr:row>13</xdr:row>
      <xdr:rowOff>1209659</xdr:rowOff>
    </xdr:from>
    <xdr:to>
      <xdr:col>4</xdr:col>
      <xdr:colOff>117945</xdr:colOff>
      <xdr:row>13</xdr:row>
      <xdr:rowOff>1385505</xdr:rowOff>
    </xdr:to>
    <xdr:sp macro="" textlink="">
      <xdr:nvSpPr>
        <xdr:cNvPr id="203" name="Полилиния 202"/>
        <xdr:cNvSpPr/>
      </xdr:nvSpPr>
      <xdr:spPr>
        <a:xfrm rot="3420000" flipH="1">
          <a:off x="2301368" y="18713678"/>
          <a:ext cx="175846" cy="630116"/>
        </a:xfrm>
        <a:custGeom>
          <a:avLst/>
          <a:gdLst>
            <a:gd name="connsiteX0" fmla="*/ 175846 w 175846"/>
            <a:gd name="connsiteY0" fmla="*/ 0 h 630116"/>
            <a:gd name="connsiteX1" fmla="*/ 95250 w 175846"/>
            <a:gd name="connsiteY1" fmla="*/ 205154 h 630116"/>
            <a:gd name="connsiteX2" fmla="*/ 87923 w 175846"/>
            <a:gd name="connsiteY2" fmla="*/ 432289 h 630116"/>
            <a:gd name="connsiteX3" fmla="*/ 0 w 175846"/>
            <a:gd name="connsiteY3" fmla="*/ 630116 h 6301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5846" h="630116">
              <a:moveTo>
                <a:pt x="175846" y="0"/>
              </a:moveTo>
              <a:cubicBezTo>
                <a:pt x="142875" y="66553"/>
                <a:pt x="109904" y="133106"/>
                <a:pt x="95250" y="205154"/>
              </a:cubicBezTo>
              <a:cubicBezTo>
                <a:pt x="80596" y="277202"/>
                <a:pt x="103798" y="361462"/>
                <a:pt x="87923" y="432289"/>
              </a:cubicBezTo>
              <a:cubicBezTo>
                <a:pt x="72048" y="503116"/>
                <a:pt x="36024" y="566616"/>
                <a:pt x="0" y="630116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843568</xdr:colOff>
      <xdr:row>18</xdr:row>
      <xdr:rowOff>1447144</xdr:rowOff>
    </xdr:from>
    <xdr:to>
      <xdr:col>4</xdr:col>
      <xdr:colOff>37168</xdr:colOff>
      <xdr:row>18</xdr:row>
      <xdr:rowOff>1555144</xdr:rowOff>
    </xdr:to>
    <xdr:sp macro="" textlink="">
      <xdr:nvSpPr>
        <xdr:cNvPr id="204" name="Овал 203"/>
        <xdr:cNvSpPr>
          <a:spLocks noChangeAspect="1"/>
        </xdr:cNvSpPr>
      </xdr:nvSpPr>
      <xdr:spPr>
        <a:xfrm rot="5400000">
          <a:off x="2526692" y="25761667"/>
          <a:ext cx="108000" cy="11248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899810</xdr:colOff>
      <xdr:row>18</xdr:row>
      <xdr:rowOff>139412</xdr:rowOff>
    </xdr:from>
    <xdr:to>
      <xdr:col>3</xdr:col>
      <xdr:colOff>899810</xdr:colOff>
      <xdr:row>18</xdr:row>
      <xdr:rowOff>1502678</xdr:rowOff>
    </xdr:to>
    <xdr:cxnSp macro="">
      <xdr:nvCxnSpPr>
        <xdr:cNvPr id="205" name="Прямая соединительная линия 204"/>
        <xdr:cNvCxnSpPr/>
      </xdr:nvCxnSpPr>
      <xdr:spPr>
        <a:xfrm>
          <a:off x="2580692" y="24456177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656205</xdr:colOff>
      <xdr:row>18</xdr:row>
      <xdr:rowOff>853590</xdr:rowOff>
    </xdr:from>
    <xdr:to>
      <xdr:col>3</xdr:col>
      <xdr:colOff>759569</xdr:colOff>
      <xdr:row>18</xdr:row>
      <xdr:rowOff>961590</xdr:rowOff>
    </xdr:to>
    <xdr:sp macro="" textlink="">
      <xdr:nvSpPr>
        <xdr:cNvPr id="209" name="Овал 208"/>
        <xdr:cNvSpPr>
          <a:spLocks noChangeAspect="1"/>
        </xdr:cNvSpPr>
      </xdr:nvSpPr>
      <xdr:spPr>
        <a:xfrm>
          <a:off x="2343491" y="21863019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231321</xdr:colOff>
      <xdr:row>18</xdr:row>
      <xdr:rowOff>340178</xdr:rowOff>
    </xdr:from>
    <xdr:to>
      <xdr:col>7</xdr:col>
      <xdr:colOff>489056</xdr:colOff>
      <xdr:row>18</xdr:row>
      <xdr:rowOff>788413</xdr:rowOff>
    </xdr:to>
    <xdr:sp macro="" textlink="">
      <xdr:nvSpPr>
        <xdr:cNvPr id="210" name="Прямоугольник 209"/>
        <xdr:cNvSpPr/>
      </xdr:nvSpPr>
      <xdr:spPr>
        <a:xfrm>
          <a:off x="3741964" y="21349607"/>
          <a:ext cx="1700092" cy="44823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5</xdr:col>
      <xdr:colOff>528725</xdr:colOff>
      <xdr:row>18</xdr:row>
      <xdr:rowOff>359003</xdr:rowOff>
    </xdr:from>
    <xdr:to>
      <xdr:col>7</xdr:col>
      <xdr:colOff>231545</xdr:colOff>
      <xdr:row>18</xdr:row>
      <xdr:rowOff>766673</xdr:rowOff>
    </xdr:to>
    <xdr:cxnSp macro="">
      <xdr:nvCxnSpPr>
        <xdr:cNvPr id="211" name="Прямая соединительная линия 210"/>
        <xdr:cNvCxnSpPr/>
      </xdr:nvCxnSpPr>
      <xdr:spPr>
        <a:xfrm flipV="1">
          <a:off x="4039368" y="21368432"/>
          <a:ext cx="1145177" cy="407670"/>
        </a:xfrm>
        <a:prstGeom prst="line">
          <a:avLst/>
        </a:prstGeom>
        <a:ln w="57150" cap="rnd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25</xdr:row>
      <xdr:rowOff>1439721</xdr:rowOff>
    </xdr:from>
    <xdr:to>
      <xdr:col>4</xdr:col>
      <xdr:colOff>56218</xdr:colOff>
      <xdr:row>25</xdr:row>
      <xdr:rowOff>1547721</xdr:rowOff>
    </xdr:to>
    <xdr:sp macro="" textlink="">
      <xdr:nvSpPr>
        <xdr:cNvPr id="225" name="Овал 224"/>
        <xdr:cNvSpPr>
          <a:spLocks noChangeAspect="1"/>
        </xdr:cNvSpPr>
      </xdr:nvSpPr>
      <xdr:spPr>
        <a:xfrm rot="5400000">
          <a:off x="2539018" y="2905269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25</xdr:row>
      <xdr:rowOff>131989</xdr:rowOff>
    </xdr:from>
    <xdr:to>
      <xdr:col>4</xdr:col>
      <xdr:colOff>857</xdr:colOff>
      <xdr:row>25</xdr:row>
      <xdr:rowOff>1495255</xdr:rowOff>
    </xdr:to>
    <xdr:cxnSp macro="">
      <xdr:nvCxnSpPr>
        <xdr:cNvPr id="226" name="Прямая соединительная линия 225"/>
        <xdr:cNvCxnSpPr/>
      </xdr:nvCxnSpPr>
      <xdr:spPr>
        <a:xfrm>
          <a:off x="2591657" y="27744964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25</xdr:row>
      <xdr:rowOff>969433</xdr:rowOff>
    </xdr:from>
    <xdr:to>
      <xdr:col>4</xdr:col>
      <xdr:colOff>228891</xdr:colOff>
      <xdr:row>25</xdr:row>
      <xdr:rowOff>1077433</xdr:rowOff>
    </xdr:to>
    <xdr:sp macro="" textlink="">
      <xdr:nvSpPr>
        <xdr:cNvPr id="227" name="Овал 226"/>
        <xdr:cNvSpPr>
          <a:spLocks noChangeAspect="1"/>
        </xdr:cNvSpPr>
      </xdr:nvSpPr>
      <xdr:spPr>
        <a:xfrm>
          <a:off x="2725292" y="33522521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0</xdr:colOff>
      <xdr:row>25</xdr:row>
      <xdr:rowOff>489857</xdr:rowOff>
    </xdr:from>
    <xdr:to>
      <xdr:col>6</xdr:col>
      <xdr:colOff>609653</xdr:colOff>
      <xdr:row>25</xdr:row>
      <xdr:rowOff>1099510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821" y="28085143"/>
          <a:ext cx="609653" cy="609653"/>
        </a:xfrm>
        <a:prstGeom prst="rect">
          <a:avLst/>
        </a:prstGeom>
      </xdr:spPr>
    </xdr:pic>
    <xdr:clientData/>
  </xdr:twoCellAnchor>
  <xdr:twoCellAnchor>
    <xdr:from>
      <xdr:col>3</xdr:col>
      <xdr:colOff>859556</xdr:colOff>
      <xdr:row>30</xdr:row>
      <xdr:rowOff>1416589</xdr:rowOff>
    </xdr:from>
    <xdr:to>
      <xdr:col>4</xdr:col>
      <xdr:colOff>53156</xdr:colOff>
      <xdr:row>30</xdr:row>
      <xdr:rowOff>1524589</xdr:rowOff>
    </xdr:to>
    <xdr:sp macro="" textlink="">
      <xdr:nvSpPr>
        <xdr:cNvPr id="228" name="Овал 227"/>
        <xdr:cNvSpPr>
          <a:spLocks noChangeAspect="1"/>
        </xdr:cNvSpPr>
      </xdr:nvSpPr>
      <xdr:spPr>
        <a:xfrm rot="5400000">
          <a:off x="2542680" y="43851023"/>
          <a:ext cx="108000" cy="11248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913834</xdr:colOff>
      <xdr:row>30</xdr:row>
      <xdr:rowOff>108857</xdr:rowOff>
    </xdr:from>
    <xdr:to>
      <xdr:col>3</xdr:col>
      <xdr:colOff>913834</xdr:colOff>
      <xdr:row>30</xdr:row>
      <xdr:rowOff>1472123</xdr:rowOff>
    </xdr:to>
    <xdr:cxnSp macro="">
      <xdr:nvCxnSpPr>
        <xdr:cNvPr id="229" name="Прямая соединительная линия 228"/>
        <xdr:cNvCxnSpPr/>
      </xdr:nvCxnSpPr>
      <xdr:spPr>
        <a:xfrm>
          <a:off x="2584372" y="1289433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227135</xdr:colOff>
      <xdr:row>30</xdr:row>
      <xdr:rowOff>840921</xdr:rowOff>
    </xdr:from>
    <xdr:to>
      <xdr:col>4</xdr:col>
      <xdr:colOff>740019</xdr:colOff>
      <xdr:row>30</xdr:row>
      <xdr:rowOff>840921</xdr:rowOff>
    </xdr:to>
    <xdr:cxnSp macro="">
      <xdr:nvCxnSpPr>
        <xdr:cNvPr id="231" name="Прямая соединительная линия 230"/>
        <xdr:cNvCxnSpPr/>
      </xdr:nvCxnSpPr>
      <xdr:spPr>
        <a:xfrm>
          <a:off x="1897673" y="13626402"/>
          <a:ext cx="142875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859556</xdr:colOff>
      <xdr:row>31</xdr:row>
      <xdr:rowOff>1454689</xdr:rowOff>
    </xdr:from>
    <xdr:to>
      <xdr:col>4</xdr:col>
      <xdr:colOff>53156</xdr:colOff>
      <xdr:row>31</xdr:row>
      <xdr:rowOff>1562689</xdr:rowOff>
    </xdr:to>
    <xdr:sp macro="" textlink="">
      <xdr:nvSpPr>
        <xdr:cNvPr id="232" name="Овал 231"/>
        <xdr:cNvSpPr>
          <a:spLocks noChangeAspect="1"/>
        </xdr:cNvSpPr>
      </xdr:nvSpPr>
      <xdr:spPr>
        <a:xfrm rot="5400000">
          <a:off x="2535956" y="32363314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1398</xdr:colOff>
      <xdr:row>31</xdr:row>
      <xdr:rowOff>146957</xdr:rowOff>
    </xdr:from>
    <xdr:to>
      <xdr:col>4</xdr:col>
      <xdr:colOff>1398</xdr:colOff>
      <xdr:row>31</xdr:row>
      <xdr:rowOff>1510223</xdr:rowOff>
    </xdr:to>
    <xdr:cxnSp macro="">
      <xdr:nvCxnSpPr>
        <xdr:cNvPr id="233" name="Прямая соединительная линия 232"/>
        <xdr:cNvCxnSpPr/>
      </xdr:nvCxnSpPr>
      <xdr:spPr>
        <a:xfrm>
          <a:off x="2592198" y="31055582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258535</xdr:colOff>
      <xdr:row>31</xdr:row>
      <xdr:rowOff>884223</xdr:rowOff>
    </xdr:from>
    <xdr:to>
      <xdr:col>4</xdr:col>
      <xdr:colOff>0</xdr:colOff>
      <xdr:row>31</xdr:row>
      <xdr:rowOff>884223</xdr:rowOff>
    </xdr:to>
    <xdr:cxnSp macro="">
      <xdr:nvCxnSpPr>
        <xdr:cNvPr id="234" name="Прямая соединительная линия 233"/>
        <xdr:cNvCxnSpPr/>
      </xdr:nvCxnSpPr>
      <xdr:spPr>
        <a:xfrm>
          <a:off x="1929073" y="38398069"/>
          <a:ext cx="657331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120680</xdr:colOff>
      <xdr:row>31</xdr:row>
      <xdr:rowOff>876300</xdr:rowOff>
    </xdr:from>
    <xdr:to>
      <xdr:col>3</xdr:col>
      <xdr:colOff>907678</xdr:colOff>
      <xdr:row>31</xdr:row>
      <xdr:rowOff>1504950</xdr:rowOff>
    </xdr:to>
    <xdr:sp macro="" textlink="">
      <xdr:nvSpPr>
        <xdr:cNvPr id="235" name="Полилиния 234"/>
        <xdr:cNvSpPr/>
      </xdr:nvSpPr>
      <xdr:spPr>
        <a:xfrm>
          <a:off x="1801562" y="38371182"/>
          <a:ext cx="786998" cy="62865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859556</xdr:colOff>
      <xdr:row>32</xdr:row>
      <xdr:rowOff>1427474</xdr:rowOff>
    </xdr:from>
    <xdr:to>
      <xdr:col>4</xdr:col>
      <xdr:colOff>53156</xdr:colOff>
      <xdr:row>32</xdr:row>
      <xdr:rowOff>1535474</xdr:rowOff>
    </xdr:to>
    <xdr:sp macro="" textlink="">
      <xdr:nvSpPr>
        <xdr:cNvPr id="244" name="Овал 243"/>
        <xdr:cNvSpPr>
          <a:spLocks noChangeAspect="1"/>
        </xdr:cNvSpPr>
      </xdr:nvSpPr>
      <xdr:spPr>
        <a:xfrm rot="5400000">
          <a:off x="2545481" y="35609978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109904</xdr:colOff>
      <xdr:row>32</xdr:row>
      <xdr:rowOff>822191</xdr:rowOff>
    </xdr:from>
    <xdr:to>
      <xdr:col>4</xdr:col>
      <xdr:colOff>6724</xdr:colOff>
      <xdr:row>32</xdr:row>
      <xdr:rowOff>1450841</xdr:rowOff>
    </xdr:to>
    <xdr:sp macro="" textlink="">
      <xdr:nvSpPr>
        <xdr:cNvPr id="247" name="Полилиния 246"/>
        <xdr:cNvSpPr/>
      </xdr:nvSpPr>
      <xdr:spPr>
        <a:xfrm>
          <a:off x="1780442" y="16904787"/>
          <a:ext cx="812686" cy="62865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859556</xdr:colOff>
      <xdr:row>33</xdr:row>
      <xdr:rowOff>1468888</xdr:rowOff>
    </xdr:from>
    <xdr:to>
      <xdr:col>4</xdr:col>
      <xdr:colOff>53156</xdr:colOff>
      <xdr:row>33</xdr:row>
      <xdr:rowOff>1576888</xdr:rowOff>
    </xdr:to>
    <xdr:sp macro="" textlink="">
      <xdr:nvSpPr>
        <xdr:cNvPr id="249" name="Овал 248"/>
        <xdr:cNvSpPr>
          <a:spLocks noChangeAspect="1"/>
        </xdr:cNvSpPr>
      </xdr:nvSpPr>
      <xdr:spPr>
        <a:xfrm rot="5400000">
          <a:off x="2530987" y="37325957"/>
          <a:ext cx="108000" cy="104687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1398</xdr:colOff>
      <xdr:row>33</xdr:row>
      <xdr:rowOff>653143</xdr:rowOff>
    </xdr:from>
    <xdr:to>
      <xdr:col>4</xdr:col>
      <xdr:colOff>1398</xdr:colOff>
      <xdr:row>33</xdr:row>
      <xdr:rowOff>1524422</xdr:rowOff>
    </xdr:to>
    <xdr:cxnSp macro="">
      <xdr:nvCxnSpPr>
        <xdr:cNvPr id="250" name="Прямая соединительная линия 249"/>
        <xdr:cNvCxnSpPr/>
      </xdr:nvCxnSpPr>
      <xdr:spPr>
        <a:xfrm>
          <a:off x="2592198" y="36527014"/>
          <a:ext cx="0" cy="871279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811696</xdr:colOff>
      <xdr:row>33</xdr:row>
      <xdr:rowOff>74544</xdr:rowOff>
    </xdr:from>
    <xdr:to>
      <xdr:col>4</xdr:col>
      <xdr:colOff>397565</xdr:colOff>
      <xdr:row>33</xdr:row>
      <xdr:rowOff>1474304</xdr:rowOff>
    </xdr:to>
    <xdr:sp macro="" textlink="">
      <xdr:nvSpPr>
        <xdr:cNvPr id="252" name="Полилиния 251"/>
        <xdr:cNvSpPr/>
      </xdr:nvSpPr>
      <xdr:spPr>
        <a:xfrm>
          <a:off x="2484783" y="35929957"/>
          <a:ext cx="496956" cy="1399760"/>
        </a:xfrm>
        <a:custGeom>
          <a:avLst/>
          <a:gdLst>
            <a:gd name="connsiteX0" fmla="*/ 0 w 496956"/>
            <a:gd name="connsiteY0" fmla="*/ 0 h 1399760"/>
            <a:gd name="connsiteX1" fmla="*/ 82826 w 496956"/>
            <a:gd name="connsiteY1" fmla="*/ 505239 h 1399760"/>
            <a:gd name="connsiteX2" fmla="*/ 496956 w 496956"/>
            <a:gd name="connsiteY2" fmla="*/ 1399760 h 13997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6956" h="1399760">
              <a:moveTo>
                <a:pt x="0" y="0"/>
              </a:moveTo>
              <a:cubicBezTo>
                <a:pt x="0" y="135973"/>
                <a:pt x="0" y="271946"/>
                <a:pt x="82826" y="505239"/>
              </a:cubicBezTo>
              <a:cubicBezTo>
                <a:pt x="165652" y="738532"/>
                <a:pt x="331304" y="1069146"/>
                <a:pt x="496956" y="139976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913533</xdr:colOff>
      <xdr:row>33</xdr:row>
      <xdr:rowOff>632082</xdr:rowOff>
    </xdr:from>
    <xdr:to>
      <xdr:col>4</xdr:col>
      <xdr:colOff>426910</xdr:colOff>
      <xdr:row>33</xdr:row>
      <xdr:rowOff>1532046</xdr:rowOff>
    </xdr:to>
    <xdr:grpSp>
      <xdr:nvGrpSpPr>
        <xdr:cNvPr id="257" name="Группа 256"/>
        <xdr:cNvGrpSpPr/>
      </xdr:nvGrpSpPr>
      <xdr:grpSpPr>
        <a:xfrm>
          <a:off x="2600819" y="41399082"/>
          <a:ext cx="425055" cy="899964"/>
          <a:chOff x="3934319" y="36505953"/>
          <a:chExt cx="427777" cy="899964"/>
        </a:xfrm>
      </xdr:grpSpPr>
      <xdr:sp macro="" textlink="">
        <xdr:nvSpPr>
          <xdr:cNvPr id="255" name="Полилиния 254"/>
          <xdr:cNvSpPr/>
        </xdr:nvSpPr>
        <xdr:spPr>
          <a:xfrm>
            <a:off x="3934319" y="36505953"/>
            <a:ext cx="427777" cy="899964"/>
          </a:xfrm>
          <a:custGeom>
            <a:avLst/>
            <a:gdLst>
              <a:gd name="connsiteX0" fmla="*/ 0 w 496956"/>
              <a:gd name="connsiteY0" fmla="*/ 0 h 1399760"/>
              <a:gd name="connsiteX1" fmla="*/ 82826 w 496956"/>
              <a:gd name="connsiteY1" fmla="*/ 505239 h 1399760"/>
              <a:gd name="connsiteX2" fmla="*/ 496956 w 496956"/>
              <a:gd name="connsiteY2" fmla="*/ 1399760 h 1399760"/>
              <a:gd name="connsiteX0" fmla="*/ 0 w 496956"/>
              <a:gd name="connsiteY0" fmla="*/ 0 h 1399760"/>
              <a:gd name="connsiteX1" fmla="*/ 104453 w 496956"/>
              <a:gd name="connsiteY1" fmla="*/ 565110 h 1399760"/>
              <a:gd name="connsiteX2" fmla="*/ 496956 w 496956"/>
              <a:gd name="connsiteY2" fmla="*/ 1399760 h 1399760"/>
              <a:gd name="connsiteX0" fmla="*/ 0 w 392503"/>
              <a:gd name="connsiteY0" fmla="*/ 0 h 834650"/>
              <a:gd name="connsiteX1" fmla="*/ 392503 w 392503"/>
              <a:gd name="connsiteY1" fmla="*/ 834650 h 834650"/>
              <a:gd name="connsiteX0" fmla="*/ 0 w 424944"/>
              <a:gd name="connsiteY0" fmla="*/ 0 h 899964"/>
              <a:gd name="connsiteX1" fmla="*/ 424944 w 424944"/>
              <a:gd name="connsiteY1" fmla="*/ 899964 h 89996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24944" h="899964">
                <a:moveTo>
                  <a:pt x="0" y="0"/>
                </a:moveTo>
                <a:cubicBezTo>
                  <a:pt x="82826" y="233293"/>
                  <a:pt x="259292" y="569350"/>
                  <a:pt x="424944" y="899964"/>
                </a:cubicBezTo>
              </a:path>
            </a:pathLst>
          </a:custGeom>
          <a:noFill/>
          <a:ln w="34925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56" name="Прямая соединительная линия 255"/>
          <xdr:cNvCxnSpPr/>
        </xdr:nvCxnSpPr>
        <xdr:spPr>
          <a:xfrm>
            <a:off x="3936584" y="36527014"/>
            <a:ext cx="0" cy="871279"/>
          </a:xfrm>
          <a:prstGeom prst="line">
            <a:avLst/>
          </a:prstGeom>
          <a:ln w="34925">
            <a:solidFill>
              <a:schemeClr val="tx1"/>
            </a:solidFill>
            <a:headEnd type="none" w="med" len="lg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906732</xdr:colOff>
      <xdr:row>38</xdr:row>
      <xdr:rowOff>850584</xdr:rowOff>
    </xdr:from>
    <xdr:to>
      <xdr:col>3</xdr:col>
      <xdr:colOff>906732</xdr:colOff>
      <xdr:row>38</xdr:row>
      <xdr:rowOff>1494372</xdr:rowOff>
    </xdr:to>
    <xdr:cxnSp macro="">
      <xdr:nvCxnSpPr>
        <xdr:cNvPr id="259" name="Прямая соединительная линия 258"/>
        <xdr:cNvCxnSpPr/>
      </xdr:nvCxnSpPr>
      <xdr:spPr>
        <a:xfrm flipV="1">
          <a:off x="2594018" y="44910513"/>
          <a:ext cx="0" cy="64378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854340</xdr:colOff>
      <xdr:row>38</xdr:row>
      <xdr:rowOff>1437222</xdr:rowOff>
    </xdr:from>
    <xdr:to>
      <xdr:col>4</xdr:col>
      <xdr:colOff>47787</xdr:colOff>
      <xdr:row>38</xdr:row>
      <xdr:rowOff>1545222</xdr:rowOff>
    </xdr:to>
    <xdr:sp macro="" textlink="">
      <xdr:nvSpPr>
        <xdr:cNvPr id="260" name="Овал 259"/>
        <xdr:cNvSpPr>
          <a:spLocks noChangeAspect="1"/>
        </xdr:cNvSpPr>
      </xdr:nvSpPr>
      <xdr:spPr>
        <a:xfrm>
          <a:off x="2541626" y="45497151"/>
          <a:ext cx="105125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263037</xdr:colOff>
      <xdr:row>38</xdr:row>
      <xdr:rowOff>736997</xdr:rowOff>
    </xdr:from>
    <xdr:to>
      <xdr:col>4</xdr:col>
      <xdr:colOff>676275</xdr:colOff>
      <xdr:row>38</xdr:row>
      <xdr:rowOff>968530</xdr:rowOff>
    </xdr:to>
    <xdr:cxnSp macro="">
      <xdr:nvCxnSpPr>
        <xdr:cNvPr id="261" name="Прямая соединительная линия 260"/>
        <xdr:cNvCxnSpPr/>
      </xdr:nvCxnSpPr>
      <xdr:spPr>
        <a:xfrm flipV="1">
          <a:off x="1941818" y="56398716"/>
          <a:ext cx="1330020" cy="23153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783195</xdr:colOff>
      <xdr:row>38</xdr:row>
      <xdr:rowOff>729829</xdr:rowOff>
    </xdr:from>
    <xdr:to>
      <xdr:col>3</xdr:col>
      <xdr:colOff>905369</xdr:colOff>
      <xdr:row>38</xdr:row>
      <xdr:rowOff>857126</xdr:rowOff>
    </xdr:to>
    <xdr:grpSp>
      <xdr:nvGrpSpPr>
        <xdr:cNvPr id="264" name="Группа 263"/>
        <xdr:cNvGrpSpPr/>
      </xdr:nvGrpSpPr>
      <xdr:grpSpPr>
        <a:xfrm>
          <a:off x="2470481" y="49729150"/>
          <a:ext cx="122174" cy="127297"/>
          <a:chOff x="1132242" y="1306343"/>
          <a:chExt cx="123151" cy="128030"/>
        </a:xfrm>
      </xdr:grpSpPr>
      <xdr:cxnSp macro="">
        <xdr:nvCxnSpPr>
          <xdr:cNvPr id="265" name="Прямая соединительная линия 26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6" name="Прямоугольник 26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906732</xdr:colOff>
      <xdr:row>39</xdr:row>
      <xdr:rowOff>112059</xdr:rowOff>
    </xdr:from>
    <xdr:to>
      <xdr:col>3</xdr:col>
      <xdr:colOff>906732</xdr:colOff>
      <xdr:row>39</xdr:row>
      <xdr:rowOff>1483166</xdr:rowOff>
    </xdr:to>
    <xdr:cxnSp macro="">
      <xdr:nvCxnSpPr>
        <xdr:cNvPr id="274" name="Прямая соединительная линия 273"/>
        <xdr:cNvCxnSpPr/>
      </xdr:nvCxnSpPr>
      <xdr:spPr>
        <a:xfrm flipV="1">
          <a:off x="2587614" y="45843265"/>
          <a:ext cx="0" cy="137110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854340</xdr:colOff>
      <xdr:row>39</xdr:row>
      <xdr:rowOff>1426016</xdr:rowOff>
    </xdr:from>
    <xdr:to>
      <xdr:col>4</xdr:col>
      <xdr:colOff>47787</xdr:colOff>
      <xdr:row>39</xdr:row>
      <xdr:rowOff>1534016</xdr:rowOff>
    </xdr:to>
    <xdr:sp macro="" textlink="">
      <xdr:nvSpPr>
        <xdr:cNvPr id="275" name="Овал 274"/>
        <xdr:cNvSpPr>
          <a:spLocks noChangeAspect="1"/>
        </xdr:cNvSpPr>
      </xdr:nvSpPr>
      <xdr:spPr>
        <a:xfrm>
          <a:off x="2535222" y="47157222"/>
          <a:ext cx="11233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801054</xdr:colOff>
      <xdr:row>39</xdr:row>
      <xdr:rowOff>694810</xdr:rowOff>
    </xdr:from>
    <xdr:to>
      <xdr:col>4</xdr:col>
      <xdr:colOff>6446</xdr:colOff>
      <xdr:row>39</xdr:row>
      <xdr:rowOff>822107</xdr:rowOff>
    </xdr:to>
    <xdr:grpSp>
      <xdr:nvGrpSpPr>
        <xdr:cNvPr id="277" name="Группа 276"/>
        <xdr:cNvGrpSpPr/>
      </xdr:nvGrpSpPr>
      <xdr:grpSpPr>
        <a:xfrm>
          <a:off x="2488340" y="51340596"/>
          <a:ext cx="117070" cy="127297"/>
          <a:chOff x="1132242" y="1306343"/>
          <a:chExt cx="123151" cy="128030"/>
        </a:xfrm>
      </xdr:grpSpPr>
      <xdr:cxnSp macro="">
        <xdr:nvCxnSpPr>
          <xdr:cNvPr id="278" name="Прямая соединительная линия 27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9" name="Прямоугольник 27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907677</xdr:colOff>
      <xdr:row>39</xdr:row>
      <xdr:rowOff>481853</xdr:rowOff>
    </xdr:from>
    <xdr:to>
      <xdr:col>4</xdr:col>
      <xdr:colOff>649941</xdr:colOff>
      <xdr:row>39</xdr:row>
      <xdr:rowOff>605119</xdr:rowOff>
    </xdr:to>
    <xdr:cxnSp macro="">
      <xdr:nvCxnSpPr>
        <xdr:cNvPr id="282" name="Прямая соединительная линия 281"/>
        <xdr:cNvCxnSpPr/>
      </xdr:nvCxnSpPr>
      <xdr:spPr>
        <a:xfrm flipV="1">
          <a:off x="2588559" y="46213059"/>
          <a:ext cx="661147" cy="12326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234462</xdr:colOff>
      <xdr:row>39</xdr:row>
      <xdr:rowOff>829235</xdr:rowOff>
    </xdr:from>
    <xdr:to>
      <xdr:col>3</xdr:col>
      <xdr:colOff>907677</xdr:colOff>
      <xdr:row>39</xdr:row>
      <xdr:rowOff>980086</xdr:rowOff>
    </xdr:to>
    <xdr:cxnSp macro="">
      <xdr:nvCxnSpPr>
        <xdr:cNvPr id="283" name="Прямая соединительная линия 282"/>
        <xdr:cNvCxnSpPr/>
      </xdr:nvCxnSpPr>
      <xdr:spPr>
        <a:xfrm flipV="1">
          <a:off x="1915344" y="46560441"/>
          <a:ext cx="673215" cy="15085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124239</xdr:colOff>
      <xdr:row>39</xdr:row>
      <xdr:rowOff>811695</xdr:rowOff>
    </xdr:from>
    <xdr:to>
      <xdr:col>3</xdr:col>
      <xdr:colOff>902804</xdr:colOff>
      <xdr:row>39</xdr:row>
      <xdr:rowOff>1466022</xdr:rowOff>
    </xdr:to>
    <xdr:sp macro="" textlink="">
      <xdr:nvSpPr>
        <xdr:cNvPr id="287" name="Полилиния 286"/>
        <xdr:cNvSpPr/>
      </xdr:nvSpPr>
      <xdr:spPr>
        <a:xfrm>
          <a:off x="1797326" y="46556543"/>
          <a:ext cx="778565" cy="654327"/>
        </a:xfrm>
        <a:custGeom>
          <a:avLst/>
          <a:gdLst>
            <a:gd name="connsiteX0" fmla="*/ 753717 w 753717"/>
            <a:gd name="connsiteY0" fmla="*/ 654327 h 654327"/>
            <a:gd name="connsiteX1" fmla="*/ 753717 w 753717"/>
            <a:gd name="connsiteY1" fmla="*/ 0 h 654327"/>
            <a:gd name="connsiteX2" fmla="*/ 0 w 753717"/>
            <a:gd name="connsiteY2" fmla="*/ 190500 h 6543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53717" h="654327">
              <a:moveTo>
                <a:pt x="753717" y="654327"/>
              </a:moveTo>
              <a:lnTo>
                <a:pt x="753717" y="0"/>
              </a:lnTo>
              <a:lnTo>
                <a:pt x="0" y="19050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867086</xdr:colOff>
      <xdr:row>11</xdr:row>
      <xdr:rowOff>738974</xdr:rowOff>
    </xdr:from>
    <xdr:to>
      <xdr:col>4</xdr:col>
      <xdr:colOff>69571</xdr:colOff>
      <xdr:row>11</xdr:row>
      <xdr:rowOff>934067</xdr:rowOff>
    </xdr:to>
    <xdr:sp macro="" textlink="">
      <xdr:nvSpPr>
        <xdr:cNvPr id="164" name="Прямоугольник 163"/>
        <xdr:cNvSpPr/>
      </xdr:nvSpPr>
      <xdr:spPr>
        <a:xfrm rot="5400000">
          <a:off x="2507413" y="13585306"/>
          <a:ext cx="195093" cy="116019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821478</xdr:colOff>
      <xdr:row>11</xdr:row>
      <xdr:rowOff>635034</xdr:rowOff>
    </xdr:from>
    <xdr:to>
      <xdr:col>4</xdr:col>
      <xdr:colOff>115178</xdr:colOff>
      <xdr:row>11</xdr:row>
      <xdr:rowOff>1010930</xdr:rowOff>
    </xdr:to>
    <xdr:grpSp>
      <xdr:nvGrpSpPr>
        <xdr:cNvPr id="165" name="Группа 164"/>
        <xdr:cNvGrpSpPr/>
      </xdr:nvGrpSpPr>
      <xdr:grpSpPr>
        <a:xfrm rot="10800000">
          <a:off x="2508764" y="5179820"/>
          <a:ext cx="205378" cy="375896"/>
          <a:chOff x="2170141" y="26396990"/>
          <a:chExt cx="204787" cy="378618"/>
        </a:xfrm>
      </xdr:grpSpPr>
      <xdr:sp macro="" textlink="">
        <xdr:nvSpPr>
          <xdr:cNvPr id="166" name="Полилиния 165"/>
          <xdr:cNvSpPr/>
        </xdr:nvSpPr>
        <xdr:spPr>
          <a:xfrm flipH="1">
            <a:off x="2170141" y="26396990"/>
            <a:ext cx="59531" cy="378618"/>
          </a:xfrm>
          <a:custGeom>
            <a:avLst/>
            <a:gdLst>
              <a:gd name="connsiteX0" fmla="*/ 59531 w 59531"/>
              <a:gd name="connsiteY0" fmla="*/ 378618 h 378618"/>
              <a:gd name="connsiteX1" fmla="*/ 0 w 59531"/>
              <a:gd name="connsiteY1" fmla="*/ 319087 h 378618"/>
              <a:gd name="connsiteX2" fmla="*/ 0 w 59531"/>
              <a:gd name="connsiteY2" fmla="*/ 59531 h 378618"/>
              <a:gd name="connsiteX3" fmla="*/ 59531 w 59531"/>
              <a:gd name="connsiteY3" fmla="*/ 0 h 378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531" h="378618">
                <a:moveTo>
                  <a:pt x="59531" y="378618"/>
                </a:moveTo>
                <a:lnTo>
                  <a:pt x="0" y="319087"/>
                </a:lnTo>
                <a:lnTo>
                  <a:pt x="0" y="59531"/>
                </a:lnTo>
                <a:lnTo>
                  <a:pt x="59531" y="0"/>
                </a:ln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7" name="Полилиния 166"/>
          <xdr:cNvSpPr/>
        </xdr:nvSpPr>
        <xdr:spPr>
          <a:xfrm>
            <a:off x="2315397" y="26396990"/>
            <a:ext cx="59531" cy="378618"/>
          </a:xfrm>
          <a:custGeom>
            <a:avLst/>
            <a:gdLst>
              <a:gd name="connsiteX0" fmla="*/ 59531 w 59531"/>
              <a:gd name="connsiteY0" fmla="*/ 378618 h 378618"/>
              <a:gd name="connsiteX1" fmla="*/ 0 w 59531"/>
              <a:gd name="connsiteY1" fmla="*/ 319087 h 378618"/>
              <a:gd name="connsiteX2" fmla="*/ 0 w 59531"/>
              <a:gd name="connsiteY2" fmla="*/ 59531 h 378618"/>
              <a:gd name="connsiteX3" fmla="*/ 59531 w 59531"/>
              <a:gd name="connsiteY3" fmla="*/ 0 h 378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531" h="378618">
                <a:moveTo>
                  <a:pt x="59531" y="378618"/>
                </a:moveTo>
                <a:lnTo>
                  <a:pt x="0" y="319087"/>
                </a:lnTo>
                <a:lnTo>
                  <a:pt x="0" y="59531"/>
                </a:lnTo>
                <a:lnTo>
                  <a:pt x="59531" y="0"/>
                </a:ln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11561</xdr:colOff>
      <xdr:row>11</xdr:row>
      <xdr:rowOff>104775</xdr:rowOff>
    </xdr:from>
    <xdr:to>
      <xdr:col>4</xdr:col>
      <xdr:colOff>11561</xdr:colOff>
      <xdr:row>11</xdr:row>
      <xdr:rowOff>1468041</xdr:rowOff>
    </xdr:to>
    <xdr:cxnSp macro="">
      <xdr:nvCxnSpPr>
        <xdr:cNvPr id="188" name="Прямая соединительная линия 187"/>
        <xdr:cNvCxnSpPr/>
      </xdr:nvCxnSpPr>
      <xdr:spPr>
        <a:xfrm>
          <a:off x="2604959" y="12911570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6402</xdr:colOff>
      <xdr:row>25</xdr:row>
      <xdr:rowOff>448717</xdr:rowOff>
    </xdr:from>
    <xdr:to>
      <xdr:col>4</xdr:col>
      <xdr:colOff>705970</xdr:colOff>
      <xdr:row>25</xdr:row>
      <xdr:rowOff>448717</xdr:rowOff>
    </xdr:to>
    <xdr:cxnSp macro="">
      <xdr:nvCxnSpPr>
        <xdr:cNvPr id="221" name="Прямая соединительная линия 220"/>
        <xdr:cNvCxnSpPr/>
      </xdr:nvCxnSpPr>
      <xdr:spPr>
        <a:xfrm>
          <a:off x="2606167" y="2806001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108761</xdr:colOff>
      <xdr:row>31</xdr:row>
      <xdr:rowOff>990766</xdr:rowOff>
    </xdr:from>
    <xdr:to>
      <xdr:col>4</xdr:col>
      <xdr:colOff>221244</xdr:colOff>
      <xdr:row>31</xdr:row>
      <xdr:rowOff>1098766</xdr:rowOff>
    </xdr:to>
    <xdr:sp macro="" textlink="">
      <xdr:nvSpPr>
        <xdr:cNvPr id="222" name="Овал 221"/>
        <xdr:cNvSpPr>
          <a:spLocks noChangeAspect="1"/>
        </xdr:cNvSpPr>
      </xdr:nvSpPr>
      <xdr:spPr>
        <a:xfrm rot="5400000">
          <a:off x="2710768" y="45072465"/>
          <a:ext cx="108000" cy="11248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694765</xdr:colOff>
      <xdr:row>31</xdr:row>
      <xdr:rowOff>526677</xdr:rowOff>
    </xdr:from>
    <xdr:to>
      <xdr:col>6</xdr:col>
      <xdr:colOff>587241</xdr:colOff>
      <xdr:row>31</xdr:row>
      <xdr:rowOff>1136330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3412" y="44610618"/>
          <a:ext cx="609653" cy="609653"/>
        </a:xfrm>
        <a:prstGeom prst="rect">
          <a:avLst/>
        </a:prstGeom>
      </xdr:spPr>
    </xdr:pic>
    <xdr:clientData/>
  </xdr:twoCellAnchor>
  <xdr:twoCellAnchor>
    <xdr:from>
      <xdr:col>4</xdr:col>
      <xdr:colOff>6402</xdr:colOff>
      <xdr:row>32</xdr:row>
      <xdr:rowOff>822191</xdr:rowOff>
    </xdr:from>
    <xdr:to>
      <xdr:col>4</xdr:col>
      <xdr:colOff>717176</xdr:colOff>
      <xdr:row>32</xdr:row>
      <xdr:rowOff>822191</xdr:rowOff>
    </xdr:to>
    <xdr:cxnSp macro="">
      <xdr:nvCxnSpPr>
        <xdr:cNvPr id="223" name="Прямая соединительная линия 222"/>
        <xdr:cNvCxnSpPr/>
      </xdr:nvCxnSpPr>
      <xdr:spPr>
        <a:xfrm>
          <a:off x="2606167" y="46553397"/>
          <a:ext cx="71077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219808</xdr:colOff>
      <xdr:row>32</xdr:row>
      <xdr:rowOff>822191</xdr:rowOff>
    </xdr:from>
    <xdr:to>
      <xdr:col>4</xdr:col>
      <xdr:colOff>6723</xdr:colOff>
      <xdr:row>32</xdr:row>
      <xdr:rowOff>1450841</xdr:rowOff>
    </xdr:to>
    <xdr:sp macro="" textlink="">
      <xdr:nvSpPr>
        <xdr:cNvPr id="224" name="Полилиния 223"/>
        <xdr:cNvSpPr/>
      </xdr:nvSpPr>
      <xdr:spPr>
        <a:xfrm>
          <a:off x="1890346" y="16904787"/>
          <a:ext cx="702781" cy="62865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905975</xdr:colOff>
      <xdr:row>38</xdr:row>
      <xdr:rowOff>973615</xdr:rowOff>
    </xdr:from>
    <xdr:to>
      <xdr:col>4</xdr:col>
      <xdr:colOff>130968</xdr:colOff>
      <xdr:row>38</xdr:row>
      <xdr:rowOff>998297</xdr:rowOff>
    </xdr:to>
    <xdr:cxnSp macro="">
      <xdr:nvCxnSpPr>
        <xdr:cNvPr id="230" name="Прямая соединительная линия 229"/>
        <xdr:cNvCxnSpPr/>
      </xdr:nvCxnSpPr>
      <xdr:spPr>
        <a:xfrm flipV="1">
          <a:off x="2584756" y="56635334"/>
          <a:ext cx="141775" cy="24682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136926</xdr:colOff>
      <xdr:row>38</xdr:row>
      <xdr:rowOff>773910</xdr:rowOff>
    </xdr:from>
    <xdr:to>
      <xdr:col>4</xdr:col>
      <xdr:colOff>672708</xdr:colOff>
      <xdr:row>38</xdr:row>
      <xdr:rowOff>1154911</xdr:rowOff>
    </xdr:to>
    <xdr:sp macro="" textlink="">
      <xdr:nvSpPr>
        <xdr:cNvPr id="21" name="Параллелограмм 20"/>
        <xdr:cNvSpPr/>
      </xdr:nvSpPr>
      <xdr:spPr>
        <a:xfrm rot="16200000" flipH="1">
          <a:off x="2809879" y="56358239"/>
          <a:ext cx="381001" cy="535782"/>
        </a:xfrm>
        <a:prstGeom prst="parallelogram">
          <a:avLst>
            <a:gd name="adj" fmla="val 26549"/>
          </a:avLst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910828</xdr:colOff>
      <xdr:row>38</xdr:row>
      <xdr:rowOff>726281</xdr:rowOff>
    </xdr:from>
    <xdr:to>
      <xdr:col>4</xdr:col>
      <xdr:colOff>744140</xdr:colOff>
      <xdr:row>38</xdr:row>
      <xdr:rowOff>1488281</xdr:rowOff>
    </xdr:to>
    <xdr:sp macro="" textlink="">
      <xdr:nvSpPr>
        <xdr:cNvPr id="22" name="Полилиния 21"/>
        <xdr:cNvSpPr/>
      </xdr:nvSpPr>
      <xdr:spPr>
        <a:xfrm>
          <a:off x="2589609" y="56388000"/>
          <a:ext cx="750094" cy="762000"/>
        </a:xfrm>
        <a:custGeom>
          <a:avLst/>
          <a:gdLst>
            <a:gd name="connsiteX0" fmla="*/ 0 w 750094"/>
            <a:gd name="connsiteY0" fmla="*/ 762000 h 762000"/>
            <a:gd name="connsiteX1" fmla="*/ 0 w 750094"/>
            <a:gd name="connsiteY1" fmla="*/ 136922 h 762000"/>
            <a:gd name="connsiteX2" fmla="*/ 750094 w 750094"/>
            <a:gd name="connsiteY2" fmla="*/ 0 h 76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50094" h="762000">
              <a:moveTo>
                <a:pt x="0" y="762000"/>
              </a:moveTo>
              <a:lnTo>
                <a:pt x="0" y="136922"/>
              </a:lnTo>
              <a:lnTo>
                <a:pt x="750094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6402</xdr:colOff>
      <xdr:row>40</xdr:row>
      <xdr:rowOff>1004208</xdr:rowOff>
    </xdr:from>
    <xdr:to>
      <xdr:col>4</xdr:col>
      <xdr:colOff>705970</xdr:colOff>
      <xdr:row>40</xdr:row>
      <xdr:rowOff>1004208</xdr:rowOff>
    </xdr:to>
    <xdr:cxnSp macro="">
      <xdr:nvCxnSpPr>
        <xdr:cNvPr id="236" name="Прямая соединительная линия 235"/>
        <xdr:cNvCxnSpPr/>
      </xdr:nvCxnSpPr>
      <xdr:spPr>
        <a:xfrm>
          <a:off x="2605366" y="31892422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56274</xdr:colOff>
      <xdr:row>13</xdr:row>
      <xdr:rowOff>898183</xdr:rowOff>
    </xdr:from>
    <xdr:to>
      <xdr:col>4</xdr:col>
      <xdr:colOff>180577</xdr:colOff>
      <xdr:row>13</xdr:row>
      <xdr:rowOff>1024068</xdr:rowOff>
    </xdr:to>
    <xdr:grpSp>
      <xdr:nvGrpSpPr>
        <xdr:cNvPr id="241" name="Группа 240"/>
        <xdr:cNvGrpSpPr/>
      </xdr:nvGrpSpPr>
      <xdr:grpSpPr>
        <a:xfrm rot="16200000" flipH="1" flipV="1">
          <a:off x="2654447" y="8736688"/>
          <a:ext cx="125885" cy="124303"/>
          <a:chOff x="1132242" y="1306343"/>
          <a:chExt cx="123151" cy="128030"/>
        </a:xfrm>
      </xdr:grpSpPr>
      <xdr:cxnSp macro="">
        <xdr:nvCxnSpPr>
          <xdr:cNvPr id="243" name="Прямая соединительная линия 24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8" name="Прямоугольник 24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1845</xdr:colOff>
      <xdr:row>18</xdr:row>
      <xdr:rowOff>789326</xdr:rowOff>
    </xdr:from>
    <xdr:to>
      <xdr:col>4</xdr:col>
      <xdr:colOff>126148</xdr:colOff>
      <xdr:row>18</xdr:row>
      <xdr:rowOff>915211</xdr:rowOff>
    </xdr:to>
    <xdr:grpSp>
      <xdr:nvGrpSpPr>
        <xdr:cNvPr id="251" name="Группа 250"/>
        <xdr:cNvGrpSpPr/>
      </xdr:nvGrpSpPr>
      <xdr:grpSpPr>
        <a:xfrm rot="16200000" flipH="1" flipV="1">
          <a:off x="2600018" y="16860153"/>
          <a:ext cx="125885" cy="124303"/>
          <a:chOff x="1132242" y="1306343"/>
          <a:chExt cx="123151" cy="128030"/>
        </a:xfrm>
      </xdr:grpSpPr>
      <xdr:cxnSp macro="">
        <xdr:nvCxnSpPr>
          <xdr:cNvPr id="253" name="Прямая соединительная линия 25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4" name="Прямоугольник 25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1845</xdr:colOff>
      <xdr:row>25</xdr:row>
      <xdr:rowOff>911791</xdr:rowOff>
    </xdr:from>
    <xdr:to>
      <xdr:col>4</xdr:col>
      <xdr:colOff>126148</xdr:colOff>
      <xdr:row>25</xdr:row>
      <xdr:rowOff>1037676</xdr:rowOff>
    </xdr:to>
    <xdr:grpSp>
      <xdr:nvGrpSpPr>
        <xdr:cNvPr id="258" name="Группа 257"/>
        <xdr:cNvGrpSpPr/>
      </xdr:nvGrpSpPr>
      <xdr:grpSpPr>
        <a:xfrm rot="16200000" flipH="1" flipV="1">
          <a:off x="2600018" y="28507868"/>
          <a:ext cx="125885" cy="124303"/>
          <a:chOff x="1132242" y="1306343"/>
          <a:chExt cx="123151" cy="128030"/>
        </a:xfrm>
      </xdr:grpSpPr>
      <xdr:cxnSp macro="">
        <xdr:nvCxnSpPr>
          <xdr:cNvPr id="262" name="Прямая соединительная линия 26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3" name="Прямоугольник 26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1845</xdr:colOff>
      <xdr:row>30</xdr:row>
      <xdr:rowOff>694076</xdr:rowOff>
    </xdr:from>
    <xdr:to>
      <xdr:col>4</xdr:col>
      <xdr:colOff>126148</xdr:colOff>
      <xdr:row>30</xdr:row>
      <xdr:rowOff>819961</xdr:rowOff>
    </xdr:to>
    <xdr:grpSp>
      <xdr:nvGrpSpPr>
        <xdr:cNvPr id="267" name="Группа 266"/>
        <xdr:cNvGrpSpPr/>
      </xdr:nvGrpSpPr>
      <xdr:grpSpPr>
        <a:xfrm rot="16200000" flipH="1" flipV="1">
          <a:off x="2600018" y="36522474"/>
          <a:ext cx="125885" cy="124303"/>
          <a:chOff x="1132242" y="1306343"/>
          <a:chExt cx="123151" cy="128030"/>
        </a:xfrm>
      </xdr:grpSpPr>
      <xdr:cxnSp macro="">
        <xdr:nvCxnSpPr>
          <xdr:cNvPr id="268" name="Прямая соединительная линия 26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9" name="Прямоугольник 26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1845</xdr:colOff>
      <xdr:row>31</xdr:row>
      <xdr:rowOff>762112</xdr:rowOff>
    </xdr:from>
    <xdr:to>
      <xdr:col>4</xdr:col>
      <xdr:colOff>126148</xdr:colOff>
      <xdr:row>31</xdr:row>
      <xdr:rowOff>887997</xdr:rowOff>
    </xdr:to>
    <xdr:grpSp>
      <xdr:nvGrpSpPr>
        <xdr:cNvPr id="270" name="Группа 269"/>
        <xdr:cNvGrpSpPr/>
      </xdr:nvGrpSpPr>
      <xdr:grpSpPr>
        <a:xfrm rot="16200000" flipH="1" flipV="1">
          <a:off x="2600018" y="38236974"/>
          <a:ext cx="125885" cy="124303"/>
          <a:chOff x="1132242" y="1306343"/>
          <a:chExt cx="123151" cy="128030"/>
        </a:xfrm>
      </xdr:grpSpPr>
      <xdr:cxnSp macro="">
        <xdr:nvCxnSpPr>
          <xdr:cNvPr id="271" name="Прямая соединительная линия 27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3" name="Прямоугольник 27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1845</xdr:colOff>
      <xdr:row>32</xdr:row>
      <xdr:rowOff>694077</xdr:rowOff>
    </xdr:from>
    <xdr:to>
      <xdr:col>4</xdr:col>
      <xdr:colOff>126148</xdr:colOff>
      <xdr:row>32</xdr:row>
      <xdr:rowOff>819962</xdr:rowOff>
    </xdr:to>
    <xdr:grpSp>
      <xdr:nvGrpSpPr>
        <xdr:cNvPr id="276" name="Группа 275"/>
        <xdr:cNvGrpSpPr/>
      </xdr:nvGrpSpPr>
      <xdr:grpSpPr>
        <a:xfrm rot="16200000" flipH="1" flipV="1">
          <a:off x="2600018" y="39815404"/>
          <a:ext cx="125885" cy="124303"/>
          <a:chOff x="1132242" y="1306343"/>
          <a:chExt cx="123151" cy="128030"/>
        </a:xfrm>
      </xdr:grpSpPr>
      <xdr:cxnSp macro="">
        <xdr:nvCxnSpPr>
          <xdr:cNvPr id="280" name="Прямая соединительная линия 27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1" name="Прямоугольник 28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5</xdr:col>
      <xdr:colOff>81643</xdr:colOff>
      <xdr:row>38</xdr:row>
      <xdr:rowOff>816428</xdr:rowOff>
    </xdr:from>
    <xdr:to>
      <xdr:col>7</xdr:col>
      <xdr:colOff>639536</xdr:colOff>
      <xdr:row>38</xdr:row>
      <xdr:rowOff>1469570</xdr:rowOff>
    </xdr:to>
    <xdr:sp macro="" textlink="">
      <xdr:nvSpPr>
        <xdr:cNvPr id="284" name="TextBox 283"/>
        <xdr:cNvSpPr txBox="1"/>
      </xdr:nvSpPr>
      <xdr:spPr>
        <a:xfrm>
          <a:off x="3592286" y="28411714"/>
          <a:ext cx="2000250" cy="653142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tx1"/>
              </a:solidFill>
            </a:rPr>
            <a:t>После поворота</a:t>
          </a:r>
          <a:r>
            <a:rPr lang="ru-RU" sz="1200" b="1" baseline="0">
              <a:solidFill>
                <a:schemeClr val="tx1"/>
              </a:solidFill>
            </a:rPr>
            <a:t> быстро перестройтесь в левый ряд</a:t>
          </a:r>
          <a:endParaRPr lang="ru-RU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204108</xdr:rowOff>
    </xdr:from>
    <xdr:to>
      <xdr:col>2</xdr:col>
      <xdr:colOff>370795</xdr:colOff>
      <xdr:row>3</xdr:row>
      <xdr:rowOff>59985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04108"/>
          <a:ext cx="1023938" cy="509020"/>
        </a:xfrm>
        <a:prstGeom prst="rect">
          <a:avLst/>
        </a:prstGeom>
      </xdr:spPr>
    </xdr:pic>
    <xdr:clientData/>
  </xdr:twoCellAnchor>
  <xdr:twoCellAnchor>
    <xdr:from>
      <xdr:col>3</xdr:col>
      <xdr:colOff>600998</xdr:colOff>
      <xdr:row>25</xdr:row>
      <xdr:rowOff>856890</xdr:rowOff>
    </xdr:from>
    <xdr:to>
      <xdr:col>3</xdr:col>
      <xdr:colOff>719964</xdr:colOff>
      <xdr:row>25</xdr:row>
      <xdr:rowOff>1180890</xdr:rowOff>
    </xdr:to>
    <xdr:grpSp>
      <xdr:nvGrpSpPr>
        <xdr:cNvPr id="237" name="Группа 236"/>
        <xdr:cNvGrpSpPr/>
      </xdr:nvGrpSpPr>
      <xdr:grpSpPr>
        <a:xfrm rot="5400000" flipH="1" flipV="1">
          <a:off x="2185767" y="28554693"/>
          <a:ext cx="324000" cy="118966"/>
          <a:chOff x="2687221" y="3988161"/>
          <a:chExt cx="501812" cy="118966"/>
        </a:xfrm>
      </xdr:grpSpPr>
      <xdr:cxnSp macro="">
        <xdr:nvCxnSpPr>
          <xdr:cNvPr id="238" name="Прямая соединительная линия 237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9" name="Овал 23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40" name="Прямая со стрелкой 23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2" name="Овал 24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45" name="Прямая со стрелкой 24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25</xdr:row>
      <xdr:rowOff>1012935</xdr:rowOff>
    </xdr:from>
    <xdr:to>
      <xdr:col>3</xdr:col>
      <xdr:colOff>905995</xdr:colOff>
      <xdr:row>25</xdr:row>
      <xdr:rowOff>1012935</xdr:rowOff>
    </xdr:to>
    <xdr:cxnSp macro="">
      <xdr:nvCxnSpPr>
        <xdr:cNvPr id="246" name="Прямая соединительная линия 245"/>
        <xdr:cNvCxnSpPr/>
      </xdr:nvCxnSpPr>
      <xdr:spPr>
        <a:xfrm>
          <a:off x="1887309" y="12151582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163285</xdr:colOff>
      <xdr:row>33</xdr:row>
      <xdr:rowOff>666750</xdr:rowOff>
    </xdr:from>
    <xdr:to>
      <xdr:col>3</xdr:col>
      <xdr:colOff>894068</xdr:colOff>
      <xdr:row>33</xdr:row>
      <xdr:rowOff>863013</xdr:rowOff>
    </xdr:to>
    <xdr:cxnSp macro="">
      <xdr:nvCxnSpPr>
        <xdr:cNvPr id="272" name="Прямая соединительная линия 271"/>
        <xdr:cNvCxnSpPr/>
      </xdr:nvCxnSpPr>
      <xdr:spPr>
        <a:xfrm>
          <a:off x="1850571" y="49666071"/>
          <a:ext cx="730783" cy="196263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482172</xdr:colOff>
      <xdr:row>9</xdr:row>
      <xdr:rowOff>44797</xdr:rowOff>
    </xdr:from>
    <xdr:to>
      <xdr:col>7</xdr:col>
      <xdr:colOff>222624</xdr:colOff>
      <xdr:row>9</xdr:row>
      <xdr:rowOff>512797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996" y="1299856"/>
          <a:ext cx="457628" cy="468000"/>
        </a:xfrm>
        <a:prstGeom prst="rect">
          <a:avLst/>
        </a:prstGeom>
      </xdr:spPr>
    </xdr:pic>
    <xdr:clientData/>
  </xdr:twoCellAnchor>
  <xdr:oneCellAnchor>
    <xdr:from>
      <xdr:col>5</xdr:col>
      <xdr:colOff>498661</xdr:colOff>
      <xdr:row>9</xdr:row>
      <xdr:rowOff>44797</xdr:rowOff>
    </xdr:from>
    <xdr:ext cx="468000" cy="468000"/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8" y="1299856"/>
          <a:ext cx="468000" cy="468000"/>
        </a:xfrm>
        <a:prstGeom prst="rect">
          <a:avLst/>
        </a:prstGeom>
      </xdr:spPr>
    </xdr:pic>
    <xdr:clientData/>
  </xdr:oneCellAnchor>
  <xdr:twoCellAnchor>
    <xdr:from>
      <xdr:col>3</xdr:col>
      <xdr:colOff>871528</xdr:colOff>
      <xdr:row>10</xdr:row>
      <xdr:rowOff>1385293</xdr:rowOff>
    </xdr:from>
    <xdr:to>
      <xdr:col>4</xdr:col>
      <xdr:colOff>65128</xdr:colOff>
      <xdr:row>10</xdr:row>
      <xdr:rowOff>1493293</xdr:rowOff>
    </xdr:to>
    <xdr:sp macro="" textlink="">
      <xdr:nvSpPr>
        <xdr:cNvPr id="132" name="Овал 131"/>
        <xdr:cNvSpPr>
          <a:spLocks noChangeAspect="1"/>
        </xdr:cNvSpPr>
      </xdr:nvSpPr>
      <xdr:spPr>
        <a:xfrm rot="5400000">
          <a:off x="2557453" y="4284975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11561</xdr:colOff>
      <xdr:row>10</xdr:row>
      <xdr:rowOff>77561</xdr:rowOff>
    </xdr:from>
    <xdr:to>
      <xdr:col>4</xdr:col>
      <xdr:colOff>11561</xdr:colOff>
      <xdr:row>10</xdr:row>
      <xdr:rowOff>1440827</xdr:rowOff>
    </xdr:to>
    <xdr:cxnSp macro="">
      <xdr:nvCxnSpPr>
        <xdr:cNvPr id="133" name="Прямая соединительная линия 132"/>
        <xdr:cNvCxnSpPr/>
      </xdr:nvCxnSpPr>
      <xdr:spPr>
        <a:xfrm>
          <a:off x="2610525" y="2975882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24337</xdr:colOff>
      <xdr:row>10</xdr:row>
      <xdr:rowOff>1301082</xdr:rowOff>
    </xdr:from>
    <xdr:to>
      <xdr:col>4</xdr:col>
      <xdr:colOff>148640</xdr:colOff>
      <xdr:row>10</xdr:row>
      <xdr:rowOff>1426967</xdr:rowOff>
    </xdr:to>
    <xdr:grpSp>
      <xdr:nvGrpSpPr>
        <xdr:cNvPr id="134" name="Группа 133"/>
        <xdr:cNvGrpSpPr/>
      </xdr:nvGrpSpPr>
      <xdr:grpSpPr>
        <a:xfrm rot="16200000" flipH="1" flipV="1">
          <a:off x="2622510" y="4200194"/>
          <a:ext cx="125885" cy="124303"/>
          <a:chOff x="1132242" y="1306343"/>
          <a:chExt cx="123151" cy="128030"/>
        </a:xfrm>
      </xdr:grpSpPr>
      <xdr:cxnSp macro="">
        <xdr:nvCxnSpPr>
          <xdr:cNvPr id="135" name="Прямая соединительная линия 13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6" name="Прямоугольник 13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15927</xdr:colOff>
      <xdr:row>33</xdr:row>
      <xdr:rowOff>665552</xdr:rowOff>
    </xdr:from>
    <xdr:to>
      <xdr:col>4</xdr:col>
      <xdr:colOff>715495</xdr:colOff>
      <xdr:row>33</xdr:row>
      <xdr:rowOff>665552</xdr:rowOff>
    </xdr:to>
    <xdr:cxnSp macro="">
      <xdr:nvCxnSpPr>
        <xdr:cNvPr id="137" name="Прямая соединительная линия 136"/>
        <xdr:cNvCxnSpPr/>
      </xdr:nvCxnSpPr>
      <xdr:spPr>
        <a:xfrm>
          <a:off x="2615692" y="18393258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33</xdr:row>
      <xdr:rowOff>559606</xdr:rowOff>
    </xdr:from>
    <xdr:to>
      <xdr:col>4</xdr:col>
      <xdr:colOff>126148</xdr:colOff>
      <xdr:row>33</xdr:row>
      <xdr:rowOff>685491</xdr:rowOff>
    </xdr:to>
    <xdr:grpSp>
      <xdr:nvGrpSpPr>
        <xdr:cNvPr id="138" name="Группа 137"/>
        <xdr:cNvGrpSpPr/>
      </xdr:nvGrpSpPr>
      <xdr:grpSpPr>
        <a:xfrm rot="16200000" flipH="1" flipV="1">
          <a:off x="2600018" y="41327397"/>
          <a:ext cx="125885" cy="124303"/>
          <a:chOff x="1132242" y="1306343"/>
          <a:chExt cx="123151" cy="128030"/>
        </a:xfrm>
      </xdr:grpSpPr>
      <xdr:cxnSp macro="">
        <xdr:nvCxnSpPr>
          <xdr:cNvPr id="139" name="Прямая соединительная линия 13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0" name="Прямоугольник 13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196903</xdr:colOff>
      <xdr:row>40</xdr:row>
      <xdr:rowOff>733985</xdr:rowOff>
    </xdr:from>
    <xdr:to>
      <xdr:col>4</xdr:col>
      <xdr:colOff>8803</xdr:colOff>
      <xdr:row>40</xdr:row>
      <xdr:rowOff>930248</xdr:rowOff>
    </xdr:to>
    <xdr:cxnSp macro="">
      <xdr:nvCxnSpPr>
        <xdr:cNvPr id="141" name="Прямая соединительная линия 140"/>
        <xdr:cNvCxnSpPr/>
      </xdr:nvCxnSpPr>
      <xdr:spPr>
        <a:xfrm>
          <a:off x="1877785" y="29992544"/>
          <a:ext cx="730783" cy="196263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600998</xdr:colOff>
      <xdr:row>25</xdr:row>
      <xdr:rowOff>519852</xdr:rowOff>
    </xdr:from>
    <xdr:to>
      <xdr:col>3</xdr:col>
      <xdr:colOff>719964</xdr:colOff>
      <xdr:row>25</xdr:row>
      <xdr:rowOff>843852</xdr:rowOff>
    </xdr:to>
    <xdr:grpSp>
      <xdr:nvGrpSpPr>
        <xdr:cNvPr id="143" name="Группа 142"/>
        <xdr:cNvGrpSpPr/>
      </xdr:nvGrpSpPr>
      <xdr:grpSpPr>
        <a:xfrm rot="5400000" flipH="1" flipV="1">
          <a:off x="2185767" y="28217655"/>
          <a:ext cx="324000" cy="118966"/>
          <a:chOff x="2687221" y="3988161"/>
          <a:chExt cx="501812" cy="118966"/>
        </a:xfrm>
      </xdr:grpSpPr>
      <xdr:cxnSp macro="">
        <xdr:nvCxnSpPr>
          <xdr:cNvPr id="144" name="Прямая соединительная линия 143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5" name="Овал 144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46" name="Прямая со стрелкой 145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7" name="Овал 146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48" name="Прямая со стрелкой 14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25</xdr:row>
      <xdr:rowOff>675897</xdr:rowOff>
    </xdr:from>
    <xdr:to>
      <xdr:col>3</xdr:col>
      <xdr:colOff>905995</xdr:colOff>
      <xdr:row>25</xdr:row>
      <xdr:rowOff>675897</xdr:rowOff>
    </xdr:to>
    <xdr:cxnSp macro="">
      <xdr:nvCxnSpPr>
        <xdr:cNvPr id="149" name="Прямая соединительная линия 148"/>
        <xdr:cNvCxnSpPr/>
      </xdr:nvCxnSpPr>
      <xdr:spPr>
        <a:xfrm>
          <a:off x="1876965" y="28298397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6402</xdr:colOff>
      <xdr:row>31</xdr:row>
      <xdr:rowOff>884223</xdr:rowOff>
    </xdr:from>
    <xdr:to>
      <xdr:col>4</xdr:col>
      <xdr:colOff>717176</xdr:colOff>
      <xdr:row>31</xdr:row>
      <xdr:rowOff>884223</xdr:rowOff>
    </xdr:to>
    <xdr:cxnSp macro="">
      <xdr:nvCxnSpPr>
        <xdr:cNvPr id="151" name="Прямая соединительная линия 150"/>
        <xdr:cNvCxnSpPr/>
      </xdr:nvCxnSpPr>
      <xdr:spPr>
        <a:xfrm>
          <a:off x="2592806" y="38398069"/>
          <a:ext cx="71077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24337</xdr:colOff>
      <xdr:row>11</xdr:row>
      <xdr:rowOff>684760</xdr:rowOff>
    </xdr:from>
    <xdr:to>
      <xdr:col>4</xdr:col>
      <xdr:colOff>148640</xdr:colOff>
      <xdr:row>11</xdr:row>
      <xdr:rowOff>810645</xdr:rowOff>
    </xdr:to>
    <xdr:grpSp>
      <xdr:nvGrpSpPr>
        <xdr:cNvPr id="150" name="Группа 149"/>
        <xdr:cNvGrpSpPr/>
      </xdr:nvGrpSpPr>
      <xdr:grpSpPr>
        <a:xfrm rot="16200000" flipH="1" flipV="1">
          <a:off x="2622510" y="5230337"/>
          <a:ext cx="125885" cy="124303"/>
          <a:chOff x="1132242" y="1306343"/>
          <a:chExt cx="123151" cy="128030"/>
        </a:xfrm>
      </xdr:grpSpPr>
      <xdr:cxnSp macro="">
        <xdr:nvCxnSpPr>
          <xdr:cNvPr id="152" name="Прямая соединительная линия 15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3" name="Прямоугольник 15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28975</xdr:colOff>
      <xdr:row>12</xdr:row>
      <xdr:rowOff>743493</xdr:rowOff>
    </xdr:from>
    <xdr:to>
      <xdr:col>4</xdr:col>
      <xdr:colOff>153278</xdr:colOff>
      <xdr:row>12</xdr:row>
      <xdr:rowOff>869378</xdr:rowOff>
    </xdr:to>
    <xdr:grpSp>
      <xdr:nvGrpSpPr>
        <xdr:cNvPr id="154" name="Группа 153"/>
        <xdr:cNvGrpSpPr/>
      </xdr:nvGrpSpPr>
      <xdr:grpSpPr>
        <a:xfrm rot="16200000" flipH="1" flipV="1">
          <a:off x="2627148" y="6935534"/>
          <a:ext cx="125885" cy="124303"/>
          <a:chOff x="1132242" y="1306343"/>
          <a:chExt cx="123151" cy="128030"/>
        </a:xfrm>
      </xdr:grpSpPr>
      <xdr:cxnSp macro="">
        <xdr:nvCxnSpPr>
          <xdr:cNvPr id="155" name="Прямая соединительная линия 15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6" name="Прямоугольник 15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903823</xdr:colOff>
      <xdr:row>10</xdr:row>
      <xdr:rowOff>425823</xdr:rowOff>
    </xdr:from>
    <xdr:to>
      <xdr:col>4</xdr:col>
      <xdr:colOff>638378</xdr:colOff>
      <xdr:row>10</xdr:row>
      <xdr:rowOff>839066</xdr:rowOff>
    </xdr:to>
    <xdr:cxnSp macro="">
      <xdr:nvCxnSpPr>
        <xdr:cNvPr id="39" name="Прямая соединительная линия 38"/>
        <xdr:cNvCxnSpPr/>
      </xdr:nvCxnSpPr>
      <xdr:spPr>
        <a:xfrm flipV="1">
          <a:off x="2584705" y="3328147"/>
          <a:ext cx="653438" cy="41324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68118</xdr:colOff>
      <xdr:row>21</xdr:row>
      <xdr:rowOff>80222</xdr:rowOff>
    </xdr:from>
    <xdr:to>
      <xdr:col>6</xdr:col>
      <xdr:colOff>680118</xdr:colOff>
      <xdr:row>21</xdr:row>
      <xdr:rowOff>692222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3942" y="21102457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103544</xdr:colOff>
      <xdr:row>9</xdr:row>
      <xdr:rowOff>282275</xdr:rowOff>
    </xdr:from>
    <xdr:to>
      <xdr:col>7</xdr:col>
      <xdr:colOff>5498</xdr:colOff>
      <xdr:row>9</xdr:row>
      <xdr:rowOff>894275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862" y="1546502"/>
          <a:ext cx="612000" cy="612000"/>
        </a:xfrm>
        <a:prstGeom prst="rect">
          <a:avLst/>
        </a:prstGeom>
      </xdr:spPr>
    </xdr:pic>
    <xdr:clientData/>
  </xdr:twoCellAnchor>
  <xdr:twoCellAnchor>
    <xdr:from>
      <xdr:col>3</xdr:col>
      <xdr:colOff>860404</xdr:colOff>
      <xdr:row>9</xdr:row>
      <xdr:rowOff>1424415</xdr:rowOff>
    </xdr:from>
    <xdr:to>
      <xdr:col>4</xdr:col>
      <xdr:colOff>45097</xdr:colOff>
      <xdr:row>9</xdr:row>
      <xdr:rowOff>1532415</xdr:rowOff>
    </xdr:to>
    <xdr:sp macro="" textlink="">
      <xdr:nvSpPr>
        <xdr:cNvPr id="67" name="Овал 66"/>
        <xdr:cNvSpPr/>
      </xdr:nvSpPr>
      <xdr:spPr>
        <a:xfrm rot="5400000">
          <a:off x="2532351" y="2676643"/>
          <a:ext cx="108000" cy="9909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9</xdr:row>
      <xdr:rowOff>116682</xdr:rowOff>
    </xdr:from>
    <xdr:to>
      <xdr:col>4</xdr:col>
      <xdr:colOff>1233</xdr:colOff>
      <xdr:row>9</xdr:row>
      <xdr:rowOff>1479948</xdr:rowOff>
    </xdr:to>
    <xdr:cxnSp macro="">
      <xdr:nvCxnSpPr>
        <xdr:cNvPr id="68" name="Прямая соединительная линия 67"/>
        <xdr:cNvCxnSpPr/>
      </xdr:nvCxnSpPr>
      <xdr:spPr>
        <a:xfrm>
          <a:off x="2592033" y="1364457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856467</xdr:colOff>
      <xdr:row>10</xdr:row>
      <xdr:rowOff>1405365</xdr:rowOff>
    </xdr:from>
    <xdr:to>
      <xdr:col>4</xdr:col>
      <xdr:colOff>53380</xdr:colOff>
      <xdr:row>10</xdr:row>
      <xdr:rowOff>1513365</xdr:rowOff>
    </xdr:to>
    <xdr:sp macro="" textlink="">
      <xdr:nvSpPr>
        <xdr:cNvPr id="73" name="Овал 72"/>
        <xdr:cNvSpPr>
          <a:spLocks noChangeAspect="1"/>
        </xdr:cNvSpPr>
      </xdr:nvSpPr>
      <xdr:spPr>
        <a:xfrm rot="5400000">
          <a:off x="2529554" y="4295995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10</xdr:row>
      <xdr:rowOff>97632</xdr:rowOff>
    </xdr:from>
    <xdr:to>
      <xdr:col>4</xdr:col>
      <xdr:colOff>1233</xdr:colOff>
      <xdr:row>10</xdr:row>
      <xdr:rowOff>1460898</xdr:rowOff>
    </xdr:to>
    <xdr:cxnSp macro="">
      <xdr:nvCxnSpPr>
        <xdr:cNvPr id="74" name="Прямая соединительная линия 73"/>
        <xdr:cNvCxnSpPr/>
      </xdr:nvCxnSpPr>
      <xdr:spPr>
        <a:xfrm>
          <a:off x="2592033" y="2993232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775220</xdr:colOff>
      <xdr:row>10</xdr:row>
      <xdr:rowOff>717520</xdr:rowOff>
    </xdr:from>
    <xdr:to>
      <xdr:col>3</xdr:col>
      <xdr:colOff>902296</xdr:colOff>
      <xdr:row>10</xdr:row>
      <xdr:rowOff>843626</xdr:rowOff>
    </xdr:to>
    <xdr:grpSp>
      <xdr:nvGrpSpPr>
        <xdr:cNvPr id="75" name="Группа 74"/>
        <xdr:cNvGrpSpPr/>
      </xdr:nvGrpSpPr>
      <xdr:grpSpPr>
        <a:xfrm>
          <a:off x="2442095" y="3575020"/>
          <a:ext cx="127076" cy="126106"/>
          <a:chOff x="1132242" y="1306343"/>
          <a:chExt cx="123151" cy="128030"/>
        </a:xfrm>
      </xdr:grpSpPr>
      <xdr:cxnSp macro="">
        <xdr:nvCxnSpPr>
          <xdr:cNvPr id="76" name="Прямая соединительная линия 7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" name="Прямоугольник 7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640027</xdr:colOff>
      <xdr:row>11</xdr:row>
      <xdr:rowOff>169381</xdr:rowOff>
    </xdr:from>
    <xdr:to>
      <xdr:col>4</xdr:col>
      <xdr:colOff>12173</xdr:colOff>
      <xdr:row>11</xdr:row>
      <xdr:rowOff>1428318</xdr:rowOff>
    </xdr:to>
    <xdr:sp macro="" textlink="">
      <xdr:nvSpPr>
        <xdr:cNvPr id="80" name="Полилиния 79"/>
        <xdr:cNvSpPr/>
      </xdr:nvSpPr>
      <xdr:spPr>
        <a:xfrm>
          <a:off x="2310565" y="4712073"/>
          <a:ext cx="288012" cy="1258937"/>
        </a:xfrm>
        <a:custGeom>
          <a:avLst/>
          <a:gdLst>
            <a:gd name="connsiteX0" fmla="*/ 268941 w 278964"/>
            <a:gd name="connsiteY0" fmla="*/ 1266264 h 1266264"/>
            <a:gd name="connsiteX1" fmla="*/ 246530 w 278964"/>
            <a:gd name="connsiteY1" fmla="*/ 605117 h 1266264"/>
            <a:gd name="connsiteX2" fmla="*/ 0 w 278964"/>
            <a:gd name="connsiteY2" fmla="*/ 0 h 1266264"/>
            <a:gd name="connsiteX0" fmla="*/ 291162 w 295748"/>
            <a:gd name="connsiteY0" fmla="*/ 1258937 h 1258937"/>
            <a:gd name="connsiteX1" fmla="*/ 246530 w 295748"/>
            <a:gd name="connsiteY1" fmla="*/ 605117 h 1258937"/>
            <a:gd name="connsiteX2" fmla="*/ 0 w 295748"/>
            <a:gd name="connsiteY2" fmla="*/ 0 h 1258937"/>
            <a:gd name="connsiteX0" fmla="*/ 291162 w 298947"/>
            <a:gd name="connsiteY0" fmla="*/ 1258937 h 1258937"/>
            <a:gd name="connsiteX1" fmla="*/ 246530 w 298947"/>
            <a:gd name="connsiteY1" fmla="*/ 605117 h 1258937"/>
            <a:gd name="connsiteX2" fmla="*/ 0 w 298947"/>
            <a:gd name="connsiteY2" fmla="*/ 0 h 1258937"/>
            <a:gd name="connsiteX0" fmla="*/ 291162 w 296790"/>
            <a:gd name="connsiteY0" fmla="*/ 1258937 h 1258937"/>
            <a:gd name="connsiteX1" fmla="*/ 231717 w 296790"/>
            <a:gd name="connsiteY1" fmla="*/ 612444 h 1258937"/>
            <a:gd name="connsiteX2" fmla="*/ 0 w 296790"/>
            <a:gd name="connsiteY2" fmla="*/ 0 h 1258937"/>
            <a:gd name="connsiteX0" fmla="*/ 291162 w 291162"/>
            <a:gd name="connsiteY0" fmla="*/ 1258937 h 1258937"/>
            <a:gd name="connsiteX1" fmla="*/ 231717 w 291162"/>
            <a:gd name="connsiteY1" fmla="*/ 612444 h 1258937"/>
            <a:gd name="connsiteX2" fmla="*/ 0 w 291162"/>
            <a:gd name="connsiteY2" fmla="*/ 0 h 1258937"/>
            <a:gd name="connsiteX0" fmla="*/ 291162 w 291731"/>
            <a:gd name="connsiteY0" fmla="*/ 1258937 h 1258937"/>
            <a:gd name="connsiteX1" fmla="*/ 231717 w 291731"/>
            <a:gd name="connsiteY1" fmla="*/ 612444 h 1258937"/>
            <a:gd name="connsiteX2" fmla="*/ 0 w 291731"/>
            <a:gd name="connsiteY2" fmla="*/ 0 h 1258937"/>
            <a:gd name="connsiteX0" fmla="*/ 291162 w 291162"/>
            <a:gd name="connsiteY0" fmla="*/ 1258937 h 1258937"/>
            <a:gd name="connsiteX1" fmla="*/ 231717 w 291162"/>
            <a:gd name="connsiteY1" fmla="*/ 612444 h 1258937"/>
            <a:gd name="connsiteX2" fmla="*/ 0 w 291162"/>
            <a:gd name="connsiteY2" fmla="*/ 0 h 12589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1162" h="1258937">
              <a:moveTo>
                <a:pt x="291162" y="1258937"/>
              </a:moveTo>
              <a:cubicBezTo>
                <a:pt x="287554" y="982598"/>
                <a:pt x="280244" y="822267"/>
                <a:pt x="231717" y="612444"/>
              </a:cubicBezTo>
              <a:cubicBezTo>
                <a:pt x="183190" y="402621"/>
                <a:pt x="100853" y="197036"/>
                <a:pt x="0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8644</xdr:colOff>
      <xdr:row>11</xdr:row>
      <xdr:rowOff>539176</xdr:rowOff>
    </xdr:from>
    <xdr:to>
      <xdr:col>4</xdr:col>
      <xdr:colOff>662082</xdr:colOff>
      <xdr:row>11</xdr:row>
      <xdr:rowOff>952419</xdr:rowOff>
    </xdr:to>
    <xdr:cxnSp macro="">
      <xdr:nvCxnSpPr>
        <xdr:cNvPr id="82" name="Прямая соединительная линия 81"/>
        <xdr:cNvCxnSpPr/>
      </xdr:nvCxnSpPr>
      <xdr:spPr>
        <a:xfrm flipV="1">
          <a:off x="2595048" y="5081868"/>
          <a:ext cx="653438" cy="413243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882384</xdr:colOff>
      <xdr:row>11</xdr:row>
      <xdr:rowOff>1374767</xdr:rowOff>
    </xdr:from>
    <xdr:to>
      <xdr:col>4</xdr:col>
      <xdr:colOff>67077</xdr:colOff>
      <xdr:row>11</xdr:row>
      <xdr:rowOff>1482767</xdr:rowOff>
    </xdr:to>
    <xdr:sp macro="" textlink="">
      <xdr:nvSpPr>
        <xdr:cNvPr id="83" name="Овал 82"/>
        <xdr:cNvSpPr/>
      </xdr:nvSpPr>
      <xdr:spPr>
        <a:xfrm rot="5400000">
          <a:off x="2549202" y="5921179"/>
          <a:ext cx="108000" cy="1005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775220</xdr:colOff>
      <xdr:row>11</xdr:row>
      <xdr:rowOff>840786</xdr:rowOff>
    </xdr:from>
    <xdr:to>
      <xdr:col>3</xdr:col>
      <xdr:colOff>902296</xdr:colOff>
      <xdr:row>11</xdr:row>
      <xdr:rowOff>966892</xdr:rowOff>
    </xdr:to>
    <xdr:grpSp>
      <xdr:nvGrpSpPr>
        <xdr:cNvPr id="84" name="Группа 83"/>
        <xdr:cNvGrpSpPr/>
      </xdr:nvGrpSpPr>
      <xdr:grpSpPr>
        <a:xfrm>
          <a:off x="2442095" y="5341349"/>
          <a:ext cx="127076" cy="126106"/>
          <a:chOff x="1132242" y="1306343"/>
          <a:chExt cx="123151" cy="128030"/>
        </a:xfrm>
      </xdr:grpSpPr>
      <xdr:cxnSp macro="">
        <xdr:nvCxnSpPr>
          <xdr:cNvPr id="85" name="Прямая соединительная линия 8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6" name="Прямоугольник 8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860404</xdr:colOff>
      <xdr:row>20</xdr:row>
      <xdr:rowOff>1405365</xdr:rowOff>
    </xdr:from>
    <xdr:to>
      <xdr:col>4</xdr:col>
      <xdr:colOff>45097</xdr:colOff>
      <xdr:row>20</xdr:row>
      <xdr:rowOff>1513365</xdr:rowOff>
    </xdr:to>
    <xdr:sp macro="" textlink="">
      <xdr:nvSpPr>
        <xdr:cNvPr id="88" name="Овал 87"/>
        <xdr:cNvSpPr/>
      </xdr:nvSpPr>
      <xdr:spPr>
        <a:xfrm rot="5400000">
          <a:off x="2520228" y="4317541"/>
          <a:ext cx="108000" cy="102557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277847</xdr:colOff>
      <xdr:row>20</xdr:row>
      <xdr:rowOff>458904</xdr:rowOff>
    </xdr:from>
    <xdr:to>
      <xdr:col>4</xdr:col>
      <xdr:colOff>702816</xdr:colOff>
      <xdr:row>20</xdr:row>
      <xdr:rowOff>1288676</xdr:rowOff>
    </xdr:to>
    <xdr:cxnSp macro="">
      <xdr:nvCxnSpPr>
        <xdr:cNvPr id="89" name="Прямая соединительная линия 88"/>
        <xdr:cNvCxnSpPr/>
      </xdr:nvCxnSpPr>
      <xdr:spPr>
        <a:xfrm flipH="1" flipV="1">
          <a:off x="1958729" y="18186610"/>
          <a:ext cx="1343852" cy="829772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1233</xdr:colOff>
      <xdr:row>20</xdr:row>
      <xdr:rowOff>862853</xdr:rowOff>
    </xdr:from>
    <xdr:to>
      <xdr:col>4</xdr:col>
      <xdr:colOff>1233</xdr:colOff>
      <xdr:row>20</xdr:row>
      <xdr:rowOff>1435124</xdr:rowOff>
    </xdr:to>
    <xdr:cxnSp macro="">
      <xdr:nvCxnSpPr>
        <xdr:cNvPr id="96" name="Прямая соединительная линия 95"/>
        <xdr:cNvCxnSpPr/>
      </xdr:nvCxnSpPr>
      <xdr:spPr>
        <a:xfrm>
          <a:off x="2600998" y="18590559"/>
          <a:ext cx="0" cy="572271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212912</xdr:colOff>
      <xdr:row>20</xdr:row>
      <xdr:rowOff>414617</xdr:rowOff>
    </xdr:from>
    <xdr:to>
      <xdr:col>3</xdr:col>
      <xdr:colOff>907677</xdr:colOff>
      <xdr:row>20</xdr:row>
      <xdr:rowOff>1423147</xdr:rowOff>
    </xdr:to>
    <xdr:sp macro="" textlink="">
      <xdr:nvSpPr>
        <xdr:cNvPr id="101" name="Полилиния 100"/>
        <xdr:cNvSpPr/>
      </xdr:nvSpPr>
      <xdr:spPr>
        <a:xfrm>
          <a:off x="1893794" y="18142323"/>
          <a:ext cx="694765" cy="1008530"/>
        </a:xfrm>
        <a:custGeom>
          <a:avLst/>
          <a:gdLst>
            <a:gd name="connsiteX0" fmla="*/ 694765 w 694765"/>
            <a:gd name="connsiteY0" fmla="*/ 1008530 h 1008530"/>
            <a:gd name="connsiteX1" fmla="*/ 694765 w 694765"/>
            <a:gd name="connsiteY1" fmla="*/ 425824 h 1008530"/>
            <a:gd name="connsiteX2" fmla="*/ 0 w 694765"/>
            <a:gd name="connsiteY2" fmla="*/ 0 h 10085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94765" h="1008530">
              <a:moveTo>
                <a:pt x="694765" y="1008530"/>
              </a:moveTo>
              <a:lnTo>
                <a:pt x="694765" y="425824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867186</xdr:colOff>
      <xdr:row>21</xdr:row>
      <xdr:rowOff>1424415</xdr:rowOff>
    </xdr:from>
    <xdr:to>
      <xdr:col>4</xdr:col>
      <xdr:colOff>56303</xdr:colOff>
      <xdr:row>21</xdr:row>
      <xdr:rowOff>1532415</xdr:rowOff>
    </xdr:to>
    <xdr:sp macro="" textlink="">
      <xdr:nvSpPr>
        <xdr:cNvPr id="102" name="Овал 101"/>
        <xdr:cNvSpPr>
          <a:spLocks noChangeAspect="1"/>
        </xdr:cNvSpPr>
      </xdr:nvSpPr>
      <xdr:spPr>
        <a:xfrm rot="5400000">
          <a:off x="2548068" y="22446650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21</xdr:row>
      <xdr:rowOff>116682</xdr:rowOff>
    </xdr:from>
    <xdr:to>
      <xdr:col>4</xdr:col>
      <xdr:colOff>1233</xdr:colOff>
      <xdr:row>21</xdr:row>
      <xdr:rowOff>1479948</xdr:rowOff>
    </xdr:to>
    <xdr:cxnSp macro="">
      <xdr:nvCxnSpPr>
        <xdr:cNvPr id="103" name="Прямая соединительная линия 102"/>
        <xdr:cNvCxnSpPr/>
      </xdr:nvCxnSpPr>
      <xdr:spPr>
        <a:xfrm>
          <a:off x="2600998" y="194916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13220</xdr:colOff>
      <xdr:row>21</xdr:row>
      <xdr:rowOff>1012468</xdr:rowOff>
    </xdr:from>
    <xdr:to>
      <xdr:col>4</xdr:col>
      <xdr:colOff>140296</xdr:colOff>
      <xdr:row>21</xdr:row>
      <xdr:rowOff>1138574</xdr:rowOff>
    </xdr:to>
    <xdr:grpSp>
      <xdr:nvGrpSpPr>
        <xdr:cNvPr id="104" name="Группа 103"/>
        <xdr:cNvGrpSpPr/>
      </xdr:nvGrpSpPr>
      <xdr:grpSpPr>
        <a:xfrm flipH="1" flipV="1">
          <a:off x="2596876" y="21943656"/>
          <a:ext cx="127076" cy="126106"/>
          <a:chOff x="1132242" y="1306343"/>
          <a:chExt cx="123151" cy="128030"/>
        </a:xfrm>
      </xdr:grpSpPr>
      <xdr:cxnSp macro="">
        <xdr:nvCxnSpPr>
          <xdr:cNvPr id="105" name="Прямая соединительная линия 10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6" name="Прямоугольник 10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141860</xdr:colOff>
      <xdr:row>21</xdr:row>
      <xdr:rowOff>961558</xdr:rowOff>
    </xdr:from>
    <xdr:to>
      <xdr:col>4</xdr:col>
      <xdr:colOff>242419</xdr:colOff>
      <xdr:row>21</xdr:row>
      <xdr:rowOff>1069558</xdr:rowOff>
    </xdr:to>
    <xdr:sp macro="" textlink="">
      <xdr:nvSpPr>
        <xdr:cNvPr id="33" name="Овал 32"/>
        <xdr:cNvSpPr/>
      </xdr:nvSpPr>
      <xdr:spPr>
        <a:xfrm rot="5400000">
          <a:off x="2732881" y="21992537"/>
          <a:ext cx="108000" cy="1005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171673</xdr:colOff>
      <xdr:row>9</xdr:row>
      <xdr:rowOff>823608</xdr:rowOff>
    </xdr:from>
    <xdr:to>
      <xdr:col>4</xdr:col>
      <xdr:colOff>272232</xdr:colOff>
      <xdr:row>9</xdr:row>
      <xdr:rowOff>931608</xdr:rowOff>
    </xdr:to>
    <xdr:sp macro="" textlink="">
      <xdr:nvSpPr>
        <xdr:cNvPr id="34" name="Овал 33"/>
        <xdr:cNvSpPr/>
      </xdr:nvSpPr>
      <xdr:spPr>
        <a:xfrm rot="5400000">
          <a:off x="2754357" y="2072905"/>
          <a:ext cx="108000" cy="1005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0</xdr:colOff>
      <xdr:row>9</xdr:row>
      <xdr:rowOff>1006928</xdr:rowOff>
    </xdr:from>
    <xdr:to>
      <xdr:col>4</xdr:col>
      <xdr:colOff>699568</xdr:colOff>
      <xdr:row>9</xdr:row>
      <xdr:rowOff>1006928</xdr:rowOff>
    </xdr:to>
    <xdr:cxnSp macro="">
      <xdr:nvCxnSpPr>
        <xdr:cNvPr id="32" name="Прямая соединительная линия 31"/>
        <xdr:cNvCxnSpPr/>
      </xdr:nvCxnSpPr>
      <xdr:spPr>
        <a:xfrm>
          <a:off x="2598964" y="2258785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860404</xdr:colOff>
      <xdr:row>19</xdr:row>
      <xdr:rowOff>1410808</xdr:rowOff>
    </xdr:from>
    <xdr:to>
      <xdr:col>4</xdr:col>
      <xdr:colOff>45097</xdr:colOff>
      <xdr:row>19</xdr:row>
      <xdr:rowOff>1518808</xdr:rowOff>
    </xdr:to>
    <xdr:sp macro="" textlink="">
      <xdr:nvSpPr>
        <xdr:cNvPr id="40" name="Овал 39"/>
        <xdr:cNvSpPr/>
      </xdr:nvSpPr>
      <xdr:spPr>
        <a:xfrm rot="5400000">
          <a:off x="2541876" y="19133122"/>
          <a:ext cx="108000" cy="9637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19</xdr:row>
      <xdr:rowOff>103075</xdr:rowOff>
    </xdr:from>
    <xdr:to>
      <xdr:col>4</xdr:col>
      <xdr:colOff>1233</xdr:colOff>
      <xdr:row>19</xdr:row>
      <xdr:rowOff>1466341</xdr:rowOff>
    </xdr:to>
    <xdr:cxnSp macro="">
      <xdr:nvCxnSpPr>
        <xdr:cNvPr id="41" name="Прямая соединительная линия 40"/>
        <xdr:cNvCxnSpPr/>
      </xdr:nvCxnSpPr>
      <xdr:spPr>
        <a:xfrm>
          <a:off x="2600197" y="17819575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12806</xdr:colOff>
      <xdr:row>19</xdr:row>
      <xdr:rowOff>802821</xdr:rowOff>
    </xdr:from>
    <xdr:to>
      <xdr:col>4</xdr:col>
      <xdr:colOff>401011</xdr:colOff>
      <xdr:row>19</xdr:row>
      <xdr:rowOff>1469571</xdr:rowOff>
    </xdr:to>
    <xdr:sp macro="" textlink="">
      <xdr:nvSpPr>
        <xdr:cNvPr id="3" name="Полилиния 2"/>
        <xdr:cNvSpPr/>
      </xdr:nvSpPr>
      <xdr:spPr>
        <a:xfrm>
          <a:off x="2612571" y="18530527"/>
          <a:ext cx="388205" cy="666750"/>
        </a:xfrm>
        <a:custGeom>
          <a:avLst/>
          <a:gdLst>
            <a:gd name="connsiteX0" fmla="*/ 0 w 381000"/>
            <a:gd name="connsiteY0" fmla="*/ 0 h 666750"/>
            <a:gd name="connsiteX1" fmla="*/ 244929 w 381000"/>
            <a:gd name="connsiteY1" fmla="*/ 217715 h 666750"/>
            <a:gd name="connsiteX2" fmla="*/ 381000 w 381000"/>
            <a:gd name="connsiteY2" fmla="*/ 666750 h 66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1000" h="666750">
              <a:moveTo>
                <a:pt x="0" y="0"/>
              </a:moveTo>
              <a:cubicBezTo>
                <a:pt x="90714" y="53295"/>
                <a:pt x="181429" y="106590"/>
                <a:pt x="244929" y="217715"/>
              </a:cubicBezTo>
              <a:cubicBezTo>
                <a:pt x="308429" y="328840"/>
                <a:pt x="344714" y="497795"/>
                <a:pt x="381000" y="666750"/>
              </a:cubicBezTo>
            </a:path>
          </a:pathLst>
        </a:custGeom>
        <a:noFill/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294410</xdr:colOff>
      <xdr:row>12</xdr:row>
      <xdr:rowOff>606137</xdr:rowOff>
    </xdr:from>
    <xdr:to>
      <xdr:col>7</xdr:col>
      <xdr:colOff>311728</xdr:colOff>
      <xdr:row>13</xdr:row>
      <xdr:rowOff>1212273</xdr:rowOff>
    </xdr:to>
    <xdr:sp macro="" textlink="">
      <xdr:nvSpPr>
        <xdr:cNvPr id="4" name="TextBox 3"/>
        <xdr:cNvSpPr txBox="1"/>
      </xdr:nvSpPr>
      <xdr:spPr>
        <a:xfrm>
          <a:off x="294410" y="6806046"/>
          <a:ext cx="4935682" cy="22513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/>
            <a:t>Страница</a:t>
          </a:r>
          <a:r>
            <a:rPr lang="ru-RU" sz="3200" baseline="0"/>
            <a:t> № 10 отсутствует в ДК и выдается на судейском пункте КВ-2</a:t>
          </a:r>
          <a:endParaRPr lang="ru-RU" sz="3200"/>
        </a:p>
      </xdr:txBody>
    </xdr:sp>
    <xdr:clientData/>
  </xdr:twoCellAnchor>
  <xdr:twoCellAnchor editAs="oneCell">
    <xdr:from>
      <xdr:col>0</xdr:col>
      <xdr:colOff>346363</xdr:colOff>
      <xdr:row>1</xdr:row>
      <xdr:rowOff>0</xdr:rowOff>
    </xdr:from>
    <xdr:to>
      <xdr:col>2</xdr:col>
      <xdr:colOff>358053</xdr:colOff>
      <xdr:row>3</xdr:row>
      <xdr:rowOff>58747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" y="225136"/>
          <a:ext cx="1033463" cy="509020"/>
        </a:xfrm>
        <a:prstGeom prst="rect">
          <a:avLst/>
        </a:prstGeom>
      </xdr:spPr>
    </xdr:pic>
    <xdr:clientData/>
  </xdr:twoCellAnchor>
  <xdr:twoCellAnchor>
    <xdr:from>
      <xdr:col>4</xdr:col>
      <xdr:colOff>19850</xdr:colOff>
      <xdr:row>11</xdr:row>
      <xdr:rowOff>986037</xdr:rowOff>
    </xdr:from>
    <xdr:to>
      <xdr:col>4</xdr:col>
      <xdr:colOff>280147</xdr:colOff>
      <xdr:row>11</xdr:row>
      <xdr:rowOff>1411941</xdr:rowOff>
    </xdr:to>
    <xdr:cxnSp macro="">
      <xdr:nvCxnSpPr>
        <xdr:cNvPr id="42" name="Прямая соединительная линия 41"/>
        <xdr:cNvCxnSpPr/>
      </xdr:nvCxnSpPr>
      <xdr:spPr>
        <a:xfrm>
          <a:off x="2619615" y="5535625"/>
          <a:ext cx="260297" cy="425904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190500</xdr:colOff>
      <xdr:row>9</xdr:row>
      <xdr:rowOff>766692</xdr:rowOff>
    </xdr:from>
    <xdr:to>
      <xdr:col>4</xdr:col>
      <xdr:colOff>9605</xdr:colOff>
      <xdr:row>9</xdr:row>
      <xdr:rowOff>962955</xdr:rowOff>
    </xdr:to>
    <xdr:cxnSp macro="">
      <xdr:nvCxnSpPr>
        <xdr:cNvPr id="43" name="Прямая соединительная линия 42"/>
        <xdr:cNvCxnSpPr/>
      </xdr:nvCxnSpPr>
      <xdr:spPr>
        <a:xfrm>
          <a:off x="1872155" y="2008226"/>
          <a:ext cx="732191" cy="196263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13220</xdr:colOff>
      <xdr:row>9</xdr:row>
      <xdr:rowOff>736570</xdr:rowOff>
    </xdr:from>
    <xdr:to>
      <xdr:col>4</xdr:col>
      <xdr:colOff>140296</xdr:colOff>
      <xdr:row>9</xdr:row>
      <xdr:rowOff>862676</xdr:rowOff>
    </xdr:to>
    <xdr:grpSp>
      <xdr:nvGrpSpPr>
        <xdr:cNvPr id="69" name="Группа 68"/>
        <xdr:cNvGrpSpPr/>
      </xdr:nvGrpSpPr>
      <xdr:grpSpPr>
        <a:xfrm flipH="1">
          <a:off x="2596876" y="1951008"/>
          <a:ext cx="127076" cy="126106"/>
          <a:chOff x="1132242" y="1306343"/>
          <a:chExt cx="123151" cy="128030"/>
        </a:xfrm>
      </xdr:grpSpPr>
      <xdr:cxnSp macro="">
        <xdr:nvCxnSpPr>
          <xdr:cNvPr id="70" name="Прямая соединительная линия 6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Прямоугольник 7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223345</xdr:colOff>
      <xdr:row>21</xdr:row>
      <xdr:rowOff>801414</xdr:rowOff>
    </xdr:from>
    <xdr:to>
      <xdr:col>4</xdr:col>
      <xdr:colOff>9827</xdr:colOff>
      <xdr:row>21</xdr:row>
      <xdr:rowOff>801414</xdr:rowOff>
    </xdr:to>
    <xdr:cxnSp macro="">
      <xdr:nvCxnSpPr>
        <xdr:cNvPr id="44" name="Прямая соединительная линия 43"/>
        <xdr:cNvCxnSpPr/>
      </xdr:nvCxnSpPr>
      <xdr:spPr>
        <a:xfrm rot="10800000">
          <a:off x="1905000" y="21828673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</xdr:colOff>
      <xdr:row>21</xdr:row>
      <xdr:rowOff>845387</xdr:rowOff>
    </xdr:from>
    <xdr:to>
      <xdr:col>4</xdr:col>
      <xdr:colOff>732413</xdr:colOff>
      <xdr:row>21</xdr:row>
      <xdr:rowOff>1041650</xdr:rowOff>
    </xdr:to>
    <xdr:cxnSp macro="">
      <xdr:nvCxnSpPr>
        <xdr:cNvPr id="45" name="Прямая соединительная линия 44"/>
        <xdr:cNvCxnSpPr/>
      </xdr:nvCxnSpPr>
      <xdr:spPr>
        <a:xfrm rot="10800000">
          <a:off x="2594963" y="21872646"/>
          <a:ext cx="732191" cy="196263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326221</xdr:colOff>
      <xdr:row>11</xdr:row>
      <xdr:rowOff>138519</xdr:rowOff>
    </xdr:from>
    <xdr:to>
      <xdr:col>6</xdr:col>
      <xdr:colOff>326221</xdr:colOff>
      <xdr:row>11</xdr:row>
      <xdr:rowOff>1551214</xdr:rowOff>
    </xdr:to>
    <xdr:cxnSp macro="">
      <xdr:nvCxnSpPr>
        <xdr:cNvPr id="126" name="Прямая соединительная линия 125"/>
        <xdr:cNvCxnSpPr/>
      </xdr:nvCxnSpPr>
      <xdr:spPr>
        <a:xfrm flipV="1">
          <a:off x="4558042" y="4683305"/>
          <a:ext cx="0" cy="1412695"/>
        </a:xfrm>
        <a:prstGeom prst="line">
          <a:avLst/>
        </a:prstGeom>
        <a:ln w="5080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35187</xdr:colOff>
      <xdr:row>9</xdr:row>
      <xdr:rowOff>210258</xdr:rowOff>
    </xdr:from>
    <xdr:to>
      <xdr:col>6</xdr:col>
      <xdr:colOff>647187</xdr:colOff>
      <xdr:row>9</xdr:row>
      <xdr:rowOff>822258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23" y="1474485"/>
          <a:ext cx="612000" cy="612000"/>
        </a:xfrm>
        <a:prstGeom prst="rect">
          <a:avLst/>
        </a:prstGeom>
      </xdr:spPr>
    </xdr:pic>
    <xdr:clientData/>
  </xdr:twoCellAnchor>
  <xdr:twoCellAnchor>
    <xdr:from>
      <xdr:col>3</xdr:col>
      <xdr:colOff>854962</xdr:colOff>
      <xdr:row>9</xdr:row>
      <xdr:rowOff>1424414</xdr:rowOff>
    </xdr:from>
    <xdr:to>
      <xdr:col>4</xdr:col>
      <xdr:colOff>45098</xdr:colOff>
      <xdr:row>9</xdr:row>
      <xdr:rowOff>1532414</xdr:rowOff>
    </xdr:to>
    <xdr:sp macro="" textlink="">
      <xdr:nvSpPr>
        <xdr:cNvPr id="5" name="Овал 4"/>
        <xdr:cNvSpPr>
          <a:spLocks noChangeAspect="1"/>
        </xdr:cNvSpPr>
      </xdr:nvSpPr>
      <xdr:spPr>
        <a:xfrm rot="5400000">
          <a:off x="2517507" y="268864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9</xdr:row>
      <xdr:rowOff>116682</xdr:rowOff>
    </xdr:from>
    <xdr:to>
      <xdr:col>4</xdr:col>
      <xdr:colOff>1233</xdr:colOff>
      <xdr:row>9</xdr:row>
      <xdr:rowOff>1479948</xdr:rowOff>
    </xdr:to>
    <xdr:cxnSp macro="">
      <xdr:nvCxnSpPr>
        <xdr:cNvPr id="6" name="Прямая соединительная линия 5"/>
        <xdr:cNvCxnSpPr/>
      </xdr:nvCxnSpPr>
      <xdr:spPr>
        <a:xfrm>
          <a:off x="2592033" y="1364457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907351</xdr:colOff>
      <xdr:row>10</xdr:row>
      <xdr:rowOff>818296</xdr:rowOff>
    </xdr:from>
    <xdr:to>
      <xdr:col>3</xdr:col>
      <xdr:colOff>907351</xdr:colOff>
      <xdr:row>10</xdr:row>
      <xdr:rowOff>1462084</xdr:rowOff>
    </xdr:to>
    <xdr:cxnSp macro="">
      <xdr:nvCxnSpPr>
        <xdr:cNvPr id="31" name="Прямая соединительная линия 30"/>
        <xdr:cNvCxnSpPr/>
      </xdr:nvCxnSpPr>
      <xdr:spPr>
        <a:xfrm flipV="1">
          <a:off x="2589006" y="3708641"/>
          <a:ext cx="0" cy="64378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852237</xdr:colOff>
      <xdr:row>10</xdr:row>
      <xdr:rowOff>1404934</xdr:rowOff>
    </xdr:from>
    <xdr:to>
      <xdr:col>4</xdr:col>
      <xdr:colOff>46998</xdr:colOff>
      <xdr:row>10</xdr:row>
      <xdr:rowOff>1512934</xdr:rowOff>
    </xdr:to>
    <xdr:sp macro="" textlink="">
      <xdr:nvSpPr>
        <xdr:cNvPr id="32" name="Овал 31"/>
        <xdr:cNvSpPr>
          <a:spLocks noChangeAspect="1"/>
        </xdr:cNvSpPr>
      </xdr:nvSpPr>
      <xdr:spPr>
        <a:xfrm>
          <a:off x="2533892" y="4295279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197069</xdr:colOff>
      <xdr:row>10</xdr:row>
      <xdr:rowOff>622366</xdr:rowOff>
    </xdr:from>
    <xdr:to>
      <xdr:col>4</xdr:col>
      <xdr:colOff>722587</xdr:colOff>
      <xdr:row>10</xdr:row>
      <xdr:rowOff>1001268</xdr:rowOff>
    </xdr:to>
    <xdr:cxnSp macro="">
      <xdr:nvCxnSpPr>
        <xdr:cNvPr id="33" name="Прямая соединительная линия 32"/>
        <xdr:cNvCxnSpPr/>
      </xdr:nvCxnSpPr>
      <xdr:spPr>
        <a:xfrm>
          <a:off x="1878724" y="3512711"/>
          <a:ext cx="1438604" cy="37890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751628</xdr:colOff>
      <xdr:row>10</xdr:row>
      <xdr:rowOff>89647</xdr:rowOff>
    </xdr:from>
    <xdr:to>
      <xdr:col>3</xdr:col>
      <xdr:colOff>795618</xdr:colOff>
      <xdr:row>10</xdr:row>
      <xdr:rowOff>763455</xdr:rowOff>
    </xdr:to>
    <xdr:cxnSp macro="">
      <xdr:nvCxnSpPr>
        <xdr:cNvPr id="39" name="Прямая соединительная линия 38"/>
        <xdr:cNvCxnSpPr/>
      </xdr:nvCxnSpPr>
      <xdr:spPr>
        <a:xfrm flipV="1">
          <a:off x="2432510" y="2991971"/>
          <a:ext cx="43990" cy="67380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913086</xdr:colOff>
      <xdr:row>10</xdr:row>
      <xdr:rowOff>807983</xdr:rowOff>
    </xdr:from>
    <xdr:to>
      <xdr:col>4</xdr:col>
      <xdr:colOff>801414</xdr:colOff>
      <xdr:row>10</xdr:row>
      <xdr:rowOff>1451741</xdr:rowOff>
    </xdr:to>
    <xdr:sp macro="" textlink="">
      <xdr:nvSpPr>
        <xdr:cNvPr id="45" name="Полилиния 44"/>
        <xdr:cNvSpPr/>
      </xdr:nvSpPr>
      <xdr:spPr>
        <a:xfrm>
          <a:off x="2594741" y="3698328"/>
          <a:ext cx="801414" cy="643758"/>
        </a:xfrm>
        <a:custGeom>
          <a:avLst/>
          <a:gdLst>
            <a:gd name="connsiteX0" fmla="*/ 0 w 801414"/>
            <a:gd name="connsiteY0" fmla="*/ 643758 h 643758"/>
            <a:gd name="connsiteX1" fmla="*/ 0 w 801414"/>
            <a:gd name="connsiteY1" fmla="*/ 0 h 643758"/>
            <a:gd name="connsiteX2" fmla="*/ 801414 w 801414"/>
            <a:gd name="connsiteY2" fmla="*/ 210206 h 6437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1414" h="643758">
              <a:moveTo>
                <a:pt x="0" y="643758"/>
              </a:moveTo>
              <a:lnTo>
                <a:pt x="0" y="0"/>
              </a:lnTo>
              <a:lnTo>
                <a:pt x="801414" y="210206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910623</xdr:colOff>
      <xdr:row>10</xdr:row>
      <xdr:rowOff>673728</xdr:rowOff>
    </xdr:from>
    <xdr:to>
      <xdr:col>4</xdr:col>
      <xdr:colOff>117329</xdr:colOff>
      <xdr:row>10</xdr:row>
      <xdr:rowOff>801025</xdr:rowOff>
    </xdr:to>
    <xdr:grpSp>
      <xdr:nvGrpSpPr>
        <xdr:cNvPr id="36" name="Группа 35"/>
        <xdr:cNvGrpSpPr/>
      </xdr:nvGrpSpPr>
      <xdr:grpSpPr>
        <a:xfrm flipH="1">
          <a:off x="2591505" y="3576052"/>
          <a:ext cx="125589" cy="127297"/>
          <a:chOff x="1132242" y="1306343"/>
          <a:chExt cx="123151" cy="128030"/>
        </a:xfrm>
      </xdr:grpSpPr>
      <xdr:cxnSp macro="">
        <xdr:nvCxnSpPr>
          <xdr:cNvPr id="37" name="Прямая соединительная линия 3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Прямоугольник 3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157364</xdr:colOff>
      <xdr:row>9</xdr:row>
      <xdr:rowOff>811244</xdr:rowOff>
    </xdr:from>
    <xdr:to>
      <xdr:col>4</xdr:col>
      <xdr:colOff>265364</xdr:colOff>
      <xdr:row>9</xdr:row>
      <xdr:rowOff>919244</xdr:rowOff>
    </xdr:to>
    <xdr:sp macro="" textlink="">
      <xdr:nvSpPr>
        <xdr:cNvPr id="124" name="Овал 123"/>
        <xdr:cNvSpPr>
          <a:spLocks noChangeAspect="1"/>
        </xdr:cNvSpPr>
      </xdr:nvSpPr>
      <xdr:spPr>
        <a:xfrm rot="5400000">
          <a:off x="2737773" y="207547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11206</xdr:colOff>
      <xdr:row>11</xdr:row>
      <xdr:rowOff>376398</xdr:rowOff>
    </xdr:from>
    <xdr:to>
      <xdr:col>4</xdr:col>
      <xdr:colOff>336176</xdr:colOff>
      <xdr:row>11</xdr:row>
      <xdr:rowOff>1216839</xdr:rowOff>
    </xdr:to>
    <xdr:sp macro="" textlink="">
      <xdr:nvSpPr>
        <xdr:cNvPr id="82" name="Прямоугольник 81"/>
        <xdr:cNvSpPr/>
      </xdr:nvSpPr>
      <xdr:spPr>
        <a:xfrm>
          <a:off x="2610971" y="4925986"/>
          <a:ext cx="324970" cy="840441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5602</xdr:colOff>
      <xdr:row>11</xdr:row>
      <xdr:rowOff>153171</xdr:rowOff>
    </xdr:from>
    <xdr:to>
      <xdr:col>4</xdr:col>
      <xdr:colOff>5602</xdr:colOff>
      <xdr:row>11</xdr:row>
      <xdr:rowOff>1440066</xdr:rowOff>
    </xdr:to>
    <xdr:cxnSp macro="">
      <xdr:nvCxnSpPr>
        <xdr:cNvPr id="107" name="Прямая соединительная линия 106"/>
        <xdr:cNvCxnSpPr/>
      </xdr:nvCxnSpPr>
      <xdr:spPr>
        <a:xfrm flipV="1">
          <a:off x="2596402" y="9640071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871839</xdr:colOff>
      <xdr:row>11</xdr:row>
      <xdr:rowOff>1400749</xdr:rowOff>
    </xdr:from>
    <xdr:to>
      <xdr:col>4</xdr:col>
      <xdr:colOff>60803</xdr:colOff>
      <xdr:row>11</xdr:row>
      <xdr:rowOff>1508749</xdr:rowOff>
    </xdr:to>
    <xdr:sp macro="" textlink="">
      <xdr:nvSpPr>
        <xdr:cNvPr id="108" name="Овал 107"/>
        <xdr:cNvSpPr>
          <a:spLocks noChangeAspect="1"/>
        </xdr:cNvSpPr>
      </xdr:nvSpPr>
      <xdr:spPr>
        <a:xfrm>
          <a:off x="2548239" y="10887649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5952</xdr:colOff>
      <xdr:row>11</xdr:row>
      <xdr:rowOff>1208484</xdr:rowOff>
    </xdr:from>
    <xdr:to>
      <xdr:col>4</xdr:col>
      <xdr:colOff>5952</xdr:colOff>
      <xdr:row>11</xdr:row>
      <xdr:rowOff>1470422</xdr:rowOff>
    </xdr:to>
    <xdr:cxnSp macro="">
      <xdr:nvCxnSpPr>
        <xdr:cNvPr id="109" name="Прямая соединительная линия 108"/>
        <xdr:cNvCxnSpPr/>
      </xdr:nvCxnSpPr>
      <xdr:spPr>
        <a:xfrm>
          <a:off x="2596752" y="10695384"/>
          <a:ext cx="0" cy="261938"/>
        </a:xfrm>
        <a:prstGeom prst="line">
          <a:avLst/>
        </a:prstGeom>
        <a:ln w="349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11</xdr:row>
      <xdr:rowOff>708422</xdr:rowOff>
    </xdr:from>
    <xdr:to>
      <xdr:col>4</xdr:col>
      <xdr:colOff>190499</xdr:colOff>
      <xdr:row>11</xdr:row>
      <xdr:rowOff>1214437</xdr:rowOff>
    </xdr:to>
    <xdr:sp macro="" textlink="">
      <xdr:nvSpPr>
        <xdr:cNvPr id="110" name="Полилиния 109"/>
        <xdr:cNvSpPr/>
      </xdr:nvSpPr>
      <xdr:spPr>
        <a:xfrm>
          <a:off x="2602706" y="10195322"/>
          <a:ext cx="178593" cy="506015"/>
        </a:xfrm>
        <a:custGeom>
          <a:avLst/>
          <a:gdLst>
            <a:gd name="connsiteX0" fmla="*/ 0 w 178593"/>
            <a:gd name="connsiteY0" fmla="*/ 506015 h 506015"/>
            <a:gd name="connsiteX1" fmla="*/ 136922 w 178593"/>
            <a:gd name="connsiteY1" fmla="*/ 315515 h 506015"/>
            <a:gd name="connsiteX2" fmla="*/ 178593 w 178593"/>
            <a:gd name="connsiteY2" fmla="*/ 0 h 506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8593" h="506015">
              <a:moveTo>
                <a:pt x="0" y="506015"/>
              </a:moveTo>
              <a:cubicBezTo>
                <a:pt x="53578" y="452933"/>
                <a:pt x="107157" y="399851"/>
                <a:pt x="136922" y="315515"/>
              </a:cubicBezTo>
              <a:cubicBezTo>
                <a:pt x="166687" y="231179"/>
                <a:pt x="172640" y="115589"/>
                <a:pt x="178593" y="0"/>
              </a:cubicBezTo>
            </a:path>
          </a:pathLst>
        </a:custGeom>
        <a:noFill/>
        <a:ln w="38100">
          <a:solidFill>
            <a:schemeClr val="tx1"/>
          </a:solidFill>
          <a:prstDash val="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15452</xdr:colOff>
      <xdr:row>11</xdr:row>
      <xdr:rowOff>1228901</xdr:rowOff>
    </xdr:from>
    <xdr:to>
      <xdr:col>4</xdr:col>
      <xdr:colOff>139755</xdr:colOff>
      <xdr:row>11</xdr:row>
      <xdr:rowOff>1354786</xdr:rowOff>
    </xdr:to>
    <xdr:grpSp>
      <xdr:nvGrpSpPr>
        <xdr:cNvPr id="111" name="Группа 110"/>
        <xdr:cNvGrpSpPr/>
      </xdr:nvGrpSpPr>
      <xdr:grpSpPr>
        <a:xfrm rot="5400000" flipH="1">
          <a:off x="2614426" y="5779280"/>
          <a:ext cx="125885" cy="124303"/>
          <a:chOff x="1132242" y="1306343"/>
          <a:chExt cx="123151" cy="128030"/>
        </a:xfrm>
      </xdr:grpSpPr>
      <xdr:cxnSp macro="">
        <xdr:nvCxnSpPr>
          <xdr:cNvPr id="112" name="Прямая соединительная линия 11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3" name="Прямоугольник 11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0</xdr:colOff>
      <xdr:row>12</xdr:row>
      <xdr:rowOff>385152</xdr:rowOff>
    </xdr:from>
    <xdr:to>
      <xdr:col>4</xdr:col>
      <xdr:colOff>332814</xdr:colOff>
      <xdr:row>12</xdr:row>
      <xdr:rowOff>1225593</xdr:rowOff>
    </xdr:to>
    <xdr:sp macro="" textlink="">
      <xdr:nvSpPr>
        <xdr:cNvPr id="114" name="Прямоугольник 113"/>
        <xdr:cNvSpPr/>
      </xdr:nvSpPr>
      <xdr:spPr>
        <a:xfrm>
          <a:off x="2584174" y="6572261"/>
          <a:ext cx="332814" cy="840441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2240</xdr:colOff>
      <xdr:row>12</xdr:row>
      <xdr:rowOff>161925</xdr:rowOff>
    </xdr:from>
    <xdr:to>
      <xdr:col>4</xdr:col>
      <xdr:colOff>2240</xdr:colOff>
      <xdr:row>12</xdr:row>
      <xdr:rowOff>1448820</xdr:rowOff>
    </xdr:to>
    <xdr:cxnSp macro="">
      <xdr:nvCxnSpPr>
        <xdr:cNvPr id="115" name="Прямая соединительная линия 114"/>
        <xdr:cNvCxnSpPr/>
      </xdr:nvCxnSpPr>
      <xdr:spPr>
        <a:xfrm flipV="1">
          <a:off x="2593040" y="11296650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118959</xdr:colOff>
      <xdr:row>12</xdr:row>
      <xdr:rowOff>1059657</xdr:rowOff>
    </xdr:from>
    <xdr:to>
      <xdr:col>4</xdr:col>
      <xdr:colOff>222323</xdr:colOff>
      <xdr:row>12</xdr:row>
      <xdr:rowOff>1167657</xdr:rowOff>
    </xdr:to>
    <xdr:sp macro="" textlink="">
      <xdr:nvSpPr>
        <xdr:cNvPr id="116" name="Овал 115"/>
        <xdr:cNvSpPr>
          <a:spLocks noChangeAspect="1"/>
        </xdr:cNvSpPr>
      </xdr:nvSpPr>
      <xdr:spPr>
        <a:xfrm>
          <a:off x="2713700" y="7247623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168911</xdr:colOff>
      <xdr:row>12</xdr:row>
      <xdr:rowOff>428625</xdr:rowOff>
    </xdr:from>
    <xdr:to>
      <xdr:col>4</xdr:col>
      <xdr:colOff>168911</xdr:colOff>
      <xdr:row>12</xdr:row>
      <xdr:rowOff>1110155</xdr:rowOff>
    </xdr:to>
    <xdr:cxnSp macro="">
      <xdr:nvCxnSpPr>
        <xdr:cNvPr id="117" name="Прямая соединительная линия 116"/>
        <xdr:cNvCxnSpPr/>
      </xdr:nvCxnSpPr>
      <xdr:spPr>
        <a:xfrm flipV="1">
          <a:off x="2763652" y="6616591"/>
          <a:ext cx="0" cy="681530"/>
        </a:xfrm>
        <a:prstGeom prst="line">
          <a:avLst/>
        </a:prstGeom>
        <a:ln w="34925">
          <a:solidFill>
            <a:schemeClr val="tx1"/>
          </a:solidFill>
          <a:prstDash val="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166688</xdr:colOff>
      <xdr:row>12</xdr:row>
      <xdr:rowOff>691902</xdr:rowOff>
    </xdr:from>
    <xdr:to>
      <xdr:col>4</xdr:col>
      <xdr:colOff>290991</xdr:colOff>
      <xdr:row>12</xdr:row>
      <xdr:rowOff>817787</xdr:rowOff>
    </xdr:to>
    <xdr:grpSp>
      <xdr:nvGrpSpPr>
        <xdr:cNvPr id="119" name="Группа 118"/>
        <xdr:cNvGrpSpPr/>
      </xdr:nvGrpSpPr>
      <xdr:grpSpPr>
        <a:xfrm rot="16200000" flipH="1" flipV="1">
          <a:off x="2765662" y="6889546"/>
          <a:ext cx="125885" cy="124303"/>
          <a:chOff x="1132242" y="1306343"/>
          <a:chExt cx="123151" cy="128030"/>
        </a:xfrm>
      </xdr:grpSpPr>
      <xdr:cxnSp macro="">
        <xdr:nvCxnSpPr>
          <xdr:cNvPr id="120" name="Прямая соединительная линия 11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1" name="Прямоугольник 12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29200</xdr:colOff>
      <xdr:row>11</xdr:row>
      <xdr:rowOff>906919</xdr:rowOff>
    </xdr:from>
    <xdr:to>
      <xdr:col>4</xdr:col>
      <xdr:colOff>132564</xdr:colOff>
      <xdr:row>11</xdr:row>
      <xdr:rowOff>1014919</xdr:rowOff>
    </xdr:to>
    <xdr:sp macro="" textlink="">
      <xdr:nvSpPr>
        <xdr:cNvPr id="122" name="Овал 121"/>
        <xdr:cNvSpPr>
          <a:spLocks noChangeAspect="1"/>
        </xdr:cNvSpPr>
      </xdr:nvSpPr>
      <xdr:spPr>
        <a:xfrm>
          <a:off x="2615604" y="5449611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128221</xdr:colOff>
      <xdr:row>11</xdr:row>
      <xdr:rowOff>49376</xdr:rowOff>
    </xdr:from>
    <xdr:to>
      <xdr:col>6</xdr:col>
      <xdr:colOff>524221</xdr:colOff>
      <xdr:row>11</xdr:row>
      <xdr:rowOff>445376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786" y="4588246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218221</xdr:colOff>
      <xdr:row>11</xdr:row>
      <xdr:rowOff>447416</xdr:rowOff>
    </xdr:from>
    <xdr:to>
      <xdr:col>6</xdr:col>
      <xdr:colOff>434221</xdr:colOff>
      <xdr:row>11</xdr:row>
      <xdr:rowOff>1047751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 flipV="1">
          <a:off x="4450042" y="4992202"/>
          <a:ext cx="216000" cy="600335"/>
        </a:xfrm>
        <a:prstGeom prst="rect">
          <a:avLst/>
        </a:prstGeom>
      </xdr:spPr>
    </xdr:pic>
    <xdr:clientData/>
  </xdr:twoCellAnchor>
  <xdr:twoCellAnchor editAs="oneCell">
    <xdr:from>
      <xdr:col>6</xdr:col>
      <xdr:colOff>128221</xdr:colOff>
      <xdr:row>11</xdr:row>
      <xdr:rowOff>1049663</xdr:rowOff>
    </xdr:from>
    <xdr:to>
      <xdr:col>6</xdr:col>
      <xdr:colOff>524221</xdr:colOff>
      <xdr:row>11</xdr:row>
      <xdr:rowOff>1445663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786" y="5588533"/>
          <a:ext cx="396000" cy="396000"/>
        </a:xfrm>
        <a:prstGeom prst="rect">
          <a:avLst/>
        </a:prstGeom>
      </xdr:spPr>
    </xdr:pic>
    <xdr:clientData/>
  </xdr:twoCellAnchor>
  <xdr:twoCellAnchor>
    <xdr:from>
      <xdr:col>4</xdr:col>
      <xdr:colOff>256335</xdr:colOff>
      <xdr:row>12</xdr:row>
      <xdr:rowOff>760380</xdr:rowOff>
    </xdr:from>
    <xdr:to>
      <xdr:col>4</xdr:col>
      <xdr:colOff>359699</xdr:colOff>
      <xdr:row>12</xdr:row>
      <xdr:rowOff>868380</xdr:rowOff>
    </xdr:to>
    <xdr:sp macro="" textlink="">
      <xdr:nvSpPr>
        <xdr:cNvPr id="262" name="Овал 261"/>
        <xdr:cNvSpPr>
          <a:spLocks noChangeAspect="1"/>
        </xdr:cNvSpPr>
      </xdr:nvSpPr>
      <xdr:spPr>
        <a:xfrm>
          <a:off x="2842739" y="6951630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32039</xdr:colOff>
      <xdr:row>12</xdr:row>
      <xdr:rowOff>55915</xdr:rowOff>
    </xdr:from>
    <xdr:to>
      <xdr:col>6</xdr:col>
      <xdr:colOff>644039</xdr:colOff>
      <xdr:row>12</xdr:row>
      <xdr:rowOff>667915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3860" y="624716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0</xdr:row>
      <xdr:rowOff>200025</xdr:rowOff>
    </xdr:from>
    <xdr:to>
      <xdr:col>2</xdr:col>
      <xdr:colOff>347663</xdr:colOff>
      <xdr:row>3</xdr:row>
      <xdr:rowOff>51820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0025"/>
          <a:ext cx="1033463" cy="509020"/>
        </a:xfrm>
        <a:prstGeom prst="rect">
          <a:avLst/>
        </a:prstGeom>
      </xdr:spPr>
    </xdr:pic>
    <xdr:clientData/>
  </xdr:twoCellAnchor>
  <xdr:twoCellAnchor>
    <xdr:from>
      <xdr:col>3</xdr:col>
      <xdr:colOff>217713</xdr:colOff>
      <xdr:row>9</xdr:row>
      <xdr:rowOff>680355</xdr:rowOff>
    </xdr:from>
    <xdr:to>
      <xdr:col>4</xdr:col>
      <xdr:colOff>5603</xdr:colOff>
      <xdr:row>9</xdr:row>
      <xdr:rowOff>680355</xdr:rowOff>
    </xdr:to>
    <xdr:cxnSp macro="">
      <xdr:nvCxnSpPr>
        <xdr:cNvPr id="40" name="Прямая соединительная линия 39"/>
        <xdr:cNvCxnSpPr/>
      </xdr:nvCxnSpPr>
      <xdr:spPr>
        <a:xfrm>
          <a:off x="1904999" y="1932212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9</xdr:row>
      <xdr:rowOff>706524</xdr:rowOff>
    </xdr:from>
    <xdr:to>
      <xdr:col>4</xdr:col>
      <xdr:colOff>691370</xdr:colOff>
      <xdr:row>9</xdr:row>
      <xdr:rowOff>902787</xdr:rowOff>
    </xdr:to>
    <xdr:cxnSp macro="">
      <xdr:nvCxnSpPr>
        <xdr:cNvPr id="41" name="Прямая соединительная линия 40"/>
        <xdr:cNvCxnSpPr/>
      </xdr:nvCxnSpPr>
      <xdr:spPr>
        <a:xfrm rot="10800000">
          <a:off x="2541395" y="1952101"/>
          <a:ext cx="736379" cy="196263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13220</xdr:colOff>
      <xdr:row>9</xdr:row>
      <xdr:rowOff>736570</xdr:rowOff>
    </xdr:from>
    <xdr:to>
      <xdr:col>4</xdr:col>
      <xdr:colOff>140296</xdr:colOff>
      <xdr:row>9</xdr:row>
      <xdr:rowOff>862676</xdr:rowOff>
    </xdr:to>
    <xdr:grpSp>
      <xdr:nvGrpSpPr>
        <xdr:cNvPr id="7" name="Группа 6"/>
        <xdr:cNvGrpSpPr/>
      </xdr:nvGrpSpPr>
      <xdr:grpSpPr>
        <a:xfrm flipH="1">
          <a:off x="2612985" y="1991629"/>
          <a:ext cx="127076" cy="126106"/>
          <a:chOff x="1132242" y="1306343"/>
          <a:chExt cx="123151" cy="128030"/>
        </a:xfrm>
      </xdr:grpSpPr>
      <xdr:cxnSp macro="">
        <xdr:nvCxnSpPr>
          <xdr:cNvPr id="8" name="Прямая соединительная линия 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Прямоугольник 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521571</xdr:colOff>
      <xdr:row>47</xdr:row>
      <xdr:rowOff>455088</xdr:rowOff>
    </xdr:from>
    <xdr:to>
      <xdr:col>5</xdr:col>
      <xdr:colOff>177552</xdr:colOff>
      <xdr:row>48</xdr:row>
      <xdr:rowOff>398756</xdr:rowOff>
    </xdr:to>
    <xdr:grpSp>
      <xdr:nvGrpSpPr>
        <xdr:cNvPr id="23" name="Группа 22"/>
        <xdr:cNvGrpSpPr/>
      </xdr:nvGrpSpPr>
      <xdr:grpSpPr>
        <a:xfrm>
          <a:off x="1552512" y="64306206"/>
          <a:ext cx="2143687" cy="1590932"/>
          <a:chOff x="2166798" y="8040451"/>
          <a:chExt cx="2132481" cy="1588896"/>
        </a:xfrm>
      </xdr:grpSpPr>
      <xdr:sp macro="" textlink="">
        <xdr:nvSpPr>
          <xdr:cNvPr id="24" name="Дуга 23"/>
          <xdr:cNvSpPr/>
        </xdr:nvSpPr>
        <xdr:spPr>
          <a:xfrm flipH="1">
            <a:off x="3230851" y="8363434"/>
            <a:ext cx="1068428" cy="1265913"/>
          </a:xfrm>
          <a:prstGeom prst="arc">
            <a:avLst>
              <a:gd name="adj1" fmla="val 16175007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5" name="Дуга 24"/>
          <xdr:cNvSpPr/>
        </xdr:nvSpPr>
        <xdr:spPr>
          <a:xfrm>
            <a:off x="2166798" y="8344955"/>
            <a:ext cx="1062272" cy="1265913"/>
          </a:xfrm>
          <a:prstGeom prst="arc">
            <a:avLst>
              <a:gd name="adj1" fmla="val 16602765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" name="Овал 25"/>
          <xdr:cNvSpPr/>
        </xdr:nvSpPr>
        <xdr:spPr>
          <a:xfrm>
            <a:off x="3074516" y="8301534"/>
            <a:ext cx="327851" cy="324335"/>
          </a:xfrm>
          <a:prstGeom prst="ellips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7" name="Овал 26"/>
          <xdr:cNvSpPr>
            <a:spLocks noChangeAspect="1"/>
          </xdr:cNvSpPr>
        </xdr:nvSpPr>
        <xdr:spPr>
          <a:xfrm>
            <a:off x="3177078" y="8941748"/>
            <a:ext cx="104594" cy="107822"/>
          </a:xfrm>
          <a:prstGeom prst="ellipse">
            <a:avLst/>
          </a:prstGeom>
          <a:solidFill>
            <a:schemeClr val="tx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8" name="Прямая соединительная линия 27"/>
          <xdr:cNvCxnSpPr/>
        </xdr:nvCxnSpPr>
        <xdr:spPr>
          <a:xfrm>
            <a:off x="2762411" y="8300014"/>
            <a:ext cx="1041622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Прямая соединительная линия 28"/>
          <xdr:cNvCxnSpPr/>
        </xdr:nvCxnSpPr>
        <xdr:spPr>
          <a:xfrm flipH="1" flipV="1">
            <a:off x="3022494" y="8040451"/>
            <a:ext cx="94631" cy="25905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Прямая соединительная линия 29"/>
          <xdr:cNvCxnSpPr/>
        </xdr:nvCxnSpPr>
        <xdr:spPr>
          <a:xfrm flipH="1" flipV="1">
            <a:off x="3476722" y="8472717"/>
            <a:ext cx="31853" cy="302515"/>
          </a:xfrm>
          <a:prstGeom prst="line">
            <a:avLst/>
          </a:prstGeom>
          <a:ln w="19050"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Дуга 30"/>
          <xdr:cNvSpPr/>
        </xdr:nvSpPr>
        <xdr:spPr>
          <a:xfrm flipH="1">
            <a:off x="3229819" y="8354941"/>
            <a:ext cx="1068428" cy="1265913"/>
          </a:xfrm>
          <a:prstGeom prst="arc">
            <a:avLst>
              <a:gd name="adj1" fmla="val 18649421"/>
              <a:gd name="adj2" fmla="val 0"/>
            </a:avLst>
          </a:prstGeom>
          <a:ln w="34925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" name="Дуга 31"/>
          <xdr:cNvSpPr/>
        </xdr:nvSpPr>
        <xdr:spPr>
          <a:xfrm>
            <a:off x="3075808" y="8299689"/>
            <a:ext cx="327851" cy="324335"/>
          </a:xfrm>
          <a:prstGeom prst="arc">
            <a:avLst>
              <a:gd name="adj1" fmla="val 16200000"/>
              <a:gd name="adj2" fmla="val 1883492"/>
            </a:avLst>
          </a:prstGeom>
          <a:noFill/>
          <a:ln w="34925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3" name="Прямая соединительная линия 32"/>
          <xdr:cNvCxnSpPr/>
        </xdr:nvCxnSpPr>
        <xdr:spPr>
          <a:xfrm flipH="1">
            <a:off x="2705595" y="8300014"/>
            <a:ext cx="549636" cy="0"/>
          </a:xfrm>
          <a:prstGeom prst="line">
            <a:avLst/>
          </a:prstGeom>
          <a:ln w="34925">
            <a:solidFill>
              <a:schemeClr val="tx1"/>
            </a:solidFill>
            <a:tailEnd type="triangl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34" name="Группа 33"/>
          <xdr:cNvGrpSpPr/>
        </xdr:nvGrpSpPr>
        <xdr:grpSpPr>
          <a:xfrm rot="16200000" flipH="1" flipV="1">
            <a:off x="3229951" y="8864079"/>
            <a:ext cx="127666" cy="120983"/>
            <a:chOff x="1132242" y="1306343"/>
            <a:chExt cx="123151" cy="128030"/>
          </a:xfrm>
        </xdr:grpSpPr>
        <xdr:cxnSp macro="">
          <xdr:nvCxnSpPr>
            <xdr:cNvPr id="35" name="Прямая соединительная линия 34"/>
            <xdr:cNvCxnSpPr/>
          </xdr:nvCxnSpPr>
          <xdr:spPr>
            <a:xfrm flipH="1" flipV="1">
              <a:off x="1185595" y="1363552"/>
              <a:ext cx="69798" cy="70821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6" name="Прямоугольник 35"/>
            <xdr:cNvSpPr/>
          </xdr:nvSpPr>
          <xdr:spPr>
            <a:xfrm flipH="1">
              <a:off x="1132242" y="1306343"/>
              <a:ext cx="58104" cy="59432"/>
            </a:xfrm>
            <a:prstGeom prst="rect">
              <a:avLst/>
            </a:prstGeom>
            <a:solidFill>
              <a:schemeClr val="bg1">
                <a:lumMod val="75000"/>
              </a:schemeClr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870762</xdr:colOff>
      <xdr:row>50</xdr:row>
      <xdr:rowOff>1430997</xdr:rowOff>
    </xdr:from>
    <xdr:to>
      <xdr:col>4</xdr:col>
      <xdr:colOff>63343</xdr:colOff>
      <xdr:row>50</xdr:row>
      <xdr:rowOff>1538997</xdr:rowOff>
    </xdr:to>
    <xdr:sp macro="" textlink="">
      <xdr:nvSpPr>
        <xdr:cNvPr id="39" name="Овал 38"/>
        <xdr:cNvSpPr>
          <a:spLocks noChangeAspect="1"/>
        </xdr:cNvSpPr>
      </xdr:nvSpPr>
      <xdr:spPr>
        <a:xfrm rot="5400000">
          <a:off x="2546653" y="62000981"/>
          <a:ext cx="108000" cy="10698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11585</xdr:colOff>
      <xdr:row>50</xdr:row>
      <xdr:rowOff>123265</xdr:rowOff>
    </xdr:from>
    <xdr:to>
      <xdr:col>4</xdr:col>
      <xdr:colOff>11585</xdr:colOff>
      <xdr:row>50</xdr:row>
      <xdr:rowOff>1486531</xdr:rowOff>
    </xdr:to>
    <xdr:cxnSp macro="">
      <xdr:nvCxnSpPr>
        <xdr:cNvPr id="40" name="Прямая соединительная линия 39"/>
        <xdr:cNvCxnSpPr/>
      </xdr:nvCxnSpPr>
      <xdr:spPr>
        <a:xfrm>
          <a:off x="2602385" y="60692740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10187</xdr:colOff>
      <xdr:row>50</xdr:row>
      <xdr:rowOff>855329</xdr:rowOff>
    </xdr:from>
    <xdr:to>
      <xdr:col>4</xdr:col>
      <xdr:colOff>690544</xdr:colOff>
      <xdr:row>50</xdr:row>
      <xdr:rowOff>855329</xdr:rowOff>
    </xdr:to>
    <xdr:cxnSp macro="">
      <xdr:nvCxnSpPr>
        <xdr:cNvPr id="41" name="Прямая соединительная линия 40"/>
        <xdr:cNvCxnSpPr/>
      </xdr:nvCxnSpPr>
      <xdr:spPr>
        <a:xfrm>
          <a:off x="2600987" y="61424804"/>
          <a:ext cx="680357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10187</xdr:colOff>
      <xdr:row>50</xdr:row>
      <xdr:rowOff>852608</xdr:rowOff>
    </xdr:from>
    <xdr:to>
      <xdr:col>4</xdr:col>
      <xdr:colOff>819812</xdr:colOff>
      <xdr:row>50</xdr:row>
      <xdr:rowOff>1481258</xdr:rowOff>
    </xdr:to>
    <xdr:sp macro="" textlink="">
      <xdr:nvSpPr>
        <xdr:cNvPr id="42" name="Полилиния 41"/>
        <xdr:cNvSpPr/>
      </xdr:nvSpPr>
      <xdr:spPr>
        <a:xfrm flipH="1">
          <a:off x="2600987" y="61422083"/>
          <a:ext cx="809625" cy="62865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8583</xdr:colOff>
      <xdr:row>50</xdr:row>
      <xdr:rowOff>734255</xdr:rowOff>
    </xdr:from>
    <xdr:to>
      <xdr:col>4</xdr:col>
      <xdr:colOff>135659</xdr:colOff>
      <xdr:row>50</xdr:row>
      <xdr:rowOff>860361</xdr:rowOff>
    </xdr:to>
    <xdr:grpSp>
      <xdr:nvGrpSpPr>
        <xdr:cNvPr id="43" name="Группа 42"/>
        <xdr:cNvGrpSpPr/>
      </xdr:nvGrpSpPr>
      <xdr:grpSpPr>
        <a:xfrm flipH="1">
          <a:off x="2608348" y="69527167"/>
          <a:ext cx="127076" cy="126106"/>
          <a:chOff x="1132242" y="1306343"/>
          <a:chExt cx="123151" cy="128030"/>
        </a:xfrm>
      </xdr:grpSpPr>
      <xdr:cxnSp macro="">
        <xdr:nvCxnSpPr>
          <xdr:cNvPr id="44" name="Прямая соединительная линия 4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Прямоугольник 4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870762</xdr:colOff>
      <xdr:row>51</xdr:row>
      <xdr:rowOff>1442202</xdr:rowOff>
    </xdr:from>
    <xdr:to>
      <xdr:col>4</xdr:col>
      <xdr:colOff>63343</xdr:colOff>
      <xdr:row>51</xdr:row>
      <xdr:rowOff>1550202</xdr:rowOff>
    </xdr:to>
    <xdr:sp macro="" textlink="">
      <xdr:nvSpPr>
        <xdr:cNvPr id="46" name="Овал 45"/>
        <xdr:cNvSpPr>
          <a:spLocks noChangeAspect="1"/>
        </xdr:cNvSpPr>
      </xdr:nvSpPr>
      <xdr:spPr>
        <a:xfrm rot="5400000">
          <a:off x="2546653" y="63660011"/>
          <a:ext cx="108000" cy="10698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11585</xdr:colOff>
      <xdr:row>51</xdr:row>
      <xdr:rowOff>134470</xdr:rowOff>
    </xdr:from>
    <xdr:to>
      <xdr:col>4</xdr:col>
      <xdr:colOff>11585</xdr:colOff>
      <xdr:row>51</xdr:row>
      <xdr:rowOff>1497736</xdr:rowOff>
    </xdr:to>
    <xdr:cxnSp macro="">
      <xdr:nvCxnSpPr>
        <xdr:cNvPr id="47" name="Прямая соединительная линия 46"/>
        <xdr:cNvCxnSpPr/>
      </xdr:nvCxnSpPr>
      <xdr:spPr>
        <a:xfrm>
          <a:off x="2602385" y="62351770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10187</xdr:colOff>
      <xdr:row>51</xdr:row>
      <xdr:rowOff>866534</xdr:rowOff>
    </xdr:from>
    <xdr:to>
      <xdr:col>4</xdr:col>
      <xdr:colOff>690544</xdr:colOff>
      <xdr:row>51</xdr:row>
      <xdr:rowOff>866534</xdr:rowOff>
    </xdr:to>
    <xdr:cxnSp macro="">
      <xdr:nvCxnSpPr>
        <xdr:cNvPr id="48" name="Прямая соединительная линия 47"/>
        <xdr:cNvCxnSpPr/>
      </xdr:nvCxnSpPr>
      <xdr:spPr>
        <a:xfrm>
          <a:off x="2600987" y="63083834"/>
          <a:ext cx="680357" cy="0"/>
        </a:xfrm>
        <a:prstGeom prst="line">
          <a:avLst/>
        </a:prstGeom>
        <a:ln w="34925">
          <a:solidFill>
            <a:schemeClr val="tx1"/>
          </a:solidFill>
          <a:prstDash val="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8583</xdr:colOff>
      <xdr:row>51</xdr:row>
      <xdr:rowOff>745460</xdr:rowOff>
    </xdr:from>
    <xdr:to>
      <xdr:col>4</xdr:col>
      <xdr:colOff>135659</xdr:colOff>
      <xdr:row>51</xdr:row>
      <xdr:rowOff>871566</xdr:rowOff>
    </xdr:to>
    <xdr:grpSp>
      <xdr:nvGrpSpPr>
        <xdr:cNvPr id="49" name="Группа 48"/>
        <xdr:cNvGrpSpPr/>
      </xdr:nvGrpSpPr>
      <xdr:grpSpPr>
        <a:xfrm flipH="1">
          <a:off x="2608348" y="71185636"/>
          <a:ext cx="127076" cy="126106"/>
          <a:chOff x="1132242" y="1306343"/>
          <a:chExt cx="123151" cy="128030"/>
        </a:xfrm>
      </xdr:grpSpPr>
      <xdr:cxnSp macro="">
        <xdr:nvCxnSpPr>
          <xdr:cNvPr id="50" name="Прямая соединительная линия 4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" name="Прямоугольник 5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245511</xdr:colOff>
      <xdr:row>51</xdr:row>
      <xdr:rowOff>1001005</xdr:rowOff>
    </xdr:from>
    <xdr:to>
      <xdr:col>4</xdr:col>
      <xdr:colOff>6985</xdr:colOff>
      <xdr:row>51</xdr:row>
      <xdr:rowOff>1001005</xdr:rowOff>
    </xdr:to>
    <xdr:cxnSp macro="">
      <xdr:nvCxnSpPr>
        <xdr:cNvPr id="52" name="Прямая соединительная линия 51"/>
        <xdr:cNvCxnSpPr/>
      </xdr:nvCxnSpPr>
      <xdr:spPr>
        <a:xfrm>
          <a:off x="1921911" y="63218305"/>
          <a:ext cx="67587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379</xdr:colOff>
      <xdr:row>51</xdr:row>
      <xdr:rowOff>862853</xdr:rowOff>
    </xdr:from>
    <xdr:to>
      <xdr:col>4</xdr:col>
      <xdr:colOff>379</xdr:colOff>
      <xdr:row>51</xdr:row>
      <xdr:rowOff>1497736</xdr:rowOff>
    </xdr:to>
    <xdr:cxnSp macro="">
      <xdr:nvCxnSpPr>
        <xdr:cNvPr id="53" name="Прямая соединительная линия 52"/>
        <xdr:cNvCxnSpPr/>
      </xdr:nvCxnSpPr>
      <xdr:spPr>
        <a:xfrm>
          <a:off x="2591179" y="63080153"/>
          <a:ext cx="0" cy="634883"/>
        </a:xfrm>
        <a:prstGeom prst="line">
          <a:avLst/>
        </a:prstGeom>
        <a:ln w="34925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205722</xdr:colOff>
      <xdr:row>51</xdr:row>
      <xdr:rowOff>612309</xdr:rowOff>
    </xdr:from>
    <xdr:to>
      <xdr:col>4</xdr:col>
      <xdr:colOff>324688</xdr:colOff>
      <xdr:row>51</xdr:row>
      <xdr:rowOff>1120307</xdr:rowOff>
    </xdr:to>
    <xdr:grpSp>
      <xdr:nvGrpSpPr>
        <xdr:cNvPr id="54" name="Группа 53"/>
        <xdr:cNvGrpSpPr/>
      </xdr:nvGrpSpPr>
      <xdr:grpSpPr>
        <a:xfrm rot="5400000">
          <a:off x="2610971" y="71247001"/>
          <a:ext cx="507998" cy="118966"/>
          <a:chOff x="2687221" y="3988161"/>
          <a:chExt cx="501812" cy="118966"/>
        </a:xfrm>
      </xdr:grpSpPr>
      <xdr:cxnSp macro="">
        <xdr:nvCxnSpPr>
          <xdr:cNvPr id="55" name="Прямая соединительная линия 54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" name="Овал 5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7" name="Прямая со стрелкой 5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8" name="Овал 5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575517</xdr:colOff>
      <xdr:row>51</xdr:row>
      <xdr:rowOff>735573</xdr:rowOff>
    </xdr:from>
    <xdr:to>
      <xdr:col>3</xdr:col>
      <xdr:colOff>694483</xdr:colOff>
      <xdr:row>51</xdr:row>
      <xdr:rowOff>1243571</xdr:rowOff>
    </xdr:to>
    <xdr:grpSp>
      <xdr:nvGrpSpPr>
        <xdr:cNvPr id="60" name="Группа 59"/>
        <xdr:cNvGrpSpPr/>
      </xdr:nvGrpSpPr>
      <xdr:grpSpPr>
        <a:xfrm rot="16200000" flipH="1">
          <a:off x="2061883" y="71370265"/>
          <a:ext cx="507998" cy="118966"/>
          <a:chOff x="2687221" y="3988161"/>
          <a:chExt cx="501812" cy="118966"/>
        </a:xfrm>
      </xdr:grpSpPr>
      <xdr:cxnSp macro="">
        <xdr:nvCxnSpPr>
          <xdr:cNvPr id="61" name="Прямая соединительная линия 60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2" name="Овал 6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3" name="Прямая со стрелкой 6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4" name="Овал 6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5" name="Прямая со стрелкой 6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13220</xdr:colOff>
      <xdr:row>51</xdr:row>
      <xdr:rowOff>725364</xdr:rowOff>
    </xdr:from>
    <xdr:to>
      <xdr:col>4</xdr:col>
      <xdr:colOff>140296</xdr:colOff>
      <xdr:row>51</xdr:row>
      <xdr:rowOff>851470</xdr:rowOff>
    </xdr:to>
    <xdr:grpSp>
      <xdr:nvGrpSpPr>
        <xdr:cNvPr id="66" name="Группа 65"/>
        <xdr:cNvGrpSpPr/>
      </xdr:nvGrpSpPr>
      <xdr:grpSpPr>
        <a:xfrm flipH="1">
          <a:off x="2612985" y="71165540"/>
          <a:ext cx="127076" cy="126106"/>
          <a:chOff x="1132242" y="1306343"/>
          <a:chExt cx="123151" cy="128030"/>
        </a:xfrm>
      </xdr:grpSpPr>
      <xdr:cxnSp macro="">
        <xdr:nvCxnSpPr>
          <xdr:cNvPr id="67" name="Прямая соединительная линия 6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Прямоугольник 6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0</xdr:colOff>
      <xdr:row>9</xdr:row>
      <xdr:rowOff>480402</xdr:rowOff>
    </xdr:from>
    <xdr:to>
      <xdr:col>4</xdr:col>
      <xdr:colOff>332814</xdr:colOff>
      <xdr:row>9</xdr:row>
      <xdr:rowOff>1320843</xdr:rowOff>
    </xdr:to>
    <xdr:sp macro="" textlink="">
      <xdr:nvSpPr>
        <xdr:cNvPr id="77" name="Прямоугольник 76"/>
        <xdr:cNvSpPr/>
      </xdr:nvSpPr>
      <xdr:spPr>
        <a:xfrm>
          <a:off x="2598964" y="1732259"/>
          <a:ext cx="332814" cy="840441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2240</xdr:colOff>
      <xdr:row>9</xdr:row>
      <xdr:rowOff>257175</xdr:rowOff>
    </xdr:from>
    <xdr:to>
      <xdr:col>4</xdr:col>
      <xdr:colOff>2240</xdr:colOff>
      <xdr:row>9</xdr:row>
      <xdr:rowOff>1544070</xdr:rowOff>
    </xdr:to>
    <xdr:cxnSp macro="">
      <xdr:nvCxnSpPr>
        <xdr:cNvPr id="78" name="Прямая соединительная линия 77"/>
        <xdr:cNvCxnSpPr/>
      </xdr:nvCxnSpPr>
      <xdr:spPr>
        <a:xfrm flipV="1">
          <a:off x="2601204" y="1509032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9</xdr:row>
      <xdr:rowOff>923728</xdr:rowOff>
    </xdr:from>
    <xdr:to>
      <xdr:col>4</xdr:col>
      <xdr:colOff>228891</xdr:colOff>
      <xdr:row>9</xdr:row>
      <xdr:rowOff>1031728</xdr:rowOff>
    </xdr:to>
    <xdr:sp macro="" textlink="">
      <xdr:nvSpPr>
        <xdr:cNvPr id="79" name="Овал 78"/>
        <xdr:cNvSpPr>
          <a:spLocks noChangeAspect="1"/>
        </xdr:cNvSpPr>
      </xdr:nvSpPr>
      <xdr:spPr>
        <a:xfrm>
          <a:off x="2724491" y="2175585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2590</xdr:colOff>
      <xdr:row>9</xdr:row>
      <xdr:rowOff>190500</xdr:rowOff>
    </xdr:from>
    <xdr:to>
      <xdr:col>4</xdr:col>
      <xdr:colOff>2590</xdr:colOff>
      <xdr:row>9</xdr:row>
      <xdr:rowOff>498101</xdr:rowOff>
    </xdr:to>
    <xdr:cxnSp macro="">
      <xdr:nvCxnSpPr>
        <xdr:cNvPr id="80" name="Прямая соединительная линия 79"/>
        <xdr:cNvCxnSpPr/>
      </xdr:nvCxnSpPr>
      <xdr:spPr>
        <a:xfrm flipV="1">
          <a:off x="2601554" y="1442357"/>
          <a:ext cx="0" cy="30760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1741</xdr:colOff>
      <xdr:row>9</xdr:row>
      <xdr:rowOff>479051</xdr:rowOff>
    </xdr:from>
    <xdr:to>
      <xdr:col>4</xdr:col>
      <xdr:colOff>177612</xdr:colOff>
      <xdr:row>9</xdr:row>
      <xdr:rowOff>985066</xdr:rowOff>
    </xdr:to>
    <xdr:sp macro="" textlink="">
      <xdr:nvSpPr>
        <xdr:cNvPr id="81" name="Полилиния 80"/>
        <xdr:cNvSpPr/>
      </xdr:nvSpPr>
      <xdr:spPr>
        <a:xfrm flipV="1">
          <a:off x="2600705" y="1730908"/>
          <a:ext cx="175871" cy="506015"/>
        </a:xfrm>
        <a:custGeom>
          <a:avLst/>
          <a:gdLst>
            <a:gd name="connsiteX0" fmla="*/ 0 w 178593"/>
            <a:gd name="connsiteY0" fmla="*/ 506015 h 506015"/>
            <a:gd name="connsiteX1" fmla="*/ 136922 w 178593"/>
            <a:gd name="connsiteY1" fmla="*/ 315515 h 506015"/>
            <a:gd name="connsiteX2" fmla="*/ 178593 w 178593"/>
            <a:gd name="connsiteY2" fmla="*/ 0 h 506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8593" h="506015">
              <a:moveTo>
                <a:pt x="0" y="506015"/>
              </a:moveTo>
              <a:cubicBezTo>
                <a:pt x="53578" y="452933"/>
                <a:pt x="107157" y="399851"/>
                <a:pt x="136922" y="315515"/>
              </a:cubicBezTo>
              <a:cubicBezTo>
                <a:pt x="166687" y="231179"/>
                <a:pt x="172640" y="115589"/>
                <a:pt x="178593" y="0"/>
              </a:cubicBezTo>
            </a:path>
          </a:pathLst>
        </a:custGeom>
        <a:noFill/>
        <a:ln w="3810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174015</xdr:colOff>
      <xdr:row>9</xdr:row>
      <xdr:rowOff>838439</xdr:rowOff>
    </xdr:from>
    <xdr:to>
      <xdr:col>4</xdr:col>
      <xdr:colOff>298318</xdr:colOff>
      <xdr:row>9</xdr:row>
      <xdr:rowOff>964324</xdr:rowOff>
    </xdr:to>
    <xdr:grpSp>
      <xdr:nvGrpSpPr>
        <xdr:cNvPr id="82" name="Группа 81"/>
        <xdr:cNvGrpSpPr/>
      </xdr:nvGrpSpPr>
      <xdr:grpSpPr>
        <a:xfrm rot="16200000" flipH="1" flipV="1">
          <a:off x="2772989" y="2094289"/>
          <a:ext cx="125885" cy="124303"/>
          <a:chOff x="1132242" y="1306343"/>
          <a:chExt cx="123151" cy="128030"/>
        </a:xfrm>
      </xdr:grpSpPr>
      <xdr:cxnSp macro="">
        <xdr:nvCxnSpPr>
          <xdr:cNvPr id="83" name="Прямая соединительная линия 8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4" name="Прямоугольник 8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877297</xdr:colOff>
      <xdr:row>10</xdr:row>
      <xdr:rowOff>1375768</xdr:rowOff>
    </xdr:from>
    <xdr:to>
      <xdr:col>4</xdr:col>
      <xdr:colOff>70897</xdr:colOff>
      <xdr:row>10</xdr:row>
      <xdr:rowOff>1483768</xdr:rowOff>
    </xdr:to>
    <xdr:sp macro="" textlink="">
      <xdr:nvSpPr>
        <xdr:cNvPr id="90" name="Овал 89"/>
        <xdr:cNvSpPr>
          <a:spLocks noChangeAspect="1"/>
        </xdr:cNvSpPr>
      </xdr:nvSpPr>
      <xdr:spPr>
        <a:xfrm rot="5400000">
          <a:off x="2553697" y="92148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7934</xdr:colOff>
      <xdr:row>10</xdr:row>
      <xdr:rowOff>68036</xdr:rowOff>
    </xdr:from>
    <xdr:to>
      <xdr:col>4</xdr:col>
      <xdr:colOff>7934</xdr:colOff>
      <xdr:row>10</xdr:row>
      <xdr:rowOff>1431302</xdr:rowOff>
    </xdr:to>
    <xdr:cxnSp macro="">
      <xdr:nvCxnSpPr>
        <xdr:cNvPr id="91" name="Прямая соединительная линия 90"/>
        <xdr:cNvCxnSpPr/>
      </xdr:nvCxnSpPr>
      <xdr:spPr>
        <a:xfrm>
          <a:off x="2598734" y="7907111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3756</xdr:colOff>
      <xdr:row>10</xdr:row>
      <xdr:rowOff>101006</xdr:rowOff>
    </xdr:from>
    <xdr:to>
      <xdr:col>4</xdr:col>
      <xdr:colOff>588065</xdr:colOff>
      <xdr:row>10</xdr:row>
      <xdr:rowOff>1416325</xdr:rowOff>
    </xdr:to>
    <xdr:sp macro="" textlink="">
      <xdr:nvSpPr>
        <xdr:cNvPr id="92" name="Полилиния 91"/>
        <xdr:cNvSpPr/>
      </xdr:nvSpPr>
      <xdr:spPr>
        <a:xfrm>
          <a:off x="2594556" y="7940081"/>
          <a:ext cx="584309" cy="1315319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108786</xdr:colOff>
      <xdr:row>11</xdr:row>
      <xdr:rowOff>146477</xdr:rowOff>
    </xdr:from>
    <xdr:to>
      <xdr:col>4</xdr:col>
      <xdr:colOff>108786</xdr:colOff>
      <xdr:row>11</xdr:row>
      <xdr:rowOff>1509743</xdr:rowOff>
    </xdr:to>
    <xdr:cxnSp macro="">
      <xdr:nvCxnSpPr>
        <xdr:cNvPr id="93" name="Прямая соединительная линия 92"/>
        <xdr:cNvCxnSpPr/>
      </xdr:nvCxnSpPr>
      <xdr:spPr>
        <a:xfrm>
          <a:off x="2699586" y="9633377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59266</xdr:colOff>
      <xdr:row>11</xdr:row>
      <xdr:rowOff>1431799</xdr:rowOff>
    </xdr:from>
    <xdr:to>
      <xdr:col>4</xdr:col>
      <xdr:colOff>171749</xdr:colOff>
      <xdr:row>11</xdr:row>
      <xdr:rowOff>1539799</xdr:rowOff>
    </xdr:to>
    <xdr:sp macro="" textlink="">
      <xdr:nvSpPr>
        <xdr:cNvPr id="94" name="Овал 93"/>
        <xdr:cNvSpPr>
          <a:spLocks noChangeAspect="1"/>
        </xdr:cNvSpPr>
      </xdr:nvSpPr>
      <xdr:spPr>
        <a:xfrm rot="5400000">
          <a:off x="2652308" y="10916457"/>
          <a:ext cx="108000" cy="11248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837170</xdr:colOff>
      <xdr:row>11</xdr:row>
      <xdr:rowOff>146477</xdr:rowOff>
    </xdr:from>
    <xdr:to>
      <xdr:col>3</xdr:col>
      <xdr:colOff>837170</xdr:colOff>
      <xdr:row>11</xdr:row>
      <xdr:rowOff>1509743</xdr:rowOff>
    </xdr:to>
    <xdr:cxnSp macro="">
      <xdr:nvCxnSpPr>
        <xdr:cNvPr id="95" name="Прямая соединительная линия 94"/>
        <xdr:cNvCxnSpPr/>
      </xdr:nvCxnSpPr>
      <xdr:spPr>
        <a:xfrm>
          <a:off x="2513570" y="9633377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224117</xdr:colOff>
      <xdr:row>11</xdr:row>
      <xdr:rowOff>828110</xdr:rowOff>
    </xdr:from>
    <xdr:to>
      <xdr:col>4</xdr:col>
      <xdr:colOff>95654</xdr:colOff>
      <xdr:row>11</xdr:row>
      <xdr:rowOff>828110</xdr:rowOff>
    </xdr:to>
    <xdr:cxnSp macro="">
      <xdr:nvCxnSpPr>
        <xdr:cNvPr id="96" name="Прямая соединительная линия 95"/>
        <xdr:cNvCxnSpPr/>
      </xdr:nvCxnSpPr>
      <xdr:spPr>
        <a:xfrm>
          <a:off x="1900517" y="10315010"/>
          <a:ext cx="785937" cy="0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835270</xdr:colOff>
      <xdr:row>11</xdr:row>
      <xdr:rowOff>829236</xdr:rowOff>
    </xdr:from>
    <xdr:to>
      <xdr:col>4</xdr:col>
      <xdr:colOff>112059</xdr:colOff>
      <xdr:row>11</xdr:row>
      <xdr:rowOff>1567962</xdr:rowOff>
    </xdr:to>
    <xdr:sp macro="" textlink="">
      <xdr:nvSpPr>
        <xdr:cNvPr id="97" name="Полилиния 96"/>
        <xdr:cNvSpPr/>
      </xdr:nvSpPr>
      <xdr:spPr>
        <a:xfrm>
          <a:off x="2511670" y="10316136"/>
          <a:ext cx="191189" cy="738726"/>
        </a:xfrm>
        <a:custGeom>
          <a:avLst/>
          <a:gdLst>
            <a:gd name="connsiteX0" fmla="*/ 179295 w 179295"/>
            <a:gd name="connsiteY0" fmla="*/ 638735 h 717176"/>
            <a:gd name="connsiteX1" fmla="*/ 179295 w 179295"/>
            <a:gd name="connsiteY1" fmla="*/ 0 h 717176"/>
            <a:gd name="connsiteX2" fmla="*/ 0 w 179295"/>
            <a:gd name="connsiteY2" fmla="*/ 0 h 717176"/>
            <a:gd name="connsiteX3" fmla="*/ 0 w 179295"/>
            <a:gd name="connsiteY3" fmla="*/ 717176 h 7171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9295" h="717176">
              <a:moveTo>
                <a:pt x="179295" y="638735"/>
              </a:moveTo>
              <a:lnTo>
                <a:pt x="179295" y="0"/>
              </a:lnTo>
              <a:lnTo>
                <a:pt x="0" y="0"/>
              </a:lnTo>
              <a:lnTo>
                <a:pt x="0" y="717176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857250</xdr:colOff>
      <xdr:row>12</xdr:row>
      <xdr:rowOff>1404577</xdr:rowOff>
    </xdr:from>
    <xdr:to>
      <xdr:col>4</xdr:col>
      <xdr:colOff>50697</xdr:colOff>
      <xdr:row>12</xdr:row>
      <xdr:rowOff>1512577</xdr:rowOff>
    </xdr:to>
    <xdr:sp macro="" textlink="">
      <xdr:nvSpPr>
        <xdr:cNvPr id="98" name="Овал 97"/>
        <xdr:cNvSpPr>
          <a:spLocks noChangeAspect="1"/>
        </xdr:cNvSpPr>
      </xdr:nvSpPr>
      <xdr:spPr>
        <a:xfrm>
          <a:off x="2533650" y="12539302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4082</xdr:colOff>
      <xdr:row>12</xdr:row>
      <xdr:rowOff>164647</xdr:rowOff>
    </xdr:from>
    <xdr:to>
      <xdr:col>4</xdr:col>
      <xdr:colOff>4082</xdr:colOff>
      <xdr:row>12</xdr:row>
      <xdr:rowOff>1451542</xdr:rowOff>
    </xdr:to>
    <xdr:cxnSp macro="">
      <xdr:nvCxnSpPr>
        <xdr:cNvPr id="99" name="Прямая соединительная линия 98"/>
        <xdr:cNvCxnSpPr/>
      </xdr:nvCxnSpPr>
      <xdr:spPr>
        <a:xfrm flipV="1">
          <a:off x="2594882" y="11299372"/>
          <a:ext cx="0" cy="1286895"/>
        </a:xfrm>
        <a:prstGeom prst="line">
          <a:avLst/>
        </a:prstGeom>
        <a:ln w="34925">
          <a:solidFill>
            <a:schemeClr val="tx1"/>
          </a:solidFill>
          <a:prstDash val="solid"/>
          <a:headEnd type="none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</xdr:colOff>
      <xdr:row>10</xdr:row>
      <xdr:rowOff>1284024</xdr:rowOff>
    </xdr:from>
    <xdr:to>
      <xdr:col>4</xdr:col>
      <xdr:colOff>132181</xdr:colOff>
      <xdr:row>10</xdr:row>
      <xdr:rowOff>1405799</xdr:rowOff>
    </xdr:to>
    <xdr:grpSp>
      <xdr:nvGrpSpPr>
        <xdr:cNvPr id="106" name="Группа 105"/>
        <xdr:cNvGrpSpPr/>
      </xdr:nvGrpSpPr>
      <xdr:grpSpPr>
        <a:xfrm rot="10800000" flipV="1">
          <a:off x="2605207" y="4186348"/>
          <a:ext cx="126739" cy="121775"/>
          <a:chOff x="1132242" y="1306343"/>
          <a:chExt cx="123151" cy="128030"/>
        </a:xfrm>
      </xdr:grpSpPr>
      <xdr:cxnSp macro="">
        <xdr:nvCxnSpPr>
          <xdr:cNvPr id="107" name="Прямая соединительная линия 10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" name="Прямоугольник 10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5205</xdr:colOff>
      <xdr:row>14</xdr:row>
      <xdr:rowOff>156081</xdr:rowOff>
    </xdr:from>
    <xdr:to>
      <xdr:col>4</xdr:col>
      <xdr:colOff>5205</xdr:colOff>
      <xdr:row>14</xdr:row>
      <xdr:rowOff>1489581</xdr:rowOff>
    </xdr:to>
    <xdr:cxnSp macro="">
      <xdr:nvCxnSpPr>
        <xdr:cNvPr id="109" name="Прямая соединительная линия 108"/>
        <xdr:cNvCxnSpPr/>
      </xdr:nvCxnSpPr>
      <xdr:spPr>
        <a:xfrm flipV="1">
          <a:off x="2596005" y="14586456"/>
          <a:ext cx="0" cy="1333500"/>
        </a:xfrm>
        <a:prstGeom prst="line">
          <a:avLst/>
        </a:prstGeom>
        <a:ln w="34925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762130</xdr:colOff>
      <xdr:row>13</xdr:row>
      <xdr:rowOff>161190</xdr:rowOff>
    </xdr:from>
    <xdr:to>
      <xdr:col>4</xdr:col>
      <xdr:colOff>173626</xdr:colOff>
      <xdr:row>13</xdr:row>
      <xdr:rowOff>1496933</xdr:rowOff>
    </xdr:to>
    <xdr:cxnSp macro="">
      <xdr:nvCxnSpPr>
        <xdr:cNvPr id="110" name="Прямая соединительная линия 109"/>
        <xdr:cNvCxnSpPr/>
      </xdr:nvCxnSpPr>
      <xdr:spPr>
        <a:xfrm flipV="1">
          <a:off x="2438530" y="12943740"/>
          <a:ext cx="325896" cy="133574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874395</xdr:colOff>
      <xdr:row>13</xdr:row>
      <xdr:rowOff>1406897</xdr:rowOff>
    </xdr:from>
    <xdr:to>
      <xdr:col>4</xdr:col>
      <xdr:colOff>65120</xdr:colOff>
      <xdr:row>13</xdr:row>
      <xdr:rowOff>1514897</xdr:rowOff>
    </xdr:to>
    <xdr:sp macro="" textlink="">
      <xdr:nvSpPr>
        <xdr:cNvPr id="111" name="Овал 110"/>
        <xdr:cNvSpPr>
          <a:spLocks noChangeAspect="1"/>
        </xdr:cNvSpPr>
      </xdr:nvSpPr>
      <xdr:spPr>
        <a:xfrm>
          <a:off x="2550795" y="14189447"/>
          <a:ext cx="105125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21921</xdr:colOff>
      <xdr:row>13</xdr:row>
      <xdr:rowOff>85724</xdr:rowOff>
    </xdr:from>
    <xdr:to>
      <xdr:col>4</xdr:col>
      <xdr:colOff>165917</xdr:colOff>
      <xdr:row>13</xdr:row>
      <xdr:rowOff>1467128</xdr:rowOff>
    </xdr:to>
    <xdr:sp macro="" textlink="">
      <xdr:nvSpPr>
        <xdr:cNvPr id="112" name="Полилиния 111"/>
        <xdr:cNvSpPr/>
      </xdr:nvSpPr>
      <xdr:spPr>
        <a:xfrm rot="180000">
          <a:off x="2612721" y="12868274"/>
          <a:ext cx="143996" cy="1381404"/>
        </a:xfrm>
        <a:custGeom>
          <a:avLst/>
          <a:gdLst>
            <a:gd name="connsiteX0" fmla="*/ 27491 w 105932"/>
            <a:gd name="connsiteY0" fmla="*/ 1311089 h 1333155"/>
            <a:gd name="connsiteX1" fmla="*/ 16285 w 105932"/>
            <a:gd name="connsiteY1" fmla="*/ 1255059 h 1333155"/>
            <a:gd name="connsiteX2" fmla="*/ 5079 w 105932"/>
            <a:gd name="connsiteY2" fmla="*/ 672353 h 1333155"/>
            <a:gd name="connsiteX3" fmla="*/ 105932 w 105932"/>
            <a:gd name="connsiteY3" fmla="*/ 0 h 13331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5932" h="1333155">
              <a:moveTo>
                <a:pt x="27491" y="1311089"/>
              </a:moveTo>
              <a:cubicBezTo>
                <a:pt x="23755" y="1336302"/>
                <a:pt x="20020" y="1361515"/>
                <a:pt x="16285" y="1255059"/>
              </a:cubicBezTo>
              <a:cubicBezTo>
                <a:pt x="12550" y="1148603"/>
                <a:pt x="-9862" y="881529"/>
                <a:pt x="5079" y="672353"/>
              </a:cubicBezTo>
              <a:cubicBezTo>
                <a:pt x="20020" y="463177"/>
                <a:pt x="62976" y="231588"/>
                <a:pt x="105932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97667</xdr:colOff>
      <xdr:row>13</xdr:row>
      <xdr:rowOff>926647</xdr:rowOff>
    </xdr:from>
    <xdr:to>
      <xdr:col>4</xdr:col>
      <xdr:colOff>205667</xdr:colOff>
      <xdr:row>13</xdr:row>
      <xdr:rowOff>1034647</xdr:rowOff>
    </xdr:to>
    <xdr:sp macro="" textlink="">
      <xdr:nvSpPr>
        <xdr:cNvPr id="113" name="Овал 112"/>
        <xdr:cNvSpPr>
          <a:spLocks noChangeAspect="1"/>
        </xdr:cNvSpPr>
      </xdr:nvSpPr>
      <xdr:spPr>
        <a:xfrm>
          <a:off x="2688467" y="1370919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349052</xdr:colOff>
      <xdr:row>13</xdr:row>
      <xdr:rowOff>246250</xdr:rowOff>
    </xdr:from>
    <xdr:to>
      <xdr:col>6</xdr:col>
      <xdr:colOff>349052</xdr:colOff>
      <xdr:row>13</xdr:row>
      <xdr:rowOff>1238250</xdr:rowOff>
    </xdr:to>
    <xdr:cxnSp macro="">
      <xdr:nvCxnSpPr>
        <xdr:cNvPr id="114" name="Прямая соединительная линия 113"/>
        <xdr:cNvCxnSpPr/>
      </xdr:nvCxnSpPr>
      <xdr:spPr>
        <a:xfrm flipV="1">
          <a:off x="4578152" y="13028800"/>
          <a:ext cx="0" cy="992000"/>
        </a:xfrm>
        <a:prstGeom prst="line">
          <a:avLst/>
        </a:prstGeom>
        <a:ln w="508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115052</xdr:colOff>
      <xdr:row>13</xdr:row>
      <xdr:rowOff>90447</xdr:rowOff>
    </xdr:from>
    <xdr:to>
      <xdr:col>6</xdr:col>
      <xdr:colOff>583052</xdr:colOff>
      <xdr:row>13</xdr:row>
      <xdr:rowOff>558447</xdr:rowOff>
    </xdr:to>
    <xdr:grpSp>
      <xdr:nvGrpSpPr>
        <xdr:cNvPr id="115" name="Группа 114"/>
        <xdr:cNvGrpSpPr>
          <a:grpSpLocks noChangeAspect="1"/>
        </xdr:cNvGrpSpPr>
      </xdr:nvGrpSpPr>
      <xdr:grpSpPr>
        <a:xfrm>
          <a:off x="4362081" y="7934565"/>
          <a:ext cx="468000" cy="468000"/>
          <a:chOff x="4041321" y="45665570"/>
          <a:chExt cx="720000" cy="720000"/>
        </a:xfrm>
      </xdr:grpSpPr>
      <xdr:sp macro="" textlink="">
        <xdr:nvSpPr>
          <xdr:cNvPr id="116" name="Прямоугольник 115"/>
          <xdr:cNvSpPr/>
        </xdr:nvSpPr>
        <xdr:spPr>
          <a:xfrm>
            <a:off x="4041321" y="45665570"/>
            <a:ext cx="720000" cy="720000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17" name="Рисунок 1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96495" y="45754275"/>
            <a:ext cx="609653" cy="542591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133052</xdr:colOff>
      <xdr:row>13</xdr:row>
      <xdr:rowOff>628092</xdr:rowOff>
    </xdr:from>
    <xdr:to>
      <xdr:col>6</xdr:col>
      <xdr:colOff>565052</xdr:colOff>
      <xdr:row>13</xdr:row>
      <xdr:rowOff>1060092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152" y="13410642"/>
          <a:ext cx="432000" cy="432000"/>
        </a:xfrm>
        <a:prstGeom prst="rect">
          <a:avLst/>
        </a:prstGeom>
      </xdr:spPr>
    </xdr:pic>
    <xdr:clientData/>
  </xdr:twoCellAnchor>
  <xdr:twoCellAnchor>
    <xdr:from>
      <xdr:col>3</xdr:col>
      <xdr:colOff>868404</xdr:colOff>
      <xdr:row>14</xdr:row>
      <xdr:rowOff>1432431</xdr:rowOff>
    </xdr:from>
    <xdr:to>
      <xdr:col>4</xdr:col>
      <xdr:colOff>59129</xdr:colOff>
      <xdr:row>14</xdr:row>
      <xdr:rowOff>1540431</xdr:rowOff>
    </xdr:to>
    <xdr:sp macro="" textlink="">
      <xdr:nvSpPr>
        <xdr:cNvPr id="119" name="Овал 118"/>
        <xdr:cNvSpPr>
          <a:spLocks noChangeAspect="1"/>
        </xdr:cNvSpPr>
      </xdr:nvSpPr>
      <xdr:spPr>
        <a:xfrm>
          <a:off x="2544804" y="15862806"/>
          <a:ext cx="105125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836295</xdr:colOff>
      <xdr:row>14</xdr:row>
      <xdr:rowOff>737106</xdr:rowOff>
    </xdr:from>
    <xdr:to>
      <xdr:col>4</xdr:col>
      <xdr:colOff>91238</xdr:colOff>
      <xdr:row>14</xdr:row>
      <xdr:rowOff>918388</xdr:rowOff>
    </xdr:to>
    <xdr:sp macro="" textlink="">
      <xdr:nvSpPr>
        <xdr:cNvPr id="120" name="Прямоугольник 119"/>
        <xdr:cNvSpPr/>
      </xdr:nvSpPr>
      <xdr:spPr>
        <a:xfrm>
          <a:off x="2512695" y="15167481"/>
          <a:ext cx="169343" cy="181282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730330</xdr:colOff>
      <xdr:row>14</xdr:row>
      <xdr:rowOff>724690</xdr:rowOff>
    </xdr:from>
    <xdr:to>
      <xdr:col>4</xdr:col>
      <xdr:colOff>191826</xdr:colOff>
      <xdr:row>14</xdr:row>
      <xdr:rowOff>929477</xdr:rowOff>
    </xdr:to>
    <xdr:grpSp>
      <xdr:nvGrpSpPr>
        <xdr:cNvPr id="121" name="Группа 120"/>
        <xdr:cNvGrpSpPr/>
      </xdr:nvGrpSpPr>
      <xdr:grpSpPr>
        <a:xfrm rot="5400000">
          <a:off x="2499008" y="10128276"/>
          <a:ext cx="204787" cy="380379"/>
          <a:chOff x="2170141" y="26396990"/>
          <a:chExt cx="204787" cy="378618"/>
        </a:xfrm>
      </xdr:grpSpPr>
      <xdr:sp macro="" textlink="">
        <xdr:nvSpPr>
          <xdr:cNvPr id="122" name="Полилиния 121"/>
          <xdr:cNvSpPr/>
        </xdr:nvSpPr>
        <xdr:spPr>
          <a:xfrm flipH="1">
            <a:off x="2170141" y="26396990"/>
            <a:ext cx="59531" cy="378618"/>
          </a:xfrm>
          <a:custGeom>
            <a:avLst/>
            <a:gdLst>
              <a:gd name="connsiteX0" fmla="*/ 59531 w 59531"/>
              <a:gd name="connsiteY0" fmla="*/ 378618 h 378618"/>
              <a:gd name="connsiteX1" fmla="*/ 0 w 59531"/>
              <a:gd name="connsiteY1" fmla="*/ 319087 h 378618"/>
              <a:gd name="connsiteX2" fmla="*/ 0 w 59531"/>
              <a:gd name="connsiteY2" fmla="*/ 59531 h 378618"/>
              <a:gd name="connsiteX3" fmla="*/ 59531 w 59531"/>
              <a:gd name="connsiteY3" fmla="*/ 0 h 378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531" h="378618">
                <a:moveTo>
                  <a:pt x="59531" y="378618"/>
                </a:moveTo>
                <a:lnTo>
                  <a:pt x="0" y="319087"/>
                </a:lnTo>
                <a:lnTo>
                  <a:pt x="0" y="59531"/>
                </a:lnTo>
                <a:lnTo>
                  <a:pt x="59531" y="0"/>
                </a:ln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3" name="Полилиния 122"/>
          <xdr:cNvSpPr/>
        </xdr:nvSpPr>
        <xdr:spPr>
          <a:xfrm>
            <a:off x="2315397" y="26396990"/>
            <a:ext cx="59531" cy="378618"/>
          </a:xfrm>
          <a:custGeom>
            <a:avLst/>
            <a:gdLst>
              <a:gd name="connsiteX0" fmla="*/ 59531 w 59531"/>
              <a:gd name="connsiteY0" fmla="*/ 378618 h 378618"/>
              <a:gd name="connsiteX1" fmla="*/ 0 w 59531"/>
              <a:gd name="connsiteY1" fmla="*/ 319087 h 378618"/>
              <a:gd name="connsiteX2" fmla="*/ 0 w 59531"/>
              <a:gd name="connsiteY2" fmla="*/ 59531 h 378618"/>
              <a:gd name="connsiteX3" fmla="*/ 59531 w 59531"/>
              <a:gd name="connsiteY3" fmla="*/ 0 h 378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531" h="378618">
                <a:moveTo>
                  <a:pt x="59531" y="378618"/>
                </a:moveTo>
                <a:lnTo>
                  <a:pt x="0" y="319087"/>
                </a:lnTo>
                <a:lnTo>
                  <a:pt x="0" y="59531"/>
                </a:lnTo>
                <a:lnTo>
                  <a:pt x="59531" y="0"/>
                </a:ln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5205</xdr:colOff>
      <xdr:row>16</xdr:row>
      <xdr:rowOff>126145</xdr:rowOff>
    </xdr:from>
    <xdr:to>
      <xdr:col>4</xdr:col>
      <xdr:colOff>5205</xdr:colOff>
      <xdr:row>16</xdr:row>
      <xdr:rowOff>1459645</xdr:rowOff>
    </xdr:to>
    <xdr:cxnSp macro="">
      <xdr:nvCxnSpPr>
        <xdr:cNvPr id="124" name="Прямая соединительная линия 123"/>
        <xdr:cNvCxnSpPr/>
      </xdr:nvCxnSpPr>
      <xdr:spPr>
        <a:xfrm flipV="1">
          <a:off x="2596005" y="17852170"/>
          <a:ext cx="0" cy="1333500"/>
        </a:xfrm>
        <a:prstGeom prst="line">
          <a:avLst/>
        </a:prstGeom>
        <a:ln w="34925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868404</xdr:colOff>
      <xdr:row>16</xdr:row>
      <xdr:rowOff>1402495</xdr:rowOff>
    </xdr:from>
    <xdr:to>
      <xdr:col>4</xdr:col>
      <xdr:colOff>59129</xdr:colOff>
      <xdr:row>16</xdr:row>
      <xdr:rowOff>1510495</xdr:rowOff>
    </xdr:to>
    <xdr:sp macro="" textlink="">
      <xdr:nvSpPr>
        <xdr:cNvPr id="125" name="Овал 124"/>
        <xdr:cNvSpPr>
          <a:spLocks noChangeAspect="1"/>
        </xdr:cNvSpPr>
      </xdr:nvSpPr>
      <xdr:spPr>
        <a:xfrm>
          <a:off x="2544804" y="19128520"/>
          <a:ext cx="105125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836295</xdr:colOff>
      <xdr:row>16</xdr:row>
      <xdr:rowOff>707170</xdr:rowOff>
    </xdr:from>
    <xdr:to>
      <xdr:col>4</xdr:col>
      <xdr:colOff>91238</xdr:colOff>
      <xdr:row>16</xdr:row>
      <xdr:rowOff>888452</xdr:rowOff>
    </xdr:to>
    <xdr:sp macro="" textlink="">
      <xdr:nvSpPr>
        <xdr:cNvPr id="126" name="Прямоугольник 125"/>
        <xdr:cNvSpPr/>
      </xdr:nvSpPr>
      <xdr:spPr>
        <a:xfrm>
          <a:off x="2512695" y="18433195"/>
          <a:ext cx="169343" cy="181282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730330</xdr:colOff>
      <xdr:row>16</xdr:row>
      <xdr:rowOff>694754</xdr:rowOff>
    </xdr:from>
    <xdr:to>
      <xdr:col>4</xdr:col>
      <xdr:colOff>191826</xdr:colOff>
      <xdr:row>16</xdr:row>
      <xdr:rowOff>899541</xdr:rowOff>
    </xdr:to>
    <xdr:grpSp>
      <xdr:nvGrpSpPr>
        <xdr:cNvPr id="127" name="Группа 126"/>
        <xdr:cNvGrpSpPr/>
      </xdr:nvGrpSpPr>
      <xdr:grpSpPr>
        <a:xfrm rot="5400000">
          <a:off x="2499008" y="13392870"/>
          <a:ext cx="204787" cy="380379"/>
          <a:chOff x="2170141" y="26396990"/>
          <a:chExt cx="204787" cy="378618"/>
        </a:xfrm>
      </xdr:grpSpPr>
      <xdr:sp macro="" textlink="">
        <xdr:nvSpPr>
          <xdr:cNvPr id="128" name="Полилиния 127"/>
          <xdr:cNvSpPr/>
        </xdr:nvSpPr>
        <xdr:spPr>
          <a:xfrm flipH="1">
            <a:off x="2170141" y="26396990"/>
            <a:ext cx="59531" cy="378618"/>
          </a:xfrm>
          <a:custGeom>
            <a:avLst/>
            <a:gdLst>
              <a:gd name="connsiteX0" fmla="*/ 59531 w 59531"/>
              <a:gd name="connsiteY0" fmla="*/ 378618 h 378618"/>
              <a:gd name="connsiteX1" fmla="*/ 0 w 59531"/>
              <a:gd name="connsiteY1" fmla="*/ 319087 h 378618"/>
              <a:gd name="connsiteX2" fmla="*/ 0 w 59531"/>
              <a:gd name="connsiteY2" fmla="*/ 59531 h 378618"/>
              <a:gd name="connsiteX3" fmla="*/ 59531 w 59531"/>
              <a:gd name="connsiteY3" fmla="*/ 0 h 378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531" h="378618">
                <a:moveTo>
                  <a:pt x="59531" y="378618"/>
                </a:moveTo>
                <a:lnTo>
                  <a:pt x="0" y="319087"/>
                </a:lnTo>
                <a:lnTo>
                  <a:pt x="0" y="59531"/>
                </a:lnTo>
                <a:lnTo>
                  <a:pt x="59531" y="0"/>
                </a:ln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9" name="Полилиния 128"/>
          <xdr:cNvSpPr/>
        </xdr:nvSpPr>
        <xdr:spPr>
          <a:xfrm>
            <a:off x="2315397" y="26396990"/>
            <a:ext cx="59531" cy="378618"/>
          </a:xfrm>
          <a:custGeom>
            <a:avLst/>
            <a:gdLst>
              <a:gd name="connsiteX0" fmla="*/ 59531 w 59531"/>
              <a:gd name="connsiteY0" fmla="*/ 378618 h 378618"/>
              <a:gd name="connsiteX1" fmla="*/ 0 w 59531"/>
              <a:gd name="connsiteY1" fmla="*/ 319087 h 378618"/>
              <a:gd name="connsiteX2" fmla="*/ 0 w 59531"/>
              <a:gd name="connsiteY2" fmla="*/ 59531 h 378618"/>
              <a:gd name="connsiteX3" fmla="*/ 59531 w 59531"/>
              <a:gd name="connsiteY3" fmla="*/ 0 h 378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59531" h="378618">
                <a:moveTo>
                  <a:pt x="59531" y="378618"/>
                </a:moveTo>
                <a:lnTo>
                  <a:pt x="0" y="319087"/>
                </a:lnTo>
                <a:lnTo>
                  <a:pt x="0" y="59531"/>
                </a:lnTo>
                <a:lnTo>
                  <a:pt x="59531" y="0"/>
                </a:ln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876880</xdr:colOff>
      <xdr:row>17</xdr:row>
      <xdr:rowOff>1375068</xdr:rowOff>
    </xdr:from>
    <xdr:to>
      <xdr:col>4</xdr:col>
      <xdr:colOff>70918</xdr:colOff>
      <xdr:row>17</xdr:row>
      <xdr:rowOff>1483068</xdr:rowOff>
    </xdr:to>
    <xdr:sp macro="" textlink="">
      <xdr:nvSpPr>
        <xdr:cNvPr id="130" name="Овал 129"/>
        <xdr:cNvSpPr>
          <a:spLocks noChangeAspect="1"/>
        </xdr:cNvSpPr>
      </xdr:nvSpPr>
      <xdr:spPr>
        <a:xfrm>
          <a:off x="2553280" y="20748918"/>
          <a:ext cx="1084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10696</xdr:colOff>
      <xdr:row>17</xdr:row>
      <xdr:rowOff>135138</xdr:rowOff>
    </xdr:from>
    <xdr:to>
      <xdr:col>4</xdr:col>
      <xdr:colOff>10696</xdr:colOff>
      <xdr:row>17</xdr:row>
      <xdr:rowOff>1422033</xdr:rowOff>
    </xdr:to>
    <xdr:cxnSp macro="">
      <xdr:nvCxnSpPr>
        <xdr:cNvPr id="131" name="Прямая соединительная линия 130"/>
        <xdr:cNvCxnSpPr/>
      </xdr:nvCxnSpPr>
      <xdr:spPr>
        <a:xfrm flipV="1">
          <a:off x="2601496" y="19508988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15027</xdr:colOff>
      <xdr:row>17</xdr:row>
      <xdr:rowOff>655427</xdr:rowOff>
    </xdr:from>
    <xdr:to>
      <xdr:col>4</xdr:col>
      <xdr:colOff>486956</xdr:colOff>
      <xdr:row>17</xdr:row>
      <xdr:rowOff>1367934</xdr:rowOff>
    </xdr:to>
    <xdr:cxnSp macro="">
      <xdr:nvCxnSpPr>
        <xdr:cNvPr id="132" name="Прямая соединительная линия 131"/>
        <xdr:cNvCxnSpPr/>
      </xdr:nvCxnSpPr>
      <xdr:spPr>
        <a:xfrm flipH="1" flipV="1">
          <a:off x="2605827" y="20029277"/>
          <a:ext cx="471929" cy="71250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457200</xdr:colOff>
      <xdr:row>17</xdr:row>
      <xdr:rowOff>760017</xdr:rowOff>
    </xdr:from>
    <xdr:to>
      <xdr:col>4</xdr:col>
      <xdr:colOff>16266</xdr:colOff>
      <xdr:row>17</xdr:row>
      <xdr:rowOff>1251821</xdr:rowOff>
    </xdr:to>
    <xdr:cxnSp macro="">
      <xdr:nvCxnSpPr>
        <xdr:cNvPr id="133" name="Прямая соединительная линия 132"/>
        <xdr:cNvCxnSpPr/>
      </xdr:nvCxnSpPr>
      <xdr:spPr>
        <a:xfrm flipV="1">
          <a:off x="2133600" y="20133867"/>
          <a:ext cx="473466" cy="49180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908986</xdr:colOff>
      <xdr:row>19</xdr:row>
      <xdr:rowOff>145676</xdr:rowOff>
    </xdr:from>
    <xdr:to>
      <xdr:col>3</xdr:col>
      <xdr:colOff>908986</xdr:colOff>
      <xdr:row>19</xdr:row>
      <xdr:rowOff>1432571</xdr:rowOff>
    </xdr:to>
    <xdr:cxnSp macro="">
      <xdr:nvCxnSpPr>
        <xdr:cNvPr id="134" name="Прямая соединительная линия 133"/>
        <xdr:cNvCxnSpPr/>
      </xdr:nvCxnSpPr>
      <xdr:spPr>
        <a:xfrm flipV="1">
          <a:off x="2585386" y="22815176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850677</xdr:colOff>
      <xdr:row>19</xdr:row>
      <xdr:rowOff>1393254</xdr:rowOff>
    </xdr:from>
    <xdr:to>
      <xdr:col>4</xdr:col>
      <xdr:colOff>47590</xdr:colOff>
      <xdr:row>19</xdr:row>
      <xdr:rowOff>1501254</xdr:rowOff>
    </xdr:to>
    <xdr:sp macro="" textlink="">
      <xdr:nvSpPr>
        <xdr:cNvPr id="135" name="Овал 134"/>
        <xdr:cNvSpPr>
          <a:spLocks noChangeAspect="1"/>
        </xdr:cNvSpPr>
      </xdr:nvSpPr>
      <xdr:spPr>
        <a:xfrm>
          <a:off x="2527077" y="24062754"/>
          <a:ext cx="111313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792555</xdr:colOff>
      <xdr:row>19</xdr:row>
      <xdr:rowOff>821479</xdr:rowOff>
    </xdr:from>
    <xdr:to>
      <xdr:col>3</xdr:col>
      <xdr:colOff>910931</xdr:colOff>
      <xdr:row>19</xdr:row>
      <xdr:rowOff>828787</xdr:rowOff>
    </xdr:to>
    <xdr:cxnSp macro="">
      <xdr:nvCxnSpPr>
        <xdr:cNvPr id="136" name="Прямая соединительная линия 135"/>
        <xdr:cNvCxnSpPr>
          <a:stCxn id="137" idx="1"/>
        </xdr:cNvCxnSpPr>
      </xdr:nvCxnSpPr>
      <xdr:spPr>
        <a:xfrm flipH="1">
          <a:off x="2468955" y="23490979"/>
          <a:ext cx="118376" cy="7308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146538</xdr:colOff>
      <xdr:row>19</xdr:row>
      <xdr:rowOff>821479</xdr:rowOff>
    </xdr:from>
    <xdr:to>
      <xdr:col>3</xdr:col>
      <xdr:colOff>910931</xdr:colOff>
      <xdr:row>19</xdr:row>
      <xdr:rowOff>1438962</xdr:rowOff>
    </xdr:to>
    <xdr:sp macro="" textlink="">
      <xdr:nvSpPr>
        <xdr:cNvPr id="137" name="Полилиния 136"/>
        <xdr:cNvSpPr/>
      </xdr:nvSpPr>
      <xdr:spPr>
        <a:xfrm flipH="1">
          <a:off x="1822938" y="23490979"/>
          <a:ext cx="764393" cy="617483"/>
        </a:xfrm>
        <a:custGeom>
          <a:avLst/>
          <a:gdLst>
            <a:gd name="connsiteX0" fmla="*/ 0 w 604345"/>
            <a:gd name="connsiteY0" fmla="*/ 617483 h 617483"/>
            <a:gd name="connsiteX1" fmla="*/ 0 w 604345"/>
            <a:gd name="connsiteY1" fmla="*/ 0 h 617483"/>
            <a:gd name="connsiteX2" fmla="*/ 604345 w 604345"/>
            <a:gd name="connsiteY2" fmla="*/ 0 h 6174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04345" h="617483">
              <a:moveTo>
                <a:pt x="0" y="617483"/>
              </a:moveTo>
              <a:lnTo>
                <a:pt x="0" y="0"/>
              </a:lnTo>
              <a:lnTo>
                <a:pt x="60434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1846</xdr:colOff>
      <xdr:row>19</xdr:row>
      <xdr:rowOff>626958</xdr:rowOff>
    </xdr:from>
    <xdr:to>
      <xdr:col>4</xdr:col>
      <xdr:colOff>704022</xdr:colOff>
      <xdr:row>19</xdr:row>
      <xdr:rowOff>811697</xdr:rowOff>
    </xdr:to>
    <xdr:cxnSp macro="">
      <xdr:nvCxnSpPr>
        <xdr:cNvPr id="138" name="Прямая соединительная линия 137"/>
        <xdr:cNvCxnSpPr/>
      </xdr:nvCxnSpPr>
      <xdr:spPr>
        <a:xfrm flipH="1" flipV="1">
          <a:off x="2592646" y="23296458"/>
          <a:ext cx="702176" cy="184739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227134</xdr:colOff>
      <xdr:row>19</xdr:row>
      <xdr:rowOff>820616</xdr:rowOff>
    </xdr:from>
    <xdr:to>
      <xdr:col>3</xdr:col>
      <xdr:colOff>908538</xdr:colOff>
      <xdr:row>19</xdr:row>
      <xdr:rowOff>820616</xdr:rowOff>
    </xdr:to>
    <xdr:cxnSp macro="">
      <xdr:nvCxnSpPr>
        <xdr:cNvPr id="139" name="Прямая соединительная линия 138"/>
        <xdr:cNvCxnSpPr/>
      </xdr:nvCxnSpPr>
      <xdr:spPr>
        <a:xfrm>
          <a:off x="1903534" y="23490116"/>
          <a:ext cx="681404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8501</xdr:colOff>
      <xdr:row>17</xdr:row>
      <xdr:rowOff>656897</xdr:rowOff>
    </xdr:from>
    <xdr:to>
      <xdr:col>4</xdr:col>
      <xdr:colOff>501174</xdr:colOff>
      <xdr:row>17</xdr:row>
      <xdr:rowOff>1412328</xdr:rowOff>
    </xdr:to>
    <xdr:sp macro="" textlink="">
      <xdr:nvSpPr>
        <xdr:cNvPr id="140" name="Полилиния 139"/>
        <xdr:cNvSpPr/>
      </xdr:nvSpPr>
      <xdr:spPr>
        <a:xfrm>
          <a:off x="2599301" y="20030747"/>
          <a:ext cx="492673" cy="755431"/>
        </a:xfrm>
        <a:custGeom>
          <a:avLst/>
          <a:gdLst>
            <a:gd name="connsiteX0" fmla="*/ 0 w 492673"/>
            <a:gd name="connsiteY0" fmla="*/ 755431 h 755431"/>
            <a:gd name="connsiteX1" fmla="*/ 0 w 492673"/>
            <a:gd name="connsiteY1" fmla="*/ 0 h 755431"/>
            <a:gd name="connsiteX2" fmla="*/ 492673 w 492673"/>
            <a:gd name="connsiteY2" fmla="*/ 755431 h 7554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92673" h="755431">
              <a:moveTo>
                <a:pt x="0" y="755431"/>
              </a:moveTo>
              <a:lnTo>
                <a:pt x="0" y="0"/>
              </a:lnTo>
              <a:lnTo>
                <a:pt x="492673" y="755431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4792</xdr:colOff>
      <xdr:row>31</xdr:row>
      <xdr:rowOff>817860</xdr:rowOff>
    </xdr:from>
    <xdr:to>
      <xdr:col>4</xdr:col>
      <xdr:colOff>4792</xdr:colOff>
      <xdr:row>31</xdr:row>
      <xdr:rowOff>1475086</xdr:rowOff>
    </xdr:to>
    <xdr:cxnSp macro="">
      <xdr:nvCxnSpPr>
        <xdr:cNvPr id="141" name="Прямая соединительная линия 140"/>
        <xdr:cNvCxnSpPr/>
      </xdr:nvCxnSpPr>
      <xdr:spPr>
        <a:xfrm flipV="1">
          <a:off x="2595592" y="41613435"/>
          <a:ext cx="0" cy="65722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203620</xdr:colOff>
      <xdr:row>31</xdr:row>
      <xdr:rowOff>571571</xdr:rowOff>
    </xdr:from>
    <xdr:to>
      <xdr:col>4</xdr:col>
      <xdr:colOff>693820</xdr:colOff>
      <xdr:row>31</xdr:row>
      <xdr:rowOff>1057175</xdr:rowOff>
    </xdr:to>
    <xdr:cxnSp macro="">
      <xdr:nvCxnSpPr>
        <xdr:cNvPr id="142" name="Прямая соединительная линия 141"/>
        <xdr:cNvCxnSpPr/>
      </xdr:nvCxnSpPr>
      <xdr:spPr>
        <a:xfrm flipH="1" flipV="1">
          <a:off x="1880020" y="41367146"/>
          <a:ext cx="1404600" cy="485604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866288</xdr:colOff>
      <xdr:row>31</xdr:row>
      <xdr:rowOff>1417935</xdr:rowOff>
    </xdr:from>
    <xdr:to>
      <xdr:col>4</xdr:col>
      <xdr:colOff>58716</xdr:colOff>
      <xdr:row>31</xdr:row>
      <xdr:rowOff>1525935</xdr:rowOff>
    </xdr:to>
    <xdr:sp macro="" textlink="">
      <xdr:nvSpPr>
        <xdr:cNvPr id="143" name="Овал 142"/>
        <xdr:cNvSpPr>
          <a:spLocks noChangeAspect="1"/>
        </xdr:cNvSpPr>
      </xdr:nvSpPr>
      <xdr:spPr>
        <a:xfrm>
          <a:off x="2542688" y="42213510"/>
          <a:ext cx="10682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156883</xdr:colOff>
      <xdr:row>31</xdr:row>
      <xdr:rowOff>549089</xdr:rowOff>
    </xdr:from>
    <xdr:to>
      <xdr:col>3</xdr:col>
      <xdr:colOff>917377</xdr:colOff>
      <xdr:row>31</xdr:row>
      <xdr:rowOff>1468459</xdr:rowOff>
    </xdr:to>
    <xdr:sp macro="" textlink="">
      <xdr:nvSpPr>
        <xdr:cNvPr id="144" name="Полилиния 143"/>
        <xdr:cNvSpPr/>
      </xdr:nvSpPr>
      <xdr:spPr>
        <a:xfrm>
          <a:off x="1833283" y="41344664"/>
          <a:ext cx="760494" cy="919370"/>
        </a:xfrm>
        <a:custGeom>
          <a:avLst/>
          <a:gdLst>
            <a:gd name="connsiteX0" fmla="*/ 753717 w 753717"/>
            <a:gd name="connsiteY0" fmla="*/ 919370 h 919370"/>
            <a:gd name="connsiteX1" fmla="*/ 753717 w 753717"/>
            <a:gd name="connsiteY1" fmla="*/ 281609 h 919370"/>
            <a:gd name="connsiteX2" fmla="*/ 0 w 753717"/>
            <a:gd name="connsiteY2" fmla="*/ 0 h 9193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53717" h="919370">
              <a:moveTo>
                <a:pt x="753717" y="919370"/>
              </a:moveTo>
              <a:lnTo>
                <a:pt x="753717" y="281609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864579</xdr:colOff>
      <xdr:row>35</xdr:row>
      <xdr:rowOff>1419722</xdr:rowOff>
    </xdr:from>
    <xdr:to>
      <xdr:col>4</xdr:col>
      <xdr:colOff>56697</xdr:colOff>
      <xdr:row>35</xdr:row>
      <xdr:rowOff>1527722</xdr:rowOff>
    </xdr:to>
    <xdr:sp macro="" textlink="">
      <xdr:nvSpPr>
        <xdr:cNvPr id="145" name="Овал 144"/>
        <xdr:cNvSpPr>
          <a:spLocks noChangeAspect="1"/>
        </xdr:cNvSpPr>
      </xdr:nvSpPr>
      <xdr:spPr>
        <a:xfrm rot="18920773">
          <a:off x="2540979" y="48806597"/>
          <a:ext cx="10651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305916</xdr:colOff>
      <xdr:row>35</xdr:row>
      <xdr:rowOff>160734</xdr:rowOff>
    </xdr:from>
    <xdr:to>
      <xdr:col>4</xdr:col>
      <xdr:colOff>612945</xdr:colOff>
      <xdr:row>35</xdr:row>
      <xdr:rowOff>1399425</xdr:rowOff>
    </xdr:to>
    <xdr:cxnSp macro="">
      <xdr:nvCxnSpPr>
        <xdr:cNvPr id="146" name="Прямая соединительная линия 145"/>
        <xdr:cNvCxnSpPr/>
      </xdr:nvCxnSpPr>
      <xdr:spPr>
        <a:xfrm flipH="1" flipV="1">
          <a:off x="1982316" y="47547609"/>
          <a:ext cx="1221429" cy="123869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914588</xdr:colOff>
      <xdr:row>35</xdr:row>
      <xdr:rowOff>773906</xdr:rowOff>
    </xdr:from>
    <xdr:to>
      <xdr:col>3</xdr:col>
      <xdr:colOff>914588</xdr:colOff>
      <xdr:row>35</xdr:row>
      <xdr:rowOff>1470735</xdr:rowOff>
    </xdr:to>
    <xdr:cxnSp macro="">
      <xdr:nvCxnSpPr>
        <xdr:cNvPr id="147" name="Прямая соединительная линия 146"/>
        <xdr:cNvCxnSpPr/>
      </xdr:nvCxnSpPr>
      <xdr:spPr>
        <a:xfrm>
          <a:off x="2590988" y="48160781"/>
          <a:ext cx="0" cy="696829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</xdr:colOff>
      <xdr:row>35</xdr:row>
      <xdr:rowOff>778329</xdr:rowOff>
    </xdr:from>
    <xdr:to>
      <xdr:col>4</xdr:col>
      <xdr:colOff>664029</xdr:colOff>
      <xdr:row>35</xdr:row>
      <xdr:rowOff>1469572</xdr:rowOff>
    </xdr:to>
    <xdr:sp macro="" textlink="">
      <xdr:nvSpPr>
        <xdr:cNvPr id="148" name="Полилиния 147"/>
        <xdr:cNvSpPr/>
      </xdr:nvSpPr>
      <xdr:spPr>
        <a:xfrm>
          <a:off x="2596243" y="48165204"/>
          <a:ext cx="658586" cy="691243"/>
        </a:xfrm>
        <a:custGeom>
          <a:avLst/>
          <a:gdLst>
            <a:gd name="connsiteX0" fmla="*/ 0 w 658586"/>
            <a:gd name="connsiteY0" fmla="*/ 691243 h 691243"/>
            <a:gd name="connsiteX1" fmla="*/ 0 w 658586"/>
            <a:gd name="connsiteY1" fmla="*/ 0 h 691243"/>
            <a:gd name="connsiteX2" fmla="*/ 658586 w 658586"/>
            <a:gd name="connsiteY2" fmla="*/ 674914 h 6912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58586" h="691243">
              <a:moveTo>
                <a:pt x="0" y="691243"/>
              </a:moveTo>
              <a:lnTo>
                <a:pt x="0" y="0"/>
              </a:lnTo>
              <a:lnTo>
                <a:pt x="658586" y="674914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877297</xdr:colOff>
      <xdr:row>36</xdr:row>
      <xdr:rowOff>1375768</xdr:rowOff>
    </xdr:from>
    <xdr:to>
      <xdr:col>4</xdr:col>
      <xdr:colOff>70897</xdr:colOff>
      <xdr:row>36</xdr:row>
      <xdr:rowOff>1483768</xdr:rowOff>
    </xdr:to>
    <xdr:sp macro="" textlink="">
      <xdr:nvSpPr>
        <xdr:cNvPr id="149" name="Овал 148"/>
        <xdr:cNvSpPr>
          <a:spLocks noChangeAspect="1"/>
        </xdr:cNvSpPr>
      </xdr:nvSpPr>
      <xdr:spPr>
        <a:xfrm rot="5400000">
          <a:off x="2553697" y="5041046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7934</xdr:colOff>
      <xdr:row>36</xdr:row>
      <xdr:rowOff>68036</xdr:rowOff>
    </xdr:from>
    <xdr:to>
      <xdr:col>4</xdr:col>
      <xdr:colOff>7934</xdr:colOff>
      <xdr:row>36</xdr:row>
      <xdr:rowOff>1431302</xdr:rowOff>
    </xdr:to>
    <xdr:cxnSp macro="">
      <xdr:nvCxnSpPr>
        <xdr:cNvPr id="150" name="Прямая соединительная линия 149"/>
        <xdr:cNvCxnSpPr/>
      </xdr:nvCxnSpPr>
      <xdr:spPr>
        <a:xfrm>
          <a:off x="2598734" y="49102736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3757</xdr:colOff>
      <xdr:row>36</xdr:row>
      <xdr:rowOff>101006</xdr:rowOff>
    </xdr:from>
    <xdr:to>
      <xdr:col>4</xdr:col>
      <xdr:colOff>363683</xdr:colOff>
      <xdr:row>36</xdr:row>
      <xdr:rowOff>1416325</xdr:rowOff>
    </xdr:to>
    <xdr:sp macro="" textlink="">
      <xdr:nvSpPr>
        <xdr:cNvPr id="151" name="Полилиния 150"/>
        <xdr:cNvSpPr/>
      </xdr:nvSpPr>
      <xdr:spPr>
        <a:xfrm>
          <a:off x="2594557" y="49135706"/>
          <a:ext cx="359926" cy="1315319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5442</xdr:colOff>
      <xdr:row>36</xdr:row>
      <xdr:rowOff>1284024</xdr:rowOff>
    </xdr:from>
    <xdr:to>
      <xdr:col>4</xdr:col>
      <xdr:colOff>132181</xdr:colOff>
      <xdr:row>36</xdr:row>
      <xdr:rowOff>1405799</xdr:rowOff>
    </xdr:to>
    <xdr:grpSp>
      <xdr:nvGrpSpPr>
        <xdr:cNvPr id="152" name="Группа 151"/>
        <xdr:cNvGrpSpPr/>
      </xdr:nvGrpSpPr>
      <xdr:grpSpPr>
        <a:xfrm rot="10800000" flipV="1">
          <a:off x="2605207" y="47015230"/>
          <a:ext cx="126739" cy="121775"/>
          <a:chOff x="1132242" y="1306343"/>
          <a:chExt cx="123151" cy="128030"/>
        </a:xfrm>
      </xdr:grpSpPr>
      <xdr:cxnSp macro="">
        <xdr:nvCxnSpPr>
          <xdr:cNvPr id="153" name="Прямая соединительная линия 15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4" name="Прямоугольник 15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903823</xdr:colOff>
      <xdr:row>37</xdr:row>
      <xdr:rowOff>425823</xdr:rowOff>
    </xdr:from>
    <xdr:to>
      <xdr:col>4</xdr:col>
      <xdr:colOff>638378</xdr:colOff>
      <xdr:row>37</xdr:row>
      <xdr:rowOff>839066</xdr:rowOff>
    </xdr:to>
    <xdr:cxnSp macro="">
      <xdr:nvCxnSpPr>
        <xdr:cNvPr id="155" name="Прямая соединительная линия 154"/>
        <xdr:cNvCxnSpPr/>
      </xdr:nvCxnSpPr>
      <xdr:spPr>
        <a:xfrm flipV="1">
          <a:off x="2580223" y="51108348"/>
          <a:ext cx="648955" cy="41324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871610</xdr:colOff>
      <xdr:row>37</xdr:row>
      <xdr:rowOff>1405365</xdr:rowOff>
    </xdr:from>
    <xdr:to>
      <xdr:col>4</xdr:col>
      <xdr:colOff>56303</xdr:colOff>
      <xdr:row>37</xdr:row>
      <xdr:rowOff>1513365</xdr:rowOff>
    </xdr:to>
    <xdr:sp macro="" textlink="">
      <xdr:nvSpPr>
        <xdr:cNvPr id="156" name="Овал 155"/>
        <xdr:cNvSpPr>
          <a:spLocks noChangeAspect="1"/>
        </xdr:cNvSpPr>
      </xdr:nvSpPr>
      <xdr:spPr>
        <a:xfrm rot="5400000">
          <a:off x="2543557" y="52092343"/>
          <a:ext cx="108000" cy="9909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37</xdr:row>
      <xdr:rowOff>97632</xdr:rowOff>
    </xdr:from>
    <xdr:to>
      <xdr:col>4</xdr:col>
      <xdr:colOff>1233</xdr:colOff>
      <xdr:row>37</xdr:row>
      <xdr:rowOff>1460898</xdr:rowOff>
    </xdr:to>
    <xdr:cxnSp macro="">
      <xdr:nvCxnSpPr>
        <xdr:cNvPr id="157" name="Прямая соединительная линия 156"/>
        <xdr:cNvCxnSpPr/>
      </xdr:nvCxnSpPr>
      <xdr:spPr>
        <a:xfrm>
          <a:off x="2592033" y="50780157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775220</xdr:colOff>
      <xdr:row>37</xdr:row>
      <xdr:rowOff>717520</xdr:rowOff>
    </xdr:from>
    <xdr:to>
      <xdr:col>3</xdr:col>
      <xdr:colOff>902296</xdr:colOff>
      <xdr:row>37</xdr:row>
      <xdr:rowOff>843626</xdr:rowOff>
    </xdr:to>
    <xdr:grpSp>
      <xdr:nvGrpSpPr>
        <xdr:cNvPr id="158" name="Группа 157"/>
        <xdr:cNvGrpSpPr/>
      </xdr:nvGrpSpPr>
      <xdr:grpSpPr>
        <a:xfrm>
          <a:off x="2456102" y="48095991"/>
          <a:ext cx="127076" cy="126106"/>
          <a:chOff x="1132242" y="1306343"/>
          <a:chExt cx="123151" cy="128030"/>
        </a:xfrm>
      </xdr:grpSpPr>
      <xdr:cxnSp macro="">
        <xdr:nvCxnSpPr>
          <xdr:cNvPr id="159" name="Прямая соединительная линия 15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0" name="Прямоугольник 15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0</xdr:colOff>
      <xdr:row>37</xdr:row>
      <xdr:rowOff>381000</xdr:rowOff>
    </xdr:from>
    <xdr:to>
      <xdr:col>4</xdr:col>
      <xdr:colOff>705970</xdr:colOff>
      <xdr:row>37</xdr:row>
      <xdr:rowOff>1456765</xdr:rowOff>
    </xdr:to>
    <xdr:sp macro="" textlink="">
      <xdr:nvSpPr>
        <xdr:cNvPr id="161" name="Полилиния 160"/>
        <xdr:cNvSpPr/>
      </xdr:nvSpPr>
      <xdr:spPr>
        <a:xfrm>
          <a:off x="2590800" y="51063525"/>
          <a:ext cx="705970" cy="1075765"/>
        </a:xfrm>
        <a:custGeom>
          <a:avLst/>
          <a:gdLst>
            <a:gd name="connsiteX0" fmla="*/ 0 w 705970"/>
            <a:gd name="connsiteY0" fmla="*/ 1075765 h 1075765"/>
            <a:gd name="connsiteX1" fmla="*/ 0 w 705970"/>
            <a:gd name="connsiteY1" fmla="*/ 437029 h 1075765"/>
            <a:gd name="connsiteX2" fmla="*/ 705970 w 705970"/>
            <a:gd name="connsiteY2" fmla="*/ 0 h 10757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05970" h="1075765">
              <a:moveTo>
                <a:pt x="0" y="1075765"/>
              </a:moveTo>
              <a:lnTo>
                <a:pt x="0" y="437029"/>
              </a:lnTo>
              <a:lnTo>
                <a:pt x="70597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285750</xdr:colOff>
      <xdr:row>44</xdr:row>
      <xdr:rowOff>711550</xdr:rowOff>
    </xdr:from>
    <xdr:to>
      <xdr:col>4</xdr:col>
      <xdr:colOff>647317</xdr:colOff>
      <xdr:row>44</xdr:row>
      <xdr:rowOff>895545</xdr:rowOff>
    </xdr:to>
    <xdr:cxnSp macro="">
      <xdr:nvCxnSpPr>
        <xdr:cNvPr id="162" name="Прямая соединительная линия 161"/>
        <xdr:cNvCxnSpPr/>
      </xdr:nvCxnSpPr>
      <xdr:spPr>
        <a:xfrm flipV="1">
          <a:off x="1962150" y="54689725"/>
          <a:ext cx="1275967" cy="1839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871610</xdr:colOff>
      <xdr:row>44</xdr:row>
      <xdr:rowOff>1405365</xdr:rowOff>
    </xdr:from>
    <xdr:to>
      <xdr:col>4</xdr:col>
      <xdr:colOff>56303</xdr:colOff>
      <xdr:row>44</xdr:row>
      <xdr:rowOff>1513365</xdr:rowOff>
    </xdr:to>
    <xdr:sp macro="" textlink="">
      <xdr:nvSpPr>
        <xdr:cNvPr id="163" name="Овал 162"/>
        <xdr:cNvSpPr>
          <a:spLocks noChangeAspect="1"/>
        </xdr:cNvSpPr>
      </xdr:nvSpPr>
      <xdr:spPr>
        <a:xfrm rot="5400000">
          <a:off x="2543557" y="55387993"/>
          <a:ext cx="108000" cy="99093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44</xdr:row>
      <xdr:rowOff>816429</xdr:rowOff>
    </xdr:from>
    <xdr:to>
      <xdr:col>4</xdr:col>
      <xdr:colOff>1233</xdr:colOff>
      <xdr:row>44</xdr:row>
      <xdr:rowOff>1460898</xdr:rowOff>
    </xdr:to>
    <xdr:cxnSp macro="">
      <xdr:nvCxnSpPr>
        <xdr:cNvPr id="164" name="Прямая соединительная линия 163"/>
        <xdr:cNvCxnSpPr/>
      </xdr:nvCxnSpPr>
      <xdr:spPr>
        <a:xfrm>
          <a:off x="2592033" y="54794604"/>
          <a:ext cx="0" cy="644469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794927</xdr:colOff>
      <xdr:row>44</xdr:row>
      <xdr:rowOff>691244</xdr:rowOff>
    </xdr:from>
    <xdr:to>
      <xdr:col>4</xdr:col>
      <xdr:colOff>8917</xdr:colOff>
      <xdr:row>44</xdr:row>
      <xdr:rowOff>817350</xdr:rowOff>
    </xdr:to>
    <xdr:grpSp>
      <xdr:nvGrpSpPr>
        <xdr:cNvPr id="165" name="Группа 164"/>
        <xdr:cNvGrpSpPr/>
      </xdr:nvGrpSpPr>
      <xdr:grpSpPr>
        <a:xfrm>
          <a:off x="2475809" y="59600568"/>
          <a:ext cx="132873" cy="126106"/>
          <a:chOff x="1132242" y="1306343"/>
          <a:chExt cx="123151" cy="128030"/>
        </a:xfrm>
      </xdr:grpSpPr>
      <xdr:cxnSp macro="">
        <xdr:nvCxnSpPr>
          <xdr:cNvPr id="166" name="Прямая соединительная линия 16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7" name="Прямоугольник 16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0</xdr:colOff>
      <xdr:row>44</xdr:row>
      <xdr:rowOff>687457</xdr:rowOff>
    </xdr:from>
    <xdr:to>
      <xdr:col>4</xdr:col>
      <xdr:colOff>748393</xdr:colOff>
      <xdr:row>44</xdr:row>
      <xdr:rowOff>1449457</xdr:rowOff>
    </xdr:to>
    <xdr:sp macro="" textlink="">
      <xdr:nvSpPr>
        <xdr:cNvPr id="168" name="Полилиния 167"/>
        <xdr:cNvSpPr/>
      </xdr:nvSpPr>
      <xdr:spPr>
        <a:xfrm>
          <a:off x="2590800" y="54665632"/>
          <a:ext cx="748393" cy="762000"/>
        </a:xfrm>
        <a:custGeom>
          <a:avLst/>
          <a:gdLst>
            <a:gd name="connsiteX0" fmla="*/ 0 w 894522"/>
            <a:gd name="connsiteY0" fmla="*/ 762000 h 762000"/>
            <a:gd name="connsiteX1" fmla="*/ 0 w 894522"/>
            <a:gd name="connsiteY1" fmla="*/ 124239 h 762000"/>
            <a:gd name="connsiteX2" fmla="*/ 894522 w 894522"/>
            <a:gd name="connsiteY2" fmla="*/ 0 h 76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94522" h="762000">
              <a:moveTo>
                <a:pt x="0" y="762000"/>
              </a:moveTo>
              <a:lnTo>
                <a:pt x="0" y="124239"/>
              </a:lnTo>
              <a:lnTo>
                <a:pt x="894522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876880</xdr:colOff>
      <xdr:row>45</xdr:row>
      <xdr:rowOff>1375068</xdr:rowOff>
    </xdr:from>
    <xdr:to>
      <xdr:col>4</xdr:col>
      <xdr:colOff>70918</xdr:colOff>
      <xdr:row>45</xdr:row>
      <xdr:rowOff>1483068</xdr:rowOff>
    </xdr:to>
    <xdr:sp macro="" textlink="">
      <xdr:nvSpPr>
        <xdr:cNvPr id="169" name="Овал 168"/>
        <xdr:cNvSpPr>
          <a:spLocks noChangeAspect="1"/>
        </xdr:cNvSpPr>
      </xdr:nvSpPr>
      <xdr:spPr>
        <a:xfrm>
          <a:off x="2553280" y="57001068"/>
          <a:ext cx="1084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10696</xdr:colOff>
      <xdr:row>45</xdr:row>
      <xdr:rowOff>135138</xdr:rowOff>
    </xdr:from>
    <xdr:to>
      <xdr:col>4</xdr:col>
      <xdr:colOff>10696</xdr:colOff>
      <xdr:row>45</xdr:row>
      <xdr:rowOff>1422033</xdr:rowOff>
    </xdr:to>
    <xdr:cxnSp macro="">
      <xdr:nvCxnSpPr>
        <xdr:cNvPr id="170" name="Прямая соединительная линия 169"/>
        <xdr:cNvCxnSpPr/>
      </xdr:nvCxnSpPr>
      <xdr:spPr>
        <a:xfrm flipV="1">
          <a:off x="2601496" y="55761138"/>
          <a:ext cx="0" cy="128689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296000</xdr:colOff>
      <xdr:row>45</xdr:row>
      <xdr:rowOff>664973</xdr:rowOff>
    </xdr:from>
    <xdr:to>
      <xdr:col>4</xdr:col>
      <xdr:colOff>8469</xdr:colOff>
      <xdr:row>45</xdr:row>
      <xdr:rowOff>726490</xdr:rowOff>
    </xdr:to>
    <xdr:cxnSp macro="">
      <xdr:nvCxnSpPr>
        <xdr:cNvPr id="171" name="Прямая соединительная линия 170"/>
        <xdr:cNvCxnSpPr/>
      </xdr:nvCxnSpPr>
      <xdr:spPr>
        <a:xfrm>
          <a:off x="1972400" y="56290973"/>
          <a:ext cx="626869" cy="6151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114460</xdr:colOff>
      <xdr:row>45</xdr:row>
      <xdr:rowOff>15208</xdr:rowOff>
    </xdr:from>
    <xdr:to>
      <xdr:col>6</xdr:col>
      <xdr:colOff>563496</xdr:colOff>
      <xdr:row>45</xdr:row>
      <xdr:rowOff>777208</xdr:rowOff>
    </xdr:to>
    <xdr:sp macro="" textlink="">
      <xdr:nvSpPr>
        <xdr:cNvPr id="172" name="TextBox 171"/>
        <xdr:cNvSpPr txBox="1"/>
      </xdr:nvSpPr>
      <xdr:spPr>
        <a:xfrm>
          <a:off x="4346281" y="58893315"/>
          <a:ext cx="4490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600" b="0">
              <a:solidFill>
                <a:srgbClr val="FF0000"/>
              </a:solidFill>
            </a:rPr>
            <a:t>!</a:t>
          </a:r>
        </a:p>
      </xdr:txBody>
    </xdr:sp>
    <xdr:clientData/>
  </xdr:twoCellAnchor>
  <xdr:twoCellAnchor>
    <xdr:from>
      <xdr:col>3</xdr:col>
      <xdr:colOff>704919</xdr:colOff>
      <xdr:row>45</xdr:row>
      <xdr:rowOff>705970</xdr:rowOff>
    </xdr:from>
    <xdr:to>
      <xdr:col>4</xdr:col>
      <xdr:colOff>14083</xdr:colOff>
      <xdr:row>45</xdr:row>
      <xdr:rowOff>1422034</xdr:rowOff>
    </xdr:to>
    <xdr:grpSp>
      <xdr:nvGrpSpPr>
        <xdr:cNvPr id="173" name="Группа 172"/>
        <xdr:cNvGrpSpPr/>
      </xdr:nvGrpSpPr>
      <xdr:grpSpPr>
        <a:xfrm>
          <a:off x="2385801" y="61262558"/>
          <a:ext cx="228047" cy="716064"/>
          <a:chOff x="2383701" y="56367689"/>
          <a:chExt cx="225958" cy="716064"/>
        </a:xfrm>
      </xdr:grpSpPr>
      <xdr:sp macro="" textlink="">
        <xdr:nvSpPr>
          <xdr:cNvPr id="174" name="Дуга 173"/>
          <xdr:cNvSpPr/>
        </xdr:nvSpPr>
        <xdr:spPr>
          <a:xfrm>
            <a:off x="2383701" y="56367689"/>
            <a:ext cx="224118" cy="224118"/>
          </a:xfrm>
          <a:prstGeom prst="arc">
            <a:avLst>
              <a:gd name="adj1" fmla="val 8180491"/>
              <a:gd name="adj2" fmla="val 0"/>
            </a:avLst>
          </a:prstGeom>
          <a:noFill/>
          <a:ln w="34925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5" name="Полилиния 174"/>
          <xdr:cNvSpPr/>
        </xdr:nvSpPr>
        <xdr:spPr>
          <a:xfrm>
            <a:off x="2405062" y="56548734"/>
            <a:ext cx="136922" cy="315516"/>
          </a:xfrm>
          <a:custGeom>
            <a:avLst/>
            <a:gdLst>
              <a:gd name="connsiteX0" fmla="*/ 0 w 136922"/>
              <a:gd name="connsiteY0" fmla="*/ 0 h 315516"/>
              <a:gd name="connsiteX1" fmla="*/ 101204 w 136922"/>
              <a:gd name="connsiteY1" fmla="*/ 119063 h 315516"/>
              <a:gd name="connsiteX2" fmla="*/ 136922 w 136922"/>
              <a:gd name="connsiteY2" fmla="*/ 315516 h 3155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36922" h="315516">
                <a:moveTo>
                  <a:pt x="0" y="0"/>
                </a:moveTo>
                <a:cubicBezTo>
                  <a:pt x="39192" y="33238"/>
                  <a:pt x="78384" y="66477"/>
                  <a:pt x="101204" y="119063"/>
                </a:cubicBezTo>
                <a:cubicBezTo>
                  <a:pt x="124024" y="171649"/>
                  <a:pt x="130473" y="243582"/>
                  <a:pt x="136922" y="315516"/>
                </a:cubicBezTo>
              </a:path>
            </a:pathLst>
          </a:custGeom>
          <a:noFill/>
          <a:ln w="34925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76" name="Прямая соединительная линия 175"/>
          <xdr:cNvCxnSpPr/>
        </xdr:nvCxnSpPr>
        <xdr:spPr>
          <a:xfrm flipV="1">
            <a:off x="2609659" y="56465391"/>
            <a:ext cx="0" cy="618362"/>
          </a:xfrm>
          <a:prstGeom prst="line">
            <a:avLst/>
          </a:prstGeom>
          <a:ln w="34925">
            <a:solidFill>
              <a:schemeClr val="tx1"/>
            </a:solidFill>
            <a:prstDash val="solid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870857</xdr:colOff>
      <xdr:row>46</xdr:row>
      <xdr:rowOff>1377362</xdr:rowOff>
    </xdr:from>
    <xdr:to>
      <xdr:col>4</xdr:col>
      <xdr:colOff>64304</xdr:colOff>
      <xdr:row>46</xdr:row>
      <xdr:rowOff>1485362</xdr:rowOff>
    </xdr:to>
    <xdr:sp macro="" textlink="">
      <xdr:nvSpPr>
        <xdr:cNvPr id="178" name="Овал 177"/>
        <xdr:cNvSpPr>
          <a:spLocks noChangeAspect="1"/>
        </xdr:cNvSpPr>
      </xdr:nvSpPr>
      <xdr:spPr>
        <a:xfrm>
          <a:off x="2547257" y="58651187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3756</xdr:colOff>
      <xdr:row>12</xdr:row>
      <xdr:rowOff>326571</xdr:rowOff>
    </xdr:from>
    <xdr:to>
      <xdr:col>4</xdr:col>
      <xdr:colOff>340179</xdr:colOff>
      <xdr:row>12</xdr:row>
      <xdr:rowOff>1511574</xdr:rowOff>
    </xdr:to>
    <xdr:sp macro="" textlink="">
      <xdr:nvSpPr>
        <xdr:cNvPr id="182" name="Полилиния 181"/>
        <xdr:cNvSpPr/>
      </xdr:nvSpPr>
      <xdr:spPr>
        <a:xfrm>
          <a:off x="2594556" y="11461296"/>
          <a:ext cx="336423" cy="1185003"/>
        </a:xfrm>
        <a:custGeom>
          <a:avLst/>
          <a:gdLst>
            <a:gd name="connsiteX0" fmla="*/ 0 w 271096"/>
            <a:gd name="connsiteY0" fmla="*/ 981808 h 981808"/>
            <a:gd name="connsiteX1" fmla="*/ 80596 w 271096"/>
            <a:gd name="connsiteY1" fmla="*/ 432289 h 981808"/>
            <a:gd name="connsiteX2" fmla="*/ 271096 w 271096"/>
            <a:gd name="connsiteY2" fmla="*/ 0 h 981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1096" h="981808">
              <a:moveTo>
                <a:pt x="0" y="981808"/>
              </a:moveTo>
              <a:cubicBezTo>
                <a:pt x="17706" y="788866"/>
                <a:pt x="35413" y="595924"/>
                <a:pt x="80596" y="432289"/>
              </a:cubicBezTo>
              <a:cubicBezTo>
                <a:pt x="125779" y="268654"/>
                <a:pt x="198437" y="134327"/>
                <a:pt x="27109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721737</xdr:colOff>
      <xdr:row>46</xdr:row>
      <xdr:rowOff>246530</xdr:rowOff>
    </xdr:from>
    <xdr:to>
      <xdr:col>3</xdr:col>
      <xdr:colOff>911679</xdr:colOff>
      <xdr:row>46</xdr:row>
      <xdr:rowOff>1412421</xdr:rowOff>
    </xdr:to>
    <xdr:cxnSp macro="">
      <xdr:nvCxnSpPr>
        <xdr:cNvPr id="183" name="Прямая соединительная линия 182"/>
        <xdr:cNvCxnSpPr/>
      </xdr:nvCxnSpPr>
      <xdr:spPr>
        <a:xfrm>
          <a:off x="2402619" y="55861324"/>
          <a:ext cx="189942" cy="1165891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8583</xdr:colOff>
      <xdr:row>45</xdr:row>
      <xdr:rowOff>630346</xdr:rowOff>
    </xdr:from>
    <xdr:to>
      <xdr:col>4</xdr:col>
      <xdr:colOff>135659</xdr:colOff>
      <xdr:row>45</xdr:row>
      <xdr:rowOff>756452</xdr:rowOff>
    </xdr:to>
    <xdr:grpSp>
      <xdr:nvGrpSpPr>
        <xdr:cNvPr id="199" name="Группа 198"/>
        <xdr:cNvGrpSpPr/>
      </xdr:nvGrpSpPr>
      <xdr:grpSpPr>
        <a:xfrm flipH="1">
          <a:off x="2608348" y="61186934"/>
          <a:ext cx="127076" cy="126106"/>
          <a:chOff x="1132242" y="1306343"/>
          <a:chExt cx="123151" cy="128030"/>
        </a:xfrm>
      </xdr:grpSpPr>
      <xdr:cxnSp macro="">
        <xdr:nvCxnSpPr>
          <xdr:cNvPr id="200" name="Прямая соединительная линия 19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1" name="Прямоугольник 20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5442</xdr:colOff>
      <xdr:row>35</xdr:row>
      <xdr:rowOff>643252</xdr:rowOff>
    </xdr:from>
    <xdr:to>
      <xdr:col>4</xdr:col>
      <xdr:colOff>132181</xdr:colOff>
      <xdr:row>35</xdr:row>
      <xdr:rowOff>765027</xdr:rowOff>
    </xdr:to>
    <xdr:grpSp>
      <xdr:nvGrpSpPr>
        <xdr:cNvPr id="202" name="Группа 201"/>
        <xdr:cNvGrpSpPr/>
      </xdr:nvGrpSpPr>
      <xdr:grpSpPr>
        <a:xfrm rot="10800000" flipV="1">
          <a:off x="2605207" y="44727193"/>
          <a:ext cx="126739" cy="121775"/>
          <a:chOff x="1132242" y="1306343"/>
          <a:chExt cx="123151" cy="128030"/>
        </a:xfrm>
      </xdr:grpSpPr>
      <xdr:cxnSp macro="">
        <xdr:nvCxnSpPr>
          <xdr:cNvPr id="203" name="Прямая соединительная линия 20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4" name="Прямоугольник 20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4082</xdr:colOff>
      <xdr:row>12</xdr:row>
      <xdr:rowOff>1308516</xdr:rowOff>
    </xdr:from>
    <xdr:to>
      <xdr:col>4</xdr:col>
      <xdr:colOff>130821</xdr:colOff>
      <xdr:row>12</xdr:row>
      <xdr:rowOff>1430291</xdr:rowOff>
    </xdr:to>
    <xdr:grpSp>
      <xdr:nvGrpSpPr>
        <xdr:cNvPr id="100" name="Группа 99"/>
        <xdr:cNvGrpSpPr/>
      </xdr:nvGrpSpPr>
      <xdr:grpSpPr>
        <a:xfrm rot="10800000" flipV="1">
          <a:off x="2603847" y="7505369"/>
          <a:ext cx="126739" cy="121775"/>
          <a:chOff x="1132242" y="1306343"/>
          <a:chExt cx="123151" cy="128030"/>
        </a:xfrm>
      </xdr:grpSpPr>
      <xdr:cxnSp macro="">
        <xdr:nvCxnSpPr>
          <xdr:cNvPr id="101" name="Прямая соединительная линия 10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" name="Прямоугольник 10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110217</xdr:colOff>
      <xdr:row>11</xdr:row>
      <xdr:rowOff>712524</xdr:rowOff>
    </xdr:from>
    <xdr:to>
      <xdr:col>4</xdr:col>
      <xdr:colOff>236956</xdr:colOff>
      <xdr:row>11</xdr:row>
      <xdr:rowOff>834299</xdr:rowOff>
    </xdr:to>
    <xdr:grpSp>
      <xdr:nvGrpSpPr>
        <xdr:cNvPr id="103" name="Группа 102"/>
        <xdr:cNvGrpSpPr/>
      </xdr:nvGrpSpPr>
      <xdr:grpSpPr>
        <a:xfrm rot="10800000" flipV="1">
          <a:off x="2709982" y="5262112"/>
          <a:ext cx="126739" cy="121775"/>
          <a:chOff x="1132242" y="1306343"/>
          <a:chExt cx="123151" cy="128030"/>
        </a:xfrm>
      </xdr:grpSpPr>
      <xdr:cxnSp macro="">
        <xdr:nvCxnSpPr>
          <xdr:cNvPr id="104" name="Прямая соединительная линия 10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5" name="Прямоугольник 10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4082</xdr:colOff>
      <xdr:row>16</xdr:row>
      <xdr:rowOff>668981</xdr:rowOff>
    </xdr:from>
    <xdr:to>
      <xdr:col>4</xdr:col>
      <xdr:colOff>130821</xdr:colOff>
      <xdr:row>16</xdr:row>
      <xdr:rowOff>790756</xdr:rowOff>
    </xdr:to>
    <xdr:grpSp>
      <xdr:nvGrpSpPr>
        <xdr:cNvPr id="205" name="Группа 204"/>
        <xdr:cNvGrpSpPr/>
      </xdr:nvGrpSpPr>
      <xdr:grpSpPr>
        <a:xfrm rot="10800000" flipV="1">
          <a:off x="2603847" y="13454893"/>
          <a:ext cx="126739" cy="121775"/>
          <a:chOff x="1132242" y="1306343"/>
          <a:chExt cx="123151" cy="128030"/>
        </a:xfrm>
      </xdr:grpSpPr>
      <xdr:cxnSp macro="">
        <xdr:nvCxnSpPr>
          <xdr:cNvPr id="206" name="Прямая соединительная линия 20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7" name="Прямоугольник 20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4082</xdr:colOff>
      <xdr:row>17</xdr:row>
      <xdr:rowOff>560123</xdr:rowOff>
    </xdr:from>
    <xdr:to>
      <xdr:col>4</xdr:col>
      <xdr:colOff>130821</xdr:colOff>
      <xdr:row>17</xdr:row>
      <xdr:rowOff>681898</xdr:rowOff>
    </xdr:to>
    <xdr:grpSp>
      <xdr:nvGrpSpPr>
        <xdr:cNvPr id="208" name="Группа 207"/>
        <xdr:cNvGrpSpPr/>
      </xdr:nvGrpSpPr>
      <xdr:grpSpPr>
        <a:xfrm rot="10800000" flipV="1">
          <a:off x="2603847" y="14993299"/>
          <a:ext cx="126739" cy="121775"/>
          <a:chOff x="1132242" y="1306343"/>
          <a:chExt cx="123151" cy="128030"/>
        </a:xfrm>
      </xdr:grpSpPr>
      <xdr:cxnSp macro="">
        <xdr:nvCxnSpPr>
          <xdr:cNvPr id="209" name="Прямая соединительная линия 20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0" name="Прямоугольник 20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4082</xdr:colOff>
      <xdr:row>19</xdr:row>
      <xdr:rowOff>709802</xdr:rowOff>
    </xdr:from>
    <xdr:to>
      <xdr:col>4</xdr:col>
      <xdr:colOff>130821</xdr:colOff>
      <xdr:row>19</xdr:row>
      <xdr:rowOff>831577</xdr:rowOff>
    </xdr:to>
    <xdr:grpSp>
      <xdr:nvGrpSpPr>
        <xdr:cNvPr id="211" name="Группа 210"/>
        <xdr:cNvGrpSpPr/>
      </xdr:nvGrpSpPr>
      <xdr:grpSpPr>
        <a:xfrm rot="10800000" flipV="1">
          <a:off x="2603847" y="18437508"/>
          <a:ext cx="126739" cy="121775"/>
          <a:chOff x="1132242" y="1306343"/>
          <a:chExt cx="123151" cy="128030"/>
        </a:xfrm>
      </xdr:grpSpPr>
      <xdr:cxnSp macro="">
        <xdr:nvCxnSpPr>
          <xdr:cNvPr id="212" name="Прямая соединительная линия 21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3" name="Прямоугольник 21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0</xdr:col>
      <xdr:colOff>340178</xdr:colOff>
      <xdr:row>0</xdr:row>
      <xdr:rowOff>190500</xdr:rowOff>
    </xdr:from>
    <xdr:to>
      <xdr:col>2</xdr:col>
      <xdr:colOff>329973</xdr:colOff>
      <xdr:row>3</xdr:row>
      <xdr:rowOff>46377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90500"/>
          <a:ext cx="1023938" cy="509020"/>
        </a:xfrm>
        <a:prstGeom prst="rect">
          <a:avLst/>
        </a:prstGeom>
      </xdr:spPr>
    </xdr:pic>
    <xdr:clientData/>
  </xdr:twoCellAnchor>
  <xdr:twoCellAnchor editAs="oneCell">
    <xdr:from>
      <xdr:col>6</xdr:col>
      <xdr:colOff>563335</xdr:colOff>
      <xdr:row>9</xdr:row>
      <xdr:rowOff>57442</xdr:rowOff>
    </xdr:from>
    <xdr:to>
      <xdr:col>7</xdr:col>
      <xdr:colOff>313677</xdr:colOff>
      <xdr:row>9</xdr:row>
      <xdr:rowOff>525442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156" y="1309299"/>
          <a:ext cx="471521" cy="468000"/>
        </a:xfrm>
        <a:prstGeom prst="rect">
          <a:avLst/>
        </a:prstGeom>
      </xdr:spPr>
    </xdr:pic>
    <xdr:clientData/>
  </xdr:twoCellAnchor>
  <xdr:oneCellAnchor>
    <xdr:from>
      <xdr:col>5</xdr:col>
      <xdr:colOff>533400</xdr:colOff>
      <xdr:row>9</xdr:row>
      <xdr:rowOff>47918</xdr:rowOff>
    </xdr:from>
    <xdr:ext cx="468000" cy="468000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043" y="1299775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80926</xdr:colOff>
      <xdr:row>52</xdr:row>
      <xdr:rowOff>117696</xdr:rowOff>
    </xdr:from>
    <xdr:ext cx="612000" cy="612000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562" y="44157832"/>
          <a:ext cx="612000" cy="612000"/>
        </a:xfrm>
        <a:prstGeom prst="rect">
          <a:avLst/>
        </a:prstGeom>
      </xdr:spPr>
    </xdr:pic>
    <xdr:clientData/>
  </xdr:oneCellAnchor>
  <xdr:twoCellAnchor>
    <xdr:from>
      <xdr:col>3</xdr:col>
      <xdr:colOff>854962</xdr:colOff>
      <xdr:row>52</xdr:row>
      <xdr:rowOff>1424414</xdr:rowOff>
    </xdr:from>
    <xdr:to>
      <xdr:col>4</xdr:col>
      <xdr:colOff>45098</xdr:colOff>
      <xdr:row>52</xdr:row>
      <xdr:rowOff>1532414</xdr:rowOff>
    </xdr:to>
    <xdr:sp macro="" textlink="">
      <xdr:nvSpPr>
        <xdr:cNvPr id="218" name="Овал 217"/>
        <xdr:cNvSpPr>
          <a:spLocks noChangeAspect="1"/>
        </xdr:cNvSpPr>
      </xdr:nvSpPr>
      <xdr:spPr>
        <a:xfrm rot="5400000">
          <a:off x="2539155" y="68537936"/>
          <a:ext cx="108000" cy="1018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1233</xdr:colOff>
      <xdr:row>52</xdr:row>
      <xdr:rowOff>116682</xdr:rowOff>
    </xdr:from>
    <xdr:to>
      <xdr:col>4</xdr:col>
      <xdr:colOff>1233</xdr:colOff>
      <xdr:row>52</xdr:row>
      <xdr:rowOff>1479948</xdr:rowOff>
    </xdr:to>
    <xdr:cxnSp macro="">
      <xdr:nvCxnSpPr>
        <xdr:cNvPr id="219" name="Прямая соединительная линия 218"/>
        <xdr:cNvCxnSpPr/>
      </xdr:nvCxnSpPr>
      <xdr:spPr>
        <a:xfrm>
          <a:off x="2600197" y="67227111"/>
          <a:ext cx="0" cy="1363266"/>
        </a:xfrm>
        <a:prstGeom prst="line">
          <a:avLst/>
        </a:prstGeom>
        <a:ln w="34925">
          <a:solidFill>
            <a:schemeClr val="tx1"/>
          </a:solidFill>
          <a:prstDash val="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313788</xdr:colOff>
      <xdr:row>52</xdr:row>
      <xdr:rowOff>838263</xdr:rowOff>
    </xdr:from>
    <xdr:to>
      <xdr:col>4</xdr:col>
      <xdr:colOff>421788</xdr:colOff>
      <xdr:row>52</xdr:row>
      <xdr:rowOff>946263</xdr:rowOff>
    </xdr:to>
    <xdr:sp macro="" textlink="">
      <xdr:nvSpPr>
        <xdr:cNvPr id="223" name="Овал 222"/>
        <xdr:cNvSpPr>
          <a:spLocks noChangeAspect="1"/>
        </xdr:cNvSpPr>
      </xdr:nvSpPr>
      <xdr:spPr>
        <a:xfrm rot="5400000">
          <a:off x="2912752" y="6794869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13220</xdr:colOff>
      <xdr:row>52</xdr:row>
      <xdr:rowOff>760001</xdr:rowOff>
    </xdr:from>
    <xdr:to>
      <xdr:col>4</xdr:col>
      <xdr:colOff>140296</xdr:colOff>
      <xdr:row>52</xdr:row>
      <xdr:rowOff>886107</xdr:rowOff>
    </xdr:to>
    <xdr:grpSp>
      <xdr:nvGrpSpPr>
        <xdr:cNvPr id="184" name="Группа 183"/>
        <xdr:cNvGrpSpPr/>
      </xdr:nvGrpSpPr>
      <xdr:grpSpPr>
        <a:xfrm flipH="1">
          <a:off x="2612985" y="72847442"/>
          <a:ext cx="127076" cy="126106"/>
          <a:chOff x="1132242" y="1306343"/>
          <a:chExt cx="123151" cy="128030"/>
        </a:xfrm>
      </xdr:grpSpPr>
      <xdr:cxnSp macro="">
        <xdr:nvCxnSpPr>
          <xdr:cNvPr id="185" name="Прямая соединительная линия 18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6" name="Прямоугольник 18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895350</xdr:colOff>
      <xdr:row>46</xdr:row>
      <xdr:rowOff>1343025</xdr:rowOff>
    </xdr:from>
    <xdr:to>
      <xdr:col>4</xdr:col>
      <xdr:colOff>523875</xdr:colOff>
      <xdr:row>46</xdr:row>
      <xdr:rowOff>1428750</xdr:rowOff>
    </xdr:to>
    <xdr:cxnSp macro="">
      <xdr:nvCxnSpPr>
        <xdr:cNvPr id="8" name="Прямая соединительная линия 7"/>
        <xdr:cNvCxnSpPr/>
      </xdr:nvCxnSpPr>
      <xdr:spPr>
        <a:xfrm flipH="1">
          <a:off x="2571750" y="56969025"/>
          <a:ext cx="542925" cy="857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46</xdr:row>
      <xdr:rowOff>171450</xdr:rowOff>
    </xdr:from>
    <xdr:to>
      <xdr:col>4</xdr:col>
      <xdr:colOff>216354</xdr:colOff>
      <xdr:row>46</xdr:row>
      <xdr:rowOff>1440996</xdr:rowOff>
    </xdr:to>
    <xdr:cxnSp macro="">
      <xdr:nvCxnSpPr>
        <xdr:cNvPr id="189" name="Прямая соединительная линия 188"/>
        <xdr:cNvCxnSpPr/>
      </xdr:nvCxnSpPr>
      <xdr:spPr>
        <a:xfrm flipH="1">
          <a:off x="2600325" y="55797450"/>
          <a:ext cx="206829" cy="126954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13607</xdr:colOff>
      <xdr:row>46</xdr:row>
      <xdr:rowOff>1290826</xdr:rowOff>
    </xdr:from>
    <xdr:to>
      <xdr:col>4</xdr:col>
      <xdr:colOff>140346</xdr:colOff>
      <xdr:row>46</xdr:row>
      <xdr:rowOff>1412601</xdr:rowOff>
    </xdr:to>
    <xdr:grpSp>
      <xdr:nvGrpSpPr>
        <xdr:cNvPr id="179" name="Группа 178"/>
        <xdr:cNvGrpSpPr/>
      </xdr:nvGrpSpPr>
      <xdr:grpSpPr>
        <a:xfrm rot="10800000" flipV="1">
          <a:off x="2613372" y="63494679"/>
          <a:ext cx="126739" cy="121775"/>
          <a:chOff x="1132242" y="1306343"/>
          <a:chExt cx="123151" cy="128030"/>
        </a:xfrm>
      </xdr:grpSpPr>
      <xdr:cxnSp macro="">
        <xdr:nvCxnSpPr>
          <xdr:cNvPr id="180" name="Прямая соединительная линия 17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1" name="Прямоугольник 18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870762</xdr:colOff>
      <xdr:row>48</xdr:row>
      <xdr:rowOff>1442288</xdr:rowOff>
    </xdr:from>
    <xdr:to>
      <xdr:col>4</xdr:col>
      <xdr:colOff>63343</xdr:colOff>
      <xdr:row>48</xdr:row>
      <xdr:rowOff>1550288</xdr:rowOff>
    </xdr:to>
    <xdr:sp macro="" textlink="">
      <xdr:nvSpPr>
        <xdr:cNvPr id="197" name="Овал 196"/>
        <xdr:cNvSpPr>
          <a:spLocks noChangeAspect="1"/>
        </xdr:cNvSpPr>
      </xdr:nvSpPr>
      <xdr:spPr>
        <a:xfrm rot="5400000">
          <a:off x="2541683" y="60375215"/>
          <a:ext cx="108000" cy="10366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11585</xdr:colOff>
      <xdr:row>48</xdr:row>
      <xdr:rowOff>831128</xdr:rowOff>
    </xdr:from>
    <xdr:to>
      <xdr:col>4</xdr:col>
      <xdr:colOff>11585</xdr:colOff>
      <xdr:row>48</xdr:row>
      <xdr:rowOff>1456412</xdr:rowOff>
    </xdr:to>
    <xdr:cxnSp macro="">
      <xdr:nvCxnSpPr>
        <xdr:cNvPr id="198" name="Прямая соединительная линия 197"/>
        <xdr:cNvCxnSpPr/>
      </xdr:nvCxnSpPr>
      <xdr:spPr>
        <a:xfrm>
          <a:off x="2595759" y="59761889"/>
          <a:ext cx="0" cy="625284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289891</xdr:colOff>
      <xdr:row>48</xdr:row>
      <xdr:rowOff>825211</xdr:rowOff>
    </xdr:from>
    <xdr:to>
      <xdr:col>4</xdr:col>
      <xdr:colOff>8283</xdr:colOff>
      <xdr:row>48</xdr:row>
      <xdr:rowOff>887053</xdr:rowOff>
    </xdr:to>
    <xdr:cxnSp macro="">
      <xdr:nvCxnSpPr>
        <xdr:cNvPr id="220" name="Прямая соединительная линия 219"/>
        <xdr:cNvCxnSpPr/>
      </xdr:nvCxnSpPr>
      <xdr:spPr>
        <a:xfrm flipV="1">
          <a:off x="1962978" y="59755972"/>
          <a:ext cx="629479" cy="6184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832942</xdr:colOff>
      <xdr:row>48</xdr:row>
      <xdr:rowOff>140804</xdr:rowOff>
    </xdr:from>
    <xdr:to>
      <xdr:col>4</xdr:col>
      <xdr:colOff>12223</xdr:colOff>
      <xdr:row>48</xdr:row>
      <xdr:rowOff>833624</xdr:rowOff>
    </xdr:to>
    <xdr:cxnSp macro="">
      <xdr:nvCxnSpPr>
        <xdr:cNvPr id="226" name="Прямая соединительная линия 225"/>
        <xdr:cNvCxnSpPr/>
      </xdr:nvCxnSpPr>
      <xdr:spPr>
        <a:xfrm>
          <a:off x="2506029" y="59071565"/>
          <a:ext cx="90368" cy="692820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9036</xdr:colOff>
      <xdr:row>48</xdr:row>
      <xdr:rowOff>404701</xdr:rowOff>
    </xdr:from>
    <xdr:to>
      <xdr:col>4</xdr:col>
      <xdr:colOff>621196</xdr:colOff>
      <xdr:row>48</xdr:row>
      <xdr:rowOff>826933</xdr:rowOff>
    </xdr:to>
    <xdr:cxnSp macro="">
      <xdr:nvCxnSpPr>
        <xdr:cNvPr id="228" name="Прямая соединительная линия 227"/>
        <xdr:cNvCxnSpPr/>
      </xdr:nvCxnSpPr>
      <xdr:spPr>
        <a:xfrm flipH="1">
          <a:off x="2593210" y="59335462"/>
          <a:ext cx="612160" cy="422232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8583</xdr:colOff>
      <xdr:row>48</xdr:row>
      <xdr:rowOff>820097</xdr:rowOff>
    </xdr:from>
    <xdr:to>
      <xdr:col>4</xdr:col>
      <xdr:colOff>135659</xdr:colOff>
      <xdr:row>48</xdr:row>
      <xdr:rowOff>946203</xdr:rowOff>
    </xdr:to>
    <xdr:grpSp>
      <xdr:nvGrpSpPr>
        <xdr:cNvPr id="222" name="Группа 221"/>
        <xdr:cNvGrpSpPr/>
      </xdr:nvGrpSpPr>
      <xdr:grpSpPr>
        <a:xfrm flipH="1" flipV="1">
          <a:off x="2608348" y="66318479"/>
          <a:ext cx="127076" cy="126106"/>
          <a:chOff x="1132242" y="1306343"/>
          <a:chExt cx="123151" cy="128030"/>
        </a:xfrm>
      </xdr:grpSpPr>
      <xdr:cxnSp macro="">
        <xdr:nvCxnSpPr>
          <xdr:cNvPr id="224" name="Прямая соединительная линия 22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5" name="Прямоугольник 22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870762</xdr:colOff>
      <xdr:row>49</xdr:row>
      <xdr:rowOff>1405019</xdr:rowOff>
    </xdr:from>
    <xdr:to>
      <xdr:col>4</xdr:col>
      <xdr:colOff>63343</xdr:colOff>
      <xdr:row>49</xdr:row>
      <xdr:rowOff>1513019</xdr:rowOff>
    </xdr:to>
    <xdr:sp macro="" textlink="">
      <xdr:nvSpPr>
        <xdr:cNvPr id="230" name="Овал 229"/>
        <xdr:cNvSpPr>
          <a:spLocks noChangeAspect="1"/>
        </xdr:cNvSpPr>
      </xdr:nvSpPr>
      <xdr:spPr>
        <a:xfrm rot="5400000">
          <a:off x="2556178" y="61931460"/>
          <a:ext cx="108000" cy="1042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11585</xdr:colOff>
      <xdr:row>49</xdr:row>
      <xdr:rowOff>835269</xdr:rowOff>
    </xdr:from>
    <xdr:to>
      <xdr:col>4</xdr:col>
      <xdr:colOff>11585</xdr:colOff>
      <xdr:row>49</xdr:row>
      <xdr:rowOff>1460553</xdr:rowOff>
    </xdr:to>
    <xdr:cxnSp macro="">
      <xdr:nvCxnSpPr>
        <xdr:cNvPr id="231" name="Прямая соединительная линия 230"/>
        <xdr:cNvCxnSpPr/>
      </xdr:nvCxnSpPr>
      <xdr:spPr>
        <a:xfrm>
          <a:off x="2610549" y="61359840"/>
          <a:ext cx="0" cy="625284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215348</xdr:colOff>
      <xdr:row>49</xdr:row>
      <xdr:rowOff>829351</xdr:rowOff>
    </xdr:from>
    <xdr:to>
      <xdr:col>4</xdr:col>
      <xdr:colOff>690544</xdr:colOff>
      <xdr:row>49</xdr:row>
      <xdr:rowOff>829351</xdr:rowOff>
    </xdr:to>
    <xdr:cxnSp macro="">
      <xdr:nvCxnSpPr>
        <xdr:cNvPr id="232" name="Прямая соединительная линия 231"/>
        <xdr:cNvCxnSpPr/>
      </xdr:nvCxnSpPr>
      <xdr:spPr>
        <a:xfrm>
          <a:off x="1888435" y="61408351"/>
          <a:ext cx="138628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832201</xdr:colOff>
      <xdr:row>49</xdr:row>
      <xdr:rowOff>204198</xdr:rowOff>
    </xdr:from>
    <xdr:to>
      <xdr:col>3</xdr:col>
      <xdr:colOff>832201</xdr:colOff>
      <xdr:row>49</xdr:row>
      <xdr:rowOff>829482</xdr:rowOff>
    </xdr:to>
    <xdr:cxnSp macro="">
      <xdr:nvCxnSpPr>
        <xdr:cNvPr id="233" name="Прямая соединительная линия 232"/>
        <xdr:cNvCxnSpPr/>
      </xdr:nvCxnSpPr>
      <xdr:spPr>
        <a:xfrm>
          <a:off x="2505288" y="60783198"/>
          <a:ext cx="0" cy="625284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158123</xdr:colOff>
      <xdr:row>49</xdr:row>
      <xdr:rowOff>835269</xdr:rowOff>
    </xdr:from>
    <xdr:to>
      <xdr:col>4</xdr:col>
      <xdr:colOff>158123</xdr:colOff>
      <xdr:row>49</xdr:row>
      <xdr:rowOff>1460553</xdr:rowOff>
    </xdr:to>
    <xdr:cxnSp macro="">
      <xdr:nvCxnSpPr>
        <xdr:cNvPr id="234" name="Прямая соединительная линия 233"/>
        <xdr:cNvCxnSpPr/>
      </xdr:nvCxnSpPr>
      <xdr:spPr>
        <a:xfrm>
          <a:off x="2757087" y="61359840"/>
          <a:ext cx="0" cy="625284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18911</xdr:colOff>
      <xdr:row>49</xdr:row>
      <xdr:rowOff>835269</xdr:rowOff>
    </xdr:from>
    <xdr:to>
      <xdr:col>4</xdr:col>
      <xdr:colOff>828536</xdr:colOff>
      <xdr:row>49</xdr:row>
      <xdr:rowOff>1463919</xdr:rowOff>
    </xdr:to>
    <xdr:sp macro="" textlink="">
      <xdr:nvSpPr>
        <xdr:cNvPr id="235" name="Полилиния 234"/>
        <xdr:cNvSpPr/>
      </xdr:nvSpPr>
      <xdr:spPr>
        <a:xfrm flipH="1">
          <a:off x="2617875" y="61359840"/>
          <a:ext cx="809625" cy="62865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8583</xdr:colOff>
      <xdr:row>49</xdr:row>
      <xdr:rowOff>708277</xdr:rowOff>
    </xdr:from>
    <xdr:to>
      <xdr:col>4</xdr:col>
      <xdr:colOff>135659</xdr:colOff>
      <xdr:row>49</xdr:row>
      <xdr:rowOff>834383</xdr:rowOff>
    </xdr:to>
    <xdr:grpSp>
      <xdr:nvGrpSpPr>
        <xdr:cNvPr id="236" name="Группа 235"/>
        <xdr:cNvGrpSpPr/>
      </xdr:nvGrpSpPr>
      <xdr:grpSpPr>
        <a:xfrm flipH="1">
          <a:off x="2608348" y="67853924"/>
          <a:ext cx="127076" cy="126106"/>
          <a:chOff x="1132242" y="1306343"/>
          <a:chExt cx="123151" cy="128030"/>
        </a:xfrm>
      </xdr:grpSpPr>
      <xdr:cxnSp macro="">
        <xdr:nvCxnSpPr>
          <xdr:cNvPr id="237" name="Прямая соединительная линия 23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8" name="Прямоугольник 23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8283</xdr:colOff>
      <xdr:row>48</xdr:row>
      <xdr:rowOff>364435</xdr:rowOff>
    </xdr:from>
    <xdr:to>
      <xdr:col>4</xdr:col>
      <xdr:colOff>687456</xdr:colOff>
      <xdr:row>48</xdr:row>
      <xdr:rowOff>1474304</xdr:rowOff>
    </xdr:to>
    <xdr:sp macro="" textlink="">
      <xdr:nvSpPr>
        <xdr:cNvPr id="69" name="Полилиния 68"/>
        <xdr:cNvSpPr/>
      </xdr:nvSpPr>
      <xdr:spPr>
        <a:xfrm>
          <a:off x="2592457" y="59295196"/>
          <a:ext cx="679173" cy="1109869"/>
        </a:xfrm>
        <a:custGeom>
          <a:avLst/>
          <a:gdLst>
            <a:gd name="connsiteX0" fmla="*/ 0 w 679173"/>
            <a:gd name="connsiteY0" fmla="*/ 1109869 h 1109869"/>
            <a:gd name="connsiteX1" fmla="*/ 0 w 679173"/>
            <a:gd name="connsiteY1" fmla="*/ 455543 h 1109869"/>
            <a:gd name="connsiteX2" fmla="*/ 679173 w 679173"/>
            <a:gd name="connsiteY2" fmla="*/ 0 h 11098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173" h="1109869">
              <a:moveTo>
                <a:pt x="0" y="1109869"/>
              </a:moveTo>
              <a:lnTo>
                <a:pt x="0" y="455543"/>
              </a:lnTo>
              <a:lnTo>
                <a:pt x="679173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4082</xdr:colOff>
      <xdr:row>13</xdr:row>
      <xdr:rowOff>837069</xdr:rowOff>
    </xdr:from>
    <xdr:to>
      <xdr:col>4</xdr:col>
      <xdr:colOff>130821</xdr:colOff>
      <xdr:row>13</xdr:row>
      <xdr:rowOff>958844</xdr:rowOff>
    </xdr:to>
    <xdr:grpSp>
      <xdr:nvGrpSpPr>
        <xdr:cNvPr id="192" name="Группа 191"/>
        <xdr:cNvGrpSpPr/>
      </xdr:nvGrpSpPr>
      <xdr:grpSpPr>
        <a:xfrm rot="10800000" flipV="1">
          <a:off x="2603847" y="8681187"/>
          <a:ext cx="126739" cy="121775"/>
          <a:chOff x="1132242" y="1306343"/>
          <a:chExt cx="123151" cy="128030"/>
        </a:xfrm>
      </xdr:grpSpPr>
      <xdr:cxnSp macro="">
        <xdr:nvCxnSpPr>
          <xdr:cNvPr id="193" name="Прямая соединительная линия 19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4" name="Прямоугольник 19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4082</xdr:colOff>
      <xdr:row>31</xdr:row>
      <xdr:rowOff>709802</xdr:rowOff>
    </xdr:from>
    <xdr:to>
      <xdr:col>4</xdr:col>
      <xdr:colOff>130821</xdr:colOff>
      <xdr:row>31</xdr:row>
      <xdr:rowOff>831577</xdr:rowOff>
    </xdr:to>
    <xdr:grpSp>
      <xdr:nvGrpSpPr>
        <xdr:cNvPr id="195" name="Группа 194"/>
        <xdr:cNvGrpSpPr/>
      </xdr:nvGrpSpPr>
      <xdr:grpSpPr>
        <a:xfrm rot="10800000" flipV="1">
          <a:off x="2603847" y="38204684"/>
          <a:ext cx="126739" cy="121775"/>
          <a:chOff x="1132242" y="1306343"/>
          <a:chExt cx="123151" cy="128030"/>
        </a:xfrm>
      </xdr:grpSpPr>
      <xdr:cxnSp macro="">
        <xdr:nvCxnSpPr>
          <xdr:cNvPr id="196" name="Прямая соединительная линия 19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1" name="Прямоугольник 22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1536</xdr:colOff>
      <xdr:row>17</xdr:row>
      <xdr:rowOff>275896</xdr:rowOff>
    </xdr:from>
    <xdr:to>
      <xdr:col>10</xdr:col>
      <xdr:colOff>51289</xdr:colOff>
      <xdr:row>19</xdr:row>
      <xdr:rowOff>183931</xdr:rowOff>
    </xdr:to>
    <xdr:sp macro="" textlink="">
      <xdr:nvSpPr>
        <xdr:cNvPr id="7" name="Полилиния 6"/>
        <xdr:cNvSpPr/>
      </xdr:nvSpPr>
      <xdr:spPr>
        <a:xfrm>
          <a:off x="1676622" y="4617982"/>
          <a:ext cx="1166477" cy="328449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1536</xdr:colOff>
      <xdr:row>19</xdr:row>
      <xdr:rowOff>275896</xdr:rowOff>
    </xdr:from>
    <xdr:to>
      <xdr:col>10</xdr:col>
      <xdr:colOff>51289</xdr:colOff>
      <xdr:row>21</xdr:row>
      <xdr:rowOff>183931</xdr:rowOff>
    </xdr:to>
    <xdr:sp macro="" textlink="">
      <xdr:nvSpPr>
        <xdr:cNvPr id="8" name="Полилиния 7"/>
        <xdr:cNvSpPr/>
      </xdr:nvSpPr>
      <xdr:spPr>
        <a:xfrm>
          <a:off x="1676622" y="5038396"/>
          <a:ext cx="1166477" cy="328449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1536</xdr:colOff>
      <xdr:row>27</xdr:row>
      <xdr:rowOff>289035</xdr:rowOff>
    </xdr:from>
    <xdr:to>
      <xdr:col>10</xdr:col>
      <xdr:colOff>51289</xdr:colOff>
      <xdr:row>33</xdr:row>
      <xdr:rowOff>183931</xdr:rowOff>
    </xdr:to>
    <xdr:sp macro="" textlink="">
      <xdr:nvSpPr>
        <xdr:cNvPr id="10" name="Полилиния 9"/>
        <xdr:cNvSpPr/>
      </xdr:nvSpPr>
      <xdr:spPr>
        <a:xfrm>
          <a:off x="1676622" y="6733190"/>
          <a:ext cx="1166477" cy="1287517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1536</xdr:colOff>
      <xdr:row>33</xdr:row>
      <xdr:rowOff>275896</xdr:rowOff>
    </xdr:from>
    <xdr:to>
      <xdr:col>10</xdr:col>
      <xdr:colOff>51289</xdr:colOff>
      <xdr:row>35</xdr:row>
      <xdr:rowOff>183931</xdr:rowOff>
    </xdr:to>
    <xdr:sp macro="" textlink="">
      <xdr:nvSpPr>
        <xdr:cNvPr id="11" name="Полилиния 10"/>
        <xdr:cNvSpPr/>
      </xdr:nvSpPr>
      <xdr:spPr>
        <a:xfrm>
          <a:off x="1676622" y="8112672"/>
          <a:ext cx="1166477" cy="328449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5443</xdr:colOff>
      <xdr:row>5</xdr:row>
      <xdr:rowOff>179614</xdr:rowOff>
    </xdr:from>
    <xdr:to>
      <xdr:col>10</xdr:col>
      <xdr:colOff>48986</xdr:colOff>
      <xdr:row>11</xdr:row>
      <xdr:rowOff>161192</xdr:rowOff>
    </xdr:to>
    <xdr:sp macro="" textlink="">
      <xdr:nvSpPr>
        <xdr:cNvPr id="3" name="Полилиния 2"/>
        <xdr:cNvSpPr/>
      </xdr:nvSpPr>
      <xdr:spPr>
        <a:xfrm>
          <a:off x="1697962" y="1088152"/>
          <a:ext cx="1171889" cy="1388348"/>
        </a:xfrm>
        <a:custGeom>
          <a:avLst/>
          <a:gdLst>
            <a:gd name="connsiteX0" fmla="*/ 1110343 w 1164771"/>
            <a:gd name="connsiteY0" fmla="*/ 0 h 435429"/>
            <a:gd name="connsiteX1" fmla="*/ 1164771 w 1164771"/>
            <a:gd name="connsiteY1" fmla="*/ 0 h 435429"/>
            <a:gd name="connsiteX2" fmla="*/ 1164771 w 1164771"/>
            <a:gd name="connsiteY2" fmla="*/ 435429 h 435429"/>
            <a:gd name="connsiteX3" fmla="*/ 0 w 1164771"/>
            <a:gd name="connsiteY3" fmla="*/ 435429 h 4354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64771" h="435429">
              <a:moveTo>
                <a:pt x="1110343" y="0"/>
              </a:moveTo>
              <a:lnTo>
                <a:pt x="1164771" y="0"/>
              </a:lnTo>
              <a:lnTo>
                <a:pt x="1164771" y="435429"/>
              </a:lnTo>
              <a:lnTo>
                <a:pt x="0" y="43542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5443</xdr:colOff>
      <xdr:row>13</xdr:row>
      <xdr:rowOff>173045</xdr:rowOff>
    </xdr:from>
    <xdr:to>
      <xdr:col>10</xdr:col>
      <xdr:colOff>48986</xdr:colOff>
      <xdr:row>17</xdr:row>
      <xdr:rowOff>177362</xdr:rowOff>
    </xdr:to>
    <xdr:sp macro="" textlink="">
      <xdr:nvSpPr>
        <xdr:cNvPr id="16" name="Полилиния 15"/>
        <xdr:cNvSpPr/>
      </xdr:nvSpPr>
      <xdr:spPr>
        <a:xfrm>
          <a:off x="1680529" y="2899166"/>
          <a:ext cx="1160267" cy="897696"/>
        </a:xfrm>
        <a:custGeom>
          <a:avLst/>
          <a:gdLst>
            <a:gd name="connsiteX0" fmla="*/ 1110343 w 1164771"/>
            <a:gd name="connsiteY0" fmla="*/ 0 h 435429"/>
            <a:gd name="connsiteX1" fmla="*/ 1164771 w 1164771"/>
            <a:gd name="connsiteY1" fmla="*/ 0 h 435429"/>
            <a:gd name="connsiteX2" fmla="*/ 1164771 w 1164771"/>
            <a:gd name="connsiteY2" fmla="*/ 435429 h 435429"/>
            <a:gd name="connsiteX3" fmla="*/ 0 w 1164771"/>
            <a:gd name="connsiteY3" fmla="*/ 435429 h 4354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64771" h="435429">
              <a:moveTo>
                <a:pt x="1110343" y="0"/>
              </a:moveTo>
              <a:lnTo>
                <a:pt x="1164771" y="0"/>
              </a:lnTo>
              <a:lnTo>
                <a:pt x="1164771" y="435429"/>
              </a:lnTo>
              <a:lnTo>
                <a:pt x="0" y="43542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5443</xdr:colOff>
      <xdr:row>23</xdr:row>
      <xdr:rowOff>179615</xdr:rowOff>
    </xdr:from>
    <xdr:to>
      <xdr:col>10</xdr:col>
      <xdr:colOff>48986</xdr:colOff>
      <xdr:row>27</xdr:row>
      <xdr:rowOff>183931</xdr:rowOff>
    </xdr:to>
    <xdr:sp macro="" textlink="">
      <xdr:nvSpPr>
        <xdr:cNvPr id="18" name="Полилиния 17"/>
        <xdr:cNvSpPr/>
      </xdr:nvSpPr>
      <xdr:spPr>
        <a:xfrm>
          <a:off x="1680529" y="5073494"/>
          <a:ext cx="1160267" cy="897696"/>
        </a:xfrm>
        <a:custGeom>
          <a:avLst/>
          <a:gdLst>
            <a:gd name="connsiteX0" fmla="*/ 1110343 w 1164771"/>
            <a:gd name="connsiteY0" fmla="*/ 0 h 435429"/>
            <a:gd name="connsiteX1" fmla="*/ 1164771 w 1164771"/>
            <a:gd name="connsiteY1" fmla="*/ 0 h 435429"/>
            <a:gd name="connsiteX2" fmla="*/ 1164771 w 1164771"/>
            <a:gd name="connsiteY2" fmla="*/ 435429 h 435429"/>
            <a:gd name="connsiteX3" fmla="*/ 0 w 1164771"/>
            <a:gd name="connsiteY3" fmla="*/ 435429 h 4354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64771" h="435429">
              <a:moveTo>
                <a:pt x="1110343" y="0"/>
              </a:moveTo>
              <a:lnTo>
                <a:pt x="1164771" y="0"/>
              </a:lnTo>
              <a:lnTo>
                <a:pt x="1164771" y="435429"/>
              </a:lnTo>
              <a:lnTo>
                <a:pt x="0" y="43542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1536</xdr:colOff>
      <xdr:row>17</xdr:row>
      <xdr:rowOff>275896</xdr:rowOff>
    </xdr:from>
    <xdr:to>
      <xdr:col>23</xdr:col>
      <xdr:colOff>51289</xdr:colOff>
      <xdr:row>19</xdr:row>
      <xdr:rowOff>183931</xdr:rowOff>
    </xdr:to>
    <xdr:sp macro="" textlink="">
      <xdr:nvSpPr>
        <xdr:cNvPr id="17" name="Полилиния 16"/>
        <xdr:cNvSpPr/>
      </xdr:nvSpPr>
      <xdr:spPr>
        <a:xfrm>
          <a:off x="1691188" y="3721461"/>
          <a:ext cx="1176188" cy="289035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1536</xdr:colOff>
      <xdr:row>19</xdr:row>
      <xdr:rowOff>275896</xdr:rowOff>
    </xdr:from>
    <xdr:to>
      <xdr:col>23</xdr:col>
      <xdr:colOff>51289</xdr:colOff>
      <xdr:row>21</xdr:row>
      <xdr:rowOff>183931</xdr:rowOff>
    </xdr:to>
    <xdr:sp macro="" textlink="">
      <xdr:nvSpPr>
        <xdr:cNvPr id="20" name="Полилиния 19"/>
        <xdr:cNvSpPr/>
      </xdr:nvSpPr>
      <xdr:spPr>
        <a:xfrm>
          <a:off x="1691188" y="4102461"/>
          <a:ext cx="1176188" cy="289035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1536</xdr:colOff>
      <xdr:row>27</xdr:row>
      <xdr:rowOff>289035</xdr:rowOff>
    </xdr:from>
    <xdr:to>
      <xdr:col>23</xdr:col>
      <xdr:colOff>51289</xdr:colOff>
      <xdr:row>33</xdr:row>
      <xdr:rowOff>183931</xdr:rowOff>
    </xdr:to>
    <xdr:sp macro="" textlink="">
      <xdr:nvSpPr>
        <xdr:cNvPr id="21" name="Полилиния 20"/>
        <xdr:cNvSpPr/>
      </xdr:nvSpPr>
      <xdr:spPr>
        <a:xfrm>
          <a:off x="1691188" y="5854948"/>
          <a:ext cx="1176188" cy="1145570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1536</xdr:colOff>
      <xdr:row>33</xdr:row>
      <xdr:rowOff>275896</xdr:rowOff>
    </xdr:from>
    <xdr:to>
      <xdr:col>23</xdr:col>
      <xdr:colOff>51289</xdr:colOff>
      <xdr:row>35</xdr:row>
      <xdr:rowOff>183931</xdr:rowOff>
    </xdr:to>
    <xdr:sp macro="" textlink="">
      <xdr:nvSpPr>
        <xdr:cNvPr id="28" name="Полилиния 27"/>
        <xdr:cNvSpPr/>
      </xdr:nvSpPr>
      <xdr:spPr>
        <a:xfrm>
          <a:off x="1691188" y="7092483"/>
          <a:ext cx="1176188" cy="289035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482299 h 687456"/>
            <a:gd name="connsiteX3" fmla="*/ 2476500 w 2476500"/>
            <a:gd name="connsiteY3" fmla="*/ 687456 h 687456"/>
            <a:gd name="connsiteX0" fmla="*/ 15774 w 2492274"/>
            <a:gd name="connsiteY0" fmla="*/ 0 h 482299"/>
            <a:gd name="connsiteX1" fmla="*/ 2492274 w 2492274"/>
            <a:gd name="connsiteY1" fmla="*/ 0 h 482299"/>
            <a:gd name="connsiteX2" fmla="*/ 2492274 w 2492274"/>
            <a:gd name="connsiteY2" fmla="*/ 482299 h 482299"/>
            <a:gd name="connsiteX3" fmla="*/ 0 w 2492274"/>
            <a:gd name="connsiteY3" fmla="*/ 478700 h 482299"/>
            <a:gd name="connsiteX0" fmla="*/ 78870 w 2555370"/>
            <a:gd name="connsiteY0" fmla="*/ 0 h 483199"/>
            <a:gd name="connsiteX1" fmla="*/ 2555370 w 2555370"/>
            <a:gd name="connsiteY1" fmla="*/ 0 h 483199"/>
            <a:gd name="connsiteX2" fmla="*/ 2555370 w 2555370"/>
            <a:gd name="connsiteY2" fmla="*/ 482299 h 483199"/>
            <a:gd name="connsiteX3" fmla="*/ 0 w 2555370"/>
            <a:gd name="connsiteY3" fmla="*/ 483199 h 483199"/>
            <a:gd name="connsiteX0" fmla="*/ 19718 w 2496218"/>
            <a:gd name="connsiteY0" fmla="*/ 0 h 483199"/>
            <a:gd name="connsiteX1" fmla="*/ 2496218 w 2496218"/>
            <a:gd name="connsiteY1" fmla="*/ 0 h 483199"/>
            <a:gd name="connsiteX2" fmla="*/ 2496218 w 2496218"/>
            <a:gd name="connsiteY2" fmla="*/ 482299 h 483199"/>
            <a:gd name="connsiteX3" fmla="*/ 0 w 2496218"/>
            <a:gd name="connsiteY3" fmla="*/ 483199 h 4831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96218" h="483199">
              <a:moveTo>
                <a:pt x="19718" y="0"/>
              </a:moveTo>
              <a:lnTo>
                <a:pt x="2496218" y="0"/>
              </a:lnTo>
              <a:lnTo>
                <a:pt x="2496218" y="482299"/>
              </a:lnTo>
              <a:lnTo>
                <a:pt x="0" y="48319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5443</xdr:colOff>
      <xdr:row>5</xdr:row>
      <xdr:rowOff>179614</xdr:rowOff>
    </xdr:from>
    <xdr:to>
      <xdr:col>23</xdr:col>
      <xdr:colOff>48986</xdr:colOff>
      <xdr:row>11</xdr:row>
      <xdr:rowOff>161192</xdr:rowOff>
    </xdr:to>
    <xdr:sp macro="" textlink="">
      <xdr:nvSpPr>
        <xdr:cNvPr id="29" name="Полилиния 28"/>
        <xdr:cNvSpPr/>
      </xdr:nvSpPr>
      <xdr:spPr>
        <a:xfrm>
          <a:off x="1695095" y="999592"/>
          <a:ext cx="1169978" cy="1248817"/>
        </a:xfrm>
        <a:custGeom>
          <a:avLst/>
          <a:gdLst>
            <a:gd name="connsiteX0" fmla="*/ 1110343 w 1164771"/>
            <a:gd name="connsiteY0" fmla="*/ 0 h 435429"/>
            <a:gd name="connsiteX1" fmla="*/ 1164771 w 1164771"/>
            <a:gd name="connsiteY1" fmla="*/ 0 h 435429"/>
            <a:gd name="connsiteX2" fmla="*/ 1164771 w 1164771"/>
            <a:gd name="connsiteY2" fmla="*/ 435429 h 435429"/>
            <a:gd name="connsiteX3" fmla="*/ 0 w 1164771"/>
            <a:gd name="connsiteY3" fmla="*/ 435429 h 4354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64771" h="435429">
              <a:moveTo>
                <a:pt x="1110343" y="0"/>
              </a:moveTo>
              <a:lnTo>
                <a:pt x="1164771" y="0"/>
              </a:lnTo>
              <a:lnTo>
                <a:pt x="1164771" y="435429"/>
              </a:lnTo>
              <a:lnTo>
                <a:pt x="0" y="43542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5443</xdr:colOff>
      <xdr:row>13</xdr:row>
      <xdr:rowOff>173045</xdr:rowOff>
    </xdr:from>
    <xdr:to>
      <xdr:col>23</xdr:col>
      <xdr:colOff>48986</xdr:colOff>
      <xdr:row>17</xdr:row>
      <xdr:rowOff>177362</xdr:rowOff>
    </xdr:to>
    <xdr:sp macro="" textlink="">
      <xdr:nvSpPr>
        <xdr:cNvPr id="30" name="Полилиния 29"/>
        <xdr:cNvSpPr/>
      </xdr:nvSpPr>
      <xdr:spPr>
        <a:xfrm>
          <a:off x="1695095" y="2748936"/>
          <a:ext cx="1169978" cy="873991"/>
        </a:xfrm>
        <a:custGeom>
          <a:avLst/>
          <a:gdLst>
            <a:gd name="connsiteX0" fmla="*/ 1110343 w 1164771"/>
            <a:gd name="connsiteY0" fmla="*/ 0 h 435429"/>
            <a:gd name="connsiteX1" fmla="*/ 1164771 w 1164771"/>
            <a:gd name="connsiteY1" fmla="*/ 0 h 435429"/>
            <a:gd name="connsiteX2" fmla="*/ 1164771 w 1164771"/>
            <a:gd name="connsiteY2" fmla="*/ 435429 h 435429"/>
            <a:gd name="connsiteX3" fmla="*/ 0 w 1164771"/>
            <a:gd name="connsiteY3" fmla="*/ 435429 h 4354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64771" h="435429">
              <a:moveTo>
                <a:pt x="1110343" y="0"/>
              </a:moveTo>
              <a:lnTo>
                <a:pt x="1164771" y="0"/>
              </a:lnTo>
              <a:lnTo>
                <a:pt x="1164771" y="435429"/>
              </a:lnTo>
              <a:lnTo>
                <a:pt x="0" y="43542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5443</xdr:colOff>
      <xdr:row>23</xdr:row>
      <xdr:rowOff>179615</xdr:rowOff>
    </xdr:from>
    <xdr:to>
      <xdr:col>23</xdr:col>
      <xdr:colOff>48986</xdr:colOff>
      <xdr:row>27</xdr:row>
      <xdr:rowOff>183931</xdr:rowOff>
    </xdr:to>
    <xdr:sp macro="" textlink="">
      <xdr:nvSpPr>
        <xdr:cNvPr id="31" name="Полилиния 30"/>
        <xdr:cNvSpPr/>
      </xdr:nvSpPr>
      <xdr:spPr>
        <a:xfrm>
          <a:off x="1695095" y="4875854"/>
          <a:ext cx="1169978" cy="873990"/>
        </a:xfrm>
        <a:custGeom>
          <a:avLst/>
          <a:gdLst>
            <a:gd name="connsiteX0" fmla="*/ 1110343 w 1164771"/>
            <a:gd name="connsiteY0" fmla="*/ 0 h 435429"/>
            <a:gd name="connsiteX1" fmla="*/ 1164771 w 1164771"/>
            <a:gd name="connsiteY1" fmla="*/ 0 h 435429"/>
            <a:gd name="connsiteX2" fmla="*/ 1164771 w 1164771"/>
            <a:gd name="connsiteY2" fmla="*/ 435429 h 435429"/>
            <a:gd name="connsiteX3" fmla="*/ 0 w 1164771"/>
            <a:gd name="connsiteY3" fmla="*/ 435429 h 4354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64771" h="435429">
              <a:moveTo>
                <a:pt x="1110343" y="0"/>
              </a:moveTo>
              <a:lnTo>
                <a:pt x="1164771" y="0"/>
              </a:lnTo>
              <a:lnTo>
                <a:pt x="1164771" y="435429"/>
              </a:lnTo>
              <a:lnTo>
                <a:pt x="0" y="435429"/>
              </a:lnTo>
            </a:path>
          </a:pathLst>
        </a:custGeom>
        <a:noFill/>
        <a:ln w="127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367393</xdr:colOff>
      <xdr:row>0</xdr:row>
      <xdr:rowOff>190500</xdr:rowOff>
    </xdr:from>
    <xdr:to>
      <xdr:col>2</xdr:col>
      <xdr:colOff>357188</xdr:colOff>
      <xdr:row>3</xdr:row>
      <xdr:rowOff>46377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3" y="190500"/>
          <a:ext cx="1023938" cy="509020"/>
        </a:xfrm>
        <a:prstGeom prst="rect">
          <a:avLst/>
        </a:prstGeom>
      </xdr:spPr>
    </xdr:pic>
    <xdr:clientData/>
  </xdr:twoCellAnchor>
  <xdr:oneCellAnchor>
    <xdr:from>
      <xdr:col>6</xdr:col>
      <xdr:colOff>135354</xdr:colOff>
      <xdr:row>20</xdr:row>
      <xdr:rowOff>54608</xdr:rowOff>
    </xdr:from>
    <xdr:ext cx="612000" cy="6120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4454" y="2635883"/>
          <a:ext cx="612000" cy="612000"/>
        </a:xfrm>
        <a:prstGeom prst="rect">
          <a:avLst/>
        </a:prstGeom>
      </xdr:spPr>
    </xdr:pic>
    <xdr:clientData/>
  </xdr:oneCellAnchor>
  <xdr:twoCellAnchor>
    <xdr:from>
      <xdr:col>3</xdr:col>
      <xdr:colOff>868507</xdr:colOff>
      <xdr:row>14</xdr:row>
      <xdr:rowOff>1416674</xdr:rowOff>
    </xdr:from>
    <xdr:to>
      <xdr:col>4</xdr:col>
      <xdr:colOff>64825</xdr:colOff>
      <xdr:row>14</xdr:row>
      <xdr:rowOff>1528138</xdr:rowOff>
    </xdr:to>
    <xdr:sp macro="" textlink="">
      <xdr:nvSpPr>
        <xdr:cNvPr id="11" name="Овал 10"/>
        <xdr:cNvSpPr>
          <a:spLocks noChangeAspect="1"/>
        </xdr:cNvSpPr>
      </xdr:nvSpPr>
      <xdr:spPr>
        <a:xfrm rot="10800000">
          <a:off x="2544907" y="1626224"/>
          <a:ext cx="110718" cy="668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291208</xdr:colOff>
      <xdr:row>14</xdr:row>
      <xdr:rowOff>864544</xdr:rowOff>
    </xdr:from>
    <xdr:to>
      <xdr:col>4</xdr:col>
      <xdr:colOff>735880</xdr:colOff>
      <xdr:row>14</xdr:row>
      <xdr:rowOff>864544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2647144" y="947008"/>
          <a:ext cx="0" cy="1359072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7847</xdr:colOff>
      <xdr:row>14</xdr:row>
      <xdr:rowOff>863145</xdr:rowOff>
    </xdr:from>
    <xdr:to>
      <xdr:col>4</xdr:col>
      <xdr:colOff>7847</xdr:colOff>
      <xdr:row>14</xdr:row>
      <xdr:rowOff>1495425</xdr:rowOff>
    </xdr:to>
    <xdr:cxnSp macro="">
      <xdr:nvCxnSpPr>
        <xdr:cNvPr id="13" name="Прямая соединительная линия 12"/>
        <xdr:cNvCxnSpPr/>
      </xdr:nvCxnSpPr>
      <xdr:spPr>
        <a:xfrm>
          <a:off x="2598647" y="10350045"/>
          <a:ext cx="0" cy="632280"/>
        </a:xfrm>
        <a:prstGeom prst="line">
          <a:avLst/>
        </a:prstGeom>
        <a:ln w="34925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785204</xdr:colOff>
      <xdr:row>14</xdr:row>
      <xdr:rowOff>186791</xdr:rowOff>
    </xdr:from>
    <xdr:to>
      <xdr:col>3</xdr:col>
      <xdr:colOff>785204</xdr:colOff>
      <xdr:row>14</xdr:row>
      <xdr:rowOff>859943</xdr:rowOff>
    </xdr:to>
    <xdr:cxnSp macro="">
      <xdr:nvCxnSpPr>
        <xdr:cNvPr id="14" name="Прямая соединительная линия 13"/>
        <xdr:cNvCxnSpPr/>
      </xdr:nvCxnSpPr>
      <xdr:spPr>
        <a:xfrm rot="5400000">
          <a:off x="2458403" y="1628267"/>
          <a:ext cx="6402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182217</xdr:colOff>
      <xdr:row>14</xdr:row>
      <xdr:rowOff>861621</xdr:rowOff>
    </xdr:from>
    <xdr:to>
      <xdr:col>4</xdr:col>
      <xdr:colOff>11509</xdr:colOff>
      <xdr:row>14</xdr:row>
      <xdr:rowOff>861621</xdr:rowOff>
    </xdr:to>
    <xdr:cxnSp macro="">
      <xdr:nvCxnSpPr>
        <xdr:cNvPr id="15" name="Прямая соединительная линия 14"/>
        <xdr:cNvCxnSpPr/>
      </xdr:nvCxnSpPr>
      <xdr:spPr>
        <a:xfrm flipH="1">
          <a:off x="1858617" y="1633146"/>
          <a:ext cx="743692" cy="0"/>
        </a:xfrm>
        <a:prstGeom prst="line">
          <a:avLst/>
        </a:prstGeom>
        <a:ln w="34925">
          <a:solidFill>
            <a:schemeClr val="tx1"/>
          </a:solidFill>
          <a:headEnd type="none" w="med" len="lg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666559</xdr:colOff>
      <xdr:row>14</xdr:row>
      <xdr:rowOff>1065885</xdr:rowOff>
    </xdr:from>
    <xdr:to>
      <xdr:col>4</xdr:col>
      <xdr:colOff>260673</xdr:colOff>
      <xdr:row>14</xdr:row>
      <xdr:rowOff>1184851</xdr:rowOff>
    </xdr:to>
    <xdr:grpSp>
      <xdr:nvGrpSpPr>
        <xdr:cNvPr id="16" name="Группа 15"/>
        <xdr:cNvGrpSpPr/>
      </xdr:nvGrpSpPr>
      <xdr:grpSpPr>
        <a:xfrm rot="10800000">
          <a:off x="2329104" y="10556249"/>
          <a:ext cx="511978" cy="118966"/>
          <a:chOff x="2687221" y="3988161"/>
          <a:chExt cx="501812" cy="118966"/>
        </a:xfrm>
      </xdr:grpSpPr>
      <xdr:cxnSp macro="">
        <xdr:nvCxnSpPr>
          <xdr:cNvPr id="17" name="Прямая соединительная линия 16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Овал 1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" name="Овал 1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543973</xdr:colOff>
      <xdr:row>14</xdr:row>
      <xdr:rowOff>516797</xdr:rowOff>
    </xdr:from>
    <xdr:to>
      <xdr:col>4</xdr:col>
      <xdr:colOff>138087</xdr:colOff>
      <xdr:row>14</xdr:row>
      <xdr:rowOff>635763</xdr:rowOff>
    </xdr:to>
    <xdr:grpSp>
      <xdr:nvGrpSpPr>
        <xdr:cNvPr id="22" name="Группа 21"/>
        <xdr:cNvGrpSpPr/>
      </xdr:nvGrpSpPr>
      <xdr:grpSpPr>
        <a:xfrm flipH="1">
          <a:off x="2206518" y="10007161"/>
          <a:ext cx="511978" cy="118966"/>
          <a:chOff x="2687221" y="3988161"/>
          <a:chExt cx="501812" cy="118966"/>
        </a:xfrm>
      </xdr:grpSpPr>
      <xdr:cxnSp macro="">
        <xdr:nvCxnSpPr>
          <xdr:cNvPr id="23" name="Прямая соединительная линия 22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Овал 2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894254</xdr:colOff>
      <xdr:row>15</xdr:row>
      <xdr:rowOff>832104</xdr:rowOff>
    </xdr:from>
    <xdr:to>
      <xdr:col>4</xdr:col>
      <xdr:colOff>752565</xdr:colOff>
      <xdr:row>15</xdr:row>
      <xdr:rowOff>1481639</xdr:rowOff>
    </xdr:to>
    <xdr:sp macro="" textlink="">
      <xdr:nvSpPr>
        <xdr:cNvPr id="34" name="Полилиния 33"/>
        <xdr:cNvSpPr/>
      </xdr:nvSpPr>
      <xdr:spPr>
        <a:xfrm>
          <a:off x="2570654" y="1822704"/>
          <a:ext cx="772711" cy="0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163285</xdr:colOff>
      <xdr:row>15</xdr:row>
      <xdr:rowOff>827864</xdr:rowOff>
    </xdr:from>
    <xdr:to>
      <xdr:col>4</xdr:col>
      <xdr:colOff>679703</xdr:colOff>
      <xdr:row>15</xdr:row>
      <xdr:rowOff>827864</xdr:rowOff>
    </xdr:to>
    <xdr:cxnSp macro="">
      <xdr:nvCxnSpPr>
        <xdr:cNvPr id="35" name="Прямая соединительная линия 34"/>
        <xdr:cNvCxnSpPr/>
      </xdr:nvCxnSpPr>
      <xdr:spPr>
        <a:xfrm>
          <a:off x="1839685" y="1818464"/>
          <a:ext cx="1430818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841628</xdr:colOff>
      <xdr:row>15</xdr:row>
      <xdr:rowOff>1423071</xdr:rowOff>
    </xdr:from>
    <xdr:to>
      <xdr:col>4</xdr:col>
      <xdr:colOff>35075</xdr:colOff>
      <xdr:row>15</xdr:row>
      <xdr:rowOff>1531071</xdr:rowOff>
    </xdr:to>
    <xdr:sp macro="" textlink="">
      <xdr:nvSpPr>
        <xdr:cNvPr id="36" name="Овал 35"/>
        <xdr:cNvSpPr>
          <a:spLocks noChangeAspect="1"/>
        </xdr:cNvSpPr>
      </xdr:nvSpPr>
      <xdr:spPr>
        <a:xfrm>
          <a:off x="2518028" y="1823121"/>
          <a:ext cx="107847" cy="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897022</xdr:colOff>
      <xdr:row>15</xdr:row>
      <xdr:rowOff>701168</xdr:rowOff>
    </xdr:from>
    <xdr:to>
      <xdr:col>4</xdr:col>
      <xdr:colOff>119310</xdr:colOff>
      <xdr:row>15</xdr:row>
      <xdr:rowOff>827479</xdr:rowOff>
    </xdr:to>
    <xdr:grpSp>
      <xdr:nvGrpSpPr>
        <xdr:cNvPr id="37" name="Группа 36"/>
        <xdr:cNvGrpSpPr/>
      </xdr:nvGrpSpPr>
      <xdr:grpSpPr>
        <a:xfrm flipH="1">
          <a:off x="2559567" y="11836759"/>
          <a:ext cx="140152" cy="126311"/>
          <a:chOff x="1132242" y="1306343"/>
          <a:chExt cx="123151" cy="128030"/>
        </a:xfrm>
      </xdr:grpSpPr>
      <xdr:cxnSp macro="">
        <xdr:nvCxnSpPr>
          <xdr:cNvPr id="38" name="Прямая соединительная линия 3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Прямоугольник 3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897022</xdr:colOff>
      <xdr:row>14</xdr:row>
      <xdr:rowOff>734786</xdr:rowOff>
    </xdr:from>
    <xdr:to>
      <xdr:col>4</xdr:col>
      <xdr:colOff>119310</xdr:colOff>
      <xdr:row>14</xdr:row>
      <xdr:rowOff>861097</xdr:rowOff>
    </xdr:to>
    <xdr:grpSp>
      <xdr:nvGrpSpPr>
        <xdr:cNvPr id="40" name="Группа 39"/>
        <xdr:cNvGrpSpPr/>
      </xdr:nvGrpSpPr>
      <xdr:grpSpPr>
        <a:xfrm flipH="1">
          <a:off x="2559567" y="10225150"/>
          <a:ext cx="140152" cy="126311"/>
          <a:chOff x="1132242" y="1306343"/>
          <a:chExt cx="123151" cy="128030"/>
        </a:xfrm>
      </xdr:grpSpPr>
      <xdr:cxnSp macro="">
        <xdr:nvCxnSpPr>
          <xdr:cNvPr id="41" name="Прямая соединительная линия 4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Прямоугольник 4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857250</xdr:colOff>
      <xdr:row>16</xdr:row>
      <xdr:rowOff>1430196</xdr:rowOff>
    </xdr:from>
    <xdr:to>
      <xdr:col>4</xdr:col>
      <xdr:colOff>49831</xdr:colOff>
      <xdr:row>16</xdr:row>
      <xdr:rowOff>1538196</xdr:rowOff>
    </xdr:to>
    <xdr:sp macro="" textlink="">
      <xdr:nvSpPr>
        <xdr:cNvPr id="43" name="Овал 42"/>
        <xdr:cNvSpPr>
          <a:spLocks noChangeAspect="1"/>
        </xdr:cNvSpPr>
      </xdr:nvSpPr>
      <xdr:spPr>
        <a:xfrm rot="5400000">
          <a:off x="2585528" y="1959343"/>
          <a:ext cx="3225" cy="10698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909751</xdr:colOff>
      <xdr:row>16</xdr:row>
      <xdr:rowOff>122464</xdr:rowOff>
    </xdr:from>
    <xdr:to>
      <xdr:col>3</xdr:col>
      <xdr:colOff>909751</xdr:colOff>
      <xdr:row>16</xdr:row>
      <xdr:rowOff>1485730</xdr:rowOff>
    </xdr:to>
    <xdr:cxnSp macro="">
      <xdr:nvCxnSpPr>
        <xdr:cNvPr id="44" name="Прямая соединительная линия 43"/>
        <xdr:cNvCxnSpPr/>
      </xdr:nvCxnSpPr>
      <xdr:spPr>
        <a:xfrm>
          <a:off x="2586151" y="1941739"/>
          <a:ext cx="0" cy="678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908353</xdr:colOff>
      <xdr:row>16</xdr:row>
      <xdr:rowOff>854528</xdr:rowOff>
    </xdr:from>
    <xdr:to>
      <xdr:col>4</xdr:col>
      <xdr:colOff>677032</xdr:colOff>
      <xdr:row>16</xdr:row>
      <xdr:rowOff>854528</xdr:rowOff>
    </xdr:to>
    <xdr:cxnSp macro="">
      <xdr:nvCxnSpPr>
        <xdr:cNvPr id="45" name="Прямая соединительная линия 44"/>
        <xdr:cNvCxnSpPr/>
      </xdr:nvCxnSpPr>
      <xdr:spPr>
        <a:xfrm>
          <a:off x="2584753" y="2007053"/>
          <a:ext cx="683079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908353</xdr:colOff>
      <xdr:row>16</xdr:row>
      <xdr:rowOff>851807</xdr:rowOff>
    </xdr:from>
    <xdr:to>
      <xdr:col>4</xdr:col>
      <xdr:colOff>806300</xdr:colOff>
      <xdr:row>16</xdr:row>
      <xdr:rowOff>1480457</xdr:rowOff>
    </xdr:to>
    <xdr:sp macro="" textlink="">
      <xdr:nvSpPr>
        <xdr:cNvPr id="46" name="Полилиния 45"/>
        <xdr:cNvSpPr/>
      </xdr:nvSpPr>
      <xdr:spPr>
        <a:xfrm flipH="1">
          <a:off x="2584753" y="2013857"/>
          <a:ext cx="812347" cy="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906749</xdr:colOff>
      <xdr:row>16</xdr:row>
      <xdr:rowOff>733454</xdr:rowOff>
    </xdr:from>
    <xdr:to>
      <xdr:col>4</xdr:col>
      <xdr:colOff>122147</xdr:colOff>
      <xdr:row>16</xdr:row>
      <xdr:rowOff>859560</xdr:rowOff>
    </xdr:to>
    <xdr:grpSp>
      <xdr:nvGrpSpPr>
        <xdr:cNvPr id="47" name="Группа 46"/>
        <xdr:cNvGrpSpPr/>
      </xdr:nvGrpSpPr>
      <xdr:grpSpPr>
        <a:xfrm flipH="1">
          <a:off x="2569294" y="13514272"/>
          <a:ext cx="133262" cy="126106"/>
          <a:chOff x="1132242" y="1306343"/>
          <a:chExt cx="123151" cy="128030"/>
        </a:xfrm>
      </xdr:grpSpPr>
      <xdr:cxnSp macro="">
        <xdr:nvCxnSpPr>
          <xdr:cNvPr id="48" name="Прямая соединительная линия 4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" name="Прямоугольник 4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244928</xdr:colOff>
      <xdr:row>16</xdr:row>
      <xdr:rowOff>660039</xdr:rowOff>
    </xdr:from>
    <xdr:to>
      <xdr:col>4</xdr:col>
      <xdr:colOff>6402</xdr:colOff>
      <xdr:row>16</xdr:row>
      <xdr:rowOff>660039</xdr:rowOff>
    </xdr:to>
    <xdr:cxnSp macro="">
      <xdr:nvCxnSpPr>
        <xdr:cNvPr id="50" name="Прямая соединительная линия 49"/>
        <xdr:cNvCxnSpPr/>
      </xdr:nvCxnSpPr>
      <xdr:spPr>
        <a:xfrm>
          <a:off x="1921328" y="2012589"/>
          <a:ext cx="67587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574934</xdr:colOff>
      <xdr:row>16</xdr:row>
      <xdr:rowOff>394607</xdr:rowOff>
    </xdr:from>
    <xdr:to>
      <xdr:col>3</xdr:col>
      <xdr:colOff>693900</xdr:colOff>
      <xdr:row>16</xdr:row>
      <xdr:rowOff>902605</xdr:rowOff>
    </xdr:to>
    <xdr:grpSp>
      <xdr:nvGrpSpPr>
        <xdr:cNvPr id="51" name="Группа 50"/>
        <xdr:cNvGrpSpPr/>
      </xdr:nvGrpSpPr>
      <xdr:grpSpPr>
        <a:xfrm rot="16200000" flipH="1">
          <a:off x="2042963" y="13369941"/>
          <a:ext cx="507998" cy="118966"/>
          <a:chOff x="2687221" y="3988161"/>
          <a:chExt cx="501812" cy="118966"/>
        </a:xfrm>
      </xdr:grpSpPr>
      <xdr:cxnSp macro="">
        <xdr:nvCxnSpPr>
          <xdr:cNvPr id="52" name="Прямая соединительная линия 51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" name="Овал 52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4" name="Прямая со стрелкой 53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5" name="Овал 54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6" name="Прямая со стрелкой 55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271096</xdr:colOff>
      <xdr:row>17</xdr:row>
      <xdr:rowOff>794243</xdr:rowOff>
    </xdr:from>
    <xdr:to>
      <xdr:col>4</xdr:col>
      <xdr:colOff>615461</xdr:colOff>
      <xdr:row>17</xdr:row>
      <xdr:rowOff>864577</xdr:rowOff>
    </xdr:to>
    <xdr:cxnSp macro="">
      <xdr:nvCxnSpPr>
        <xdr:cNvPr id="57" name="Прямая соединительная линия 56"/>
        <xdr:cNvCxnSpPr/>
      </xdr:nvCxnSpPr>
      <xdr:spPr>
        <a:xfrm>
          <a:off x="1947496" y="2203943"/>
          <a:ext cx="1258765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864283</xdr:colOff>
      <xdr:row>17</xdr:row>
      <xdr:rowOff>1399312</xdr:rowOff>
    </xdr:from>
    <xdr:to>
      <xdr:col>4</xdr:col>
      <xdr:colOff>44788</xdr:colOff>
      <xdr:row>17</xdr:row>
      <xdr:rowOff>1507312</xdr:rowOff>
    </xdr:to>
    <xdr:sp macro="" textlink="">
      <xdr:nvSpPr>
        <xdr:cNvPr id="58" name="Овал 57"/>
        <xdr:cNvSpPr>
          <a:spLocks noChangeAspect="1"/>
        </xdr:cNvSpPr>
      </xdr:nvSpPr>
      <xdr:spPr>
        <a:xfrm rot="5400000">
          <a:off x="2586523" y="2153572"/>
          <a:ext cx="3225" cy="94905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905584</xdr:colOff>
      <xdr:row>17</xdr:row>
      <xdr:rowOff>810376</xdr:rowOff>
    </xdr:from>
    <xdr:to>
      <xdr:col>3</xdr:col>
      <xdr:colOff>905584</xdr:colOff>
      <xdr:row>17</xdr:row>
      <xdr:rowOff>1454845</xdr:rowOff>
    </xdr:to>
    <xdr:cxnSp macro="">
      <xdr:nvCxnSpPr>
        <xdr:cNvPr id="59" name="Прямая соединительная линия 58"/>
        <xdr:cNvCxnSpPr/>
      </xdr:nvCxnSpPr>
      <xdr:spPr>
        <a:xfrm>
          <a:off x="2581984" y="2201026"/>
          <a:ext cx="0" cy="0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787600</xdr:colOff>
      <xdr:row>17</xdr:row>
      <xdr:rowOff>685191</xdr:rowOff>
    </xdr:from>
    <xdr:to>
      <xdr:col>3</xdr:col>
      <xdr:colOff>913268</xdr:colOff>
      <xdr:row>17</xdr:row>
      <xdr:rowOff>811297</xdr:rowOff>
    </xdr:to>
    <xdr:grpSp>
      <xdr:nvGrpSpPr>
        <xdr:cNvPr id="60" name="Группа 59"/>
        <xdr:cNvGrpSpPr/>
      </xdr:nvGrpSpPr>
      <xdr:grpSpPr>
        <a:xfrm>
          <a:off x="2450145" y="15111236"/>
          <a:ext cx="125668" cy="126106"/>
          <a:chOff x="1132242" y="1306343"/>
          <a:chExt cx="123151" cy="128030"/>
        </a:xfrm>
      </xdr:grpSpPr>
      <xdr:cxnSp macro="">
        <xdr:nvCxnSpPr>
          <xdr:cNvPr id="61" name="Прямая соединительная линия 6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2" name="Прямоугольник 6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0</xdr:colOff>
      <xdr:row>17</xdr:row>
      <xdr:rowOff>835269</xdr:rowOff>
    </xdr:from>
    <xdr:to>
      <xdr:col>4</xdr:col>
      <xdr:colOff>718038</xdr:colOff>
      <xdr:row>17</xdr:row>
      <xdr:rowOff>1465384</xdr:rowOff>
    </xdr:to>
    <xdr:sp macro="" textlink="">
      <xdr:nvSpPr>
        <xdr:cNvPr id="63" name="Полилиния 62"/>
        <xdr:cNvSpPr/>
      </xdr:nvSpPr>
      <xdr:spPr>
        <a:xfrm>
          <a:off x="2590800" y="2197344"/>
          <a:ext cx="718038" cy="1465"/>
        </a:xfrm>
        <a:custGeom>
          <a:avLst/>
          <a:gdLst>
            <a:gd name="connsiteX0" fmla="*/ 0 w 718038"/>
            <a:gd name="connsiteY0" fmla="*/ 630115 h 630115"/>
            <a:gd name="connsiteX1" fmla="*/ 0 w 718038"/>
            <a:gd name="connsiteY1" fmla="*/ 0 h 630115"/>
            <a:gd name="connsiteX2" fmla="*/ 718038 w 718038"/>
            <a:gd name="connsiteY2" fmla="*/ 36635 h 6301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18038" h="630115">
              <a:moveTo>
                <a:pt x="0" y="630115"/>
              </a:moveTo>
              <a:lnTo>
                <a:pt x="0" y="0"/>
              </a:lnTo>
              <a:lnTo>
                <a:pt x="718038" y="36635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870857</xdr:colOff>
      <xdr:row>18</xdr:row>
      <xdr:rowOff>1443804</xdr:rowOff>
    </xdr:from>
    <xdr:to>
      <xdr:col>4</xdr:col>
      <xdr:colOff>63438</xdr:colOff>
      <xdr:row>18</xdr:row>
      <xdr:rowOff>1551804</xdr:rowOff>
    </xdr:to>
    <xdr:sp macro="" textlink="">
      <xdr:nvSpPr>
        <xdr:cNvPr id="64" name="Овал 63"/>
        <xdr:cNvSpPr>
          <a:spLocks noChangeAspect="1"/>
        </xdr:cNvSpPr>
      </xdr:nvSpPr>
      <xdr:spPr>
        <a:xfrm rot="5400000">
          <a:off x="2599135" y="2334901"/>
          <a:ext cx="3225" cy="10698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11680</xdr:colOff>
      <xdr:row>18</xdr:row>
      <xdr:rowOff>136072</xdr:rowOff>
    </xdr:from>
    <xdr:to>
      <xdr:col>4</xdr:col>
      <xdr:colOff>11680</xdr:colOff>
      <xdr:row>18</xdr:row>
      <xdr:rowOff>1499338</xdr:rowOff>
    </xdr:to>
    <xdr:cxnSp macro="">
      <xdr:nvCxnSpPr>
        <xdr:cNvPr id="65" name="Прямая соединительная линия 64"/>
        <xdr:cNvCxnSpPr/>
      </xdr:nvCxnSpPr>
      <xdr:spPr>
        <a:xfrm>
          <a:off x="2602480" y="2336347"/>
          <a:ext cx="0" cy="58341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10282</xdr:colOff>
      <xdr:row>18</xdr:row>
      <xdr:rowOff>868136</xdr:rowOff>
    </xdr:from>
    <xdr:to>
      <xdr:col>4</xdr:col>
      <xdr:colOff>589359</xdr:colOff>
      <xdr:row>18</xdr:row>
      <xdr:rowOff>1260988</xdr:rowOff>
    </xdr:to>
    <xdr:cxnSp macro="">
      <xdr:nvCxnSpPr>
        <xdr:cNvPr id="66" name="Прямая соединительная линия 65"/>
        <xdr:cNvCxnSpPr/>
      </xdr:nvCxnSpPr>
      <xdr:spPr>
        <a:xfrm>
          <a:off x="2601082" y="2392136"/>
          <a:ext cx="579077" cy="232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8678</xdr:colOff>
      <xdr:row>18</xdr:row>
      <xdr:rowOff>693483</xdr:rowOff>
    </xdr:from>
    <xdr:to>
      <xdr:col>4</xdr:col>
      <xdr:colOff>135754</xdr:colOff>
      <xdr:row>18</xdr:row>
      <xdr:rowOff>819589</xdr:rowOff>
    </xdr:to>
    <xdr:grpSp>
      <xdr:nvGrpSpPr>
        <xdr:cNvPr id="67" name="Группа 66"/>
        <xdr:cNvGrpSpPr/>
      </xdr:nvGrpSpPr>
      <xdr:grpSpPr>
        <a:xfrm flipH="1">
          <a:off x="2589087" y="16764756"/>
          <a:ext cx="127076" cy="126106"/>
          <a:chOff x="1132242" y="1306343"/>
          <a:chExt cx="123151" cy="128030"/>
        </a:xfrm>
      </xdr:grpSpPr>
      <xdr:cxnSp macro="">
        <xdr:nvCxnSpPr>
          <xdr:cNvPr id="68" name="Прямая соединительная линия 6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9" name="Прямоугольник 6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220266</xdr:colOff>
      <xdr:row>18</xdr:row>
      <xdr:rowOff>808605</xdr:rowOff>
    </xdr:from>
    <xdr:to>
      <xdr:col>4</xdr:col>
      <xdr:colOff>5953</xdr:colOff>
      <xdr:row>18</xdr:row>
      <xdr:rowOff>927020</xdr:rowOff>
    </xdr:to>
    <xdr:cxnSp macro="">
      <xdr:nvCxnSpPr>
        <xdr:cNvPr id="70" name="Прямая соединительная линия 69"/>
        <xdr:cNvCxnSpPr/>
      </xdr:nvCxnSpPr>
      <xdr:spPr>
        <a:xfrm flipH="1">
          <a:off x="1896666" y="2389755"/>
          <a:ext cx="700087" cy="411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220266</xdr:colOff>
      <xdr:row>18</xdr:row>
      <xdr:rowOff>951480</xdr:rowOff>
    </xdr:from>
    <xdr:to>
      <xdr:col>4</xdr:col>
      <xdr:colOff>5953</xdr:colOff>
      <xdr:row>18</xdr:row>
      <xdr:rowOff>1069895</xdr:rowOff>
    </xdr:to>
    <xdr:cxnSp macro="">
      <xdr:nvCxnSpPr>
        <xdr:cNvPr id="71" name="Прямая соединительная линия 70"/>
        <xdr:cNvCxnSpPr/>
      </xdr:nvCxnSpPr>
      <xdr:spPr>
        <a:xfrm flipH="1">
          <a:off x="1896666" y="2389755"/>
          <a:ext cx="700087" cy="411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130969</xdr:colOff>
      <xdr:row>18</xdr:row>
      <xdr:rowOff>815578</xdr:rowOff>
    </xdr:from>
    <xdr:to>
      <xdr:col>4</xdr:col>
      <xdr:colOff>5953</xdr:colOff>
      <xdr:row>18</xdr:row>
      <xdr:rowOff>1488281</xdr:rowOff>
    </xdr:to>
    <xdr:sp macro="" textlink="">
      <xdr:nvSpPr>
        <xdr:cNvPr id="72" name="Полилиния 71"/>
        <xdr:cNvSpPr/>
      </xdr:nvSpPr>
      <xdr:spPr>
        <a:xfrm>
          <a:off x="1807369" y="2387203"/>
          <a:ext cx="789384" cy="5953"/>
        </a:xfrm>
        <a:custGeom>
          <a:avLst/>
          <a:gdLst>
            <a:gd name="connsiteX0" fmla="*/ 791766 w 791766"/>
            <a:gd name="connsiteY0" fmla="*/ 672703 h 672703"/>
            <a:gd name="connsiteX1" fmla="*/ 791766 w 791766"/>
            <a:gd name="connsiteY1" fmla="*/ 0 h 672703"/>
            <a:gd name="connsiteX2" fmla="*/ 0 w 791766"/>
            <a:gd name="connsiteY2" fmla="*/ 130969 h 6727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1766" h="672703">
              <a:moveTo>
                <a:pt x="791766" y="672703"/>
              </a:moveTo>
              <a:lnTo>
                <a:pt x="791766" y="0"/>
              </a:lnTo>
              <a:lnTo>
                <a:pt x="0" y="130969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843642</xdr:colOff>
      <xdr:row>20</xdr:row>
      <xdr:rowOff>1389375</xdr:rowOff>
    </xdr:from>
    <xdr:to>
      <xdr:col>4</xdr:col>
      <xdr:colOff>33778</xdr:colOff>
      <xdr:row>20</xdr:row>
      <xdr:rowOff>1497375</xdr:rowOff>
    </xdr:to>
    <xdr:sp macro="" textlink="">
      <xdr:nvSpPr>
        <xdr:cNvPr id="73" name="Овал 72"/>
        <xdr:cNvSpPr>
          <a:spLocks noChangeAspect="1"/>
        </xdr:cNvSpPr>
      </xdr:nvSpPr>
      <xdr:spPr>
        <a:xfrm rot="5400000">
          <a:off x="2570697" y="2719845"/>
          <a:ext cx="3225" cy="104536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901591</xdr:colOff>
      <xdr:row>20</xdr:row>
      <xdr:rowOff>81643</xdr:rowOff>
    </xdr:from>
    <xdr:to>
      <xdr:col>3</xdr:col>
      <xdr:colOff>901591</xdr:colOff>
      <xdr:row>20</xdr:row>
      <xdr:rowOff>1444909</xdr:rowOff>
    </xdr:to>
    <xdr:cxnSp macro="">
      <xdr:nvCxnSpPr>
        <xdr:cNvPr id="74" name="Прямая соединительная линия 73"/>
        <xdr:cNvCxnSpPr/>
      </xdr:nvCxnSpPr>
      <xdr:spPr>
        <a:xfrm>
          <a:off x="2577991" y="2662918"/>
          <a:ext cx="0" cy="1059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1900</xdr:colOff>
      <xdr:row>20</xdr:row>
      <xdr:rowOff>701531</xdr:rowOff>
    </xdr:from>
    <xdr:to>
      <xdr:col>4</xdr:col>
      <xdr:colOff>128976</xdr:colOff>
      <xdr:row>20</xdr:row>
      <xdr:rowOff>827637</xdr:rowOff>
    </xdr:to>
    <xdr:grpSp>
      <xdr:nvGrpSpPr>
        <xdr:cNvPr id="75" name="Группа 74"/>
        <xdr:cNvGrpSpPr/>
      </xdr:nvGrpSpPr>
      <xdr:grpSpPr>
        <a:xfrm flipH="1">
          <a:off x="2582309" y="20063258"/>
          <a:ext cx="127076" cy="126106"/>
          <a:chOff x="1132242" y="1306343"/>
          <a:chExt cx="123151" cy="128030"/>
        </a:xfrm>
      </xdr:grpSpPr>
      <xdr:cxnSp macro="">
        <xdr:nvCxnSpPr>
          <xdr:cNvPr id="76" name="Прямая соединительная линия 7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7" name="Прямоугольник 7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146044</xdr:colOff>
      <xdr:row>20</xdr:row>
      <xdr:rowOff>776205</xdr:rowOff>
    </xdr:from>
    <xdr:to>
      <xdr:col>4</xdr:col>
      <xdr:colOff>254044</xdr:colOff>
      <xdr:row>20</xdr:row>
      <xdr:rowOff>884205</xdr:rowOff>
    </xdr:to>
    <xdr:sp macro="" textlink="">
      <xdr:nvSpPr>
        <xdr:cNvPr id="78" name="Овал 77"/>
        <xdr:cNvSpPr>
          <a:spLocks noChangeAspect="1"/>
        </xdr:cNvSpPr>
      </xdr:nvSpPr>
      <xdr:spPr>
        <a:xfrm rot="5400000">
          <a:off x="2793994" y="2719305"/>
          <a:ext cx="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850031</xdr:colOff>
      <xdr:row>19</xdr:row>
      <xdr:rowOff>1430196</xdr:rowOff>
    </xdr:from>
    <xdr:to>
      <xdr:col>4</xdr:col>
      <xdr:colOff>49817</xdr:colOff>
      <xdr:row>19</xdr:row>
      <xdr:rowOff>1538196</xdr:rowOff>
    </xdr:to>
    <xdr:sp macro="" textlink="">
      <xdr:nvSpPr>
        <xdr:cNvPr id="79" name="Овал 78"/>
        <xdr:cNvSpPr>
          <a:spLocks noChangeAspect="1"/>
        </xdr:cNvSpPr>
      </xdr:nvSpPr>
      <xdr:spPr>
        <a:xfrm rot="5400000">
          <a:off x="2581911" y="2527241"/>
          <a:ext cx="3225" cy="114186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909737</xdr:colOff>
      <xdr:row>19</xdr:row>
      <xdr:rowOff>122464</xdr:rowOff>
    </xdr:from>
    <xdr:to>
      <xdr:col>3</xdr:col>
      <xdr:colOff>909737</xdr:colOff>
      <xdr:row>19</xdr:row>
      <xdr:rowOff>1485730</xdr:rowOff>
    </xdr:to>
    <xdr:cxnSp macro="">
      <xdr:nvCxnSpPr>
        <xdr:cNvPr id="80" name="Прямая соединительная линия 79"/>
        <xdr:cNvCxnSpPr/>
      </xdr:nvCxnSpPr>
      <xdr:spPr>
        <a:xfrm>
          <a:off x="2586137" y="2513239"/>
          <a:ext cx="0" cy="678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153760</xdr:colOff>
      <xdr:row>19</xdr:row>
      <xdr:rowOff>854528</xdr:rowOff>
    </xdr:from>
    <xdr:to>
      <xdr:col>4</xdr:col>
      <xdr:colOff>677018</xdr:colOff>
      <xdr:row>19</xdr:row>
      <xdr:rowOff>854528</xdr:rowOff>
    </xdr:to>
    <xdr:cxnSp macro="">
      <xdr:nvCxnSpPr>
        <xdr:cNvPr id="81" name="Прямая соединительная линия 80"/>
        <xdr:cNvCxnSpPr/>
      </xdr:nvCxnSpPr>
      <xdr:spPr>
        <a:xfrm>
          <a:off x="1830160" y="2578553"/>
          <a:ext cx="143765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19</xdr:row>
      <xdr:rowOff>851807</xdr:rowOff>
    </xdr:from>
    <xdr:to>
      <xdr:col>3</xdr:col>
      <xdr:colOff>908339</xdr:colOff>
      <xdr:row>19</xdr:row>
      <xdr:rowOff>1480457</xdr:rowOff>
    </xdr:to>
    <xdr:sp macro="" textlink="">
      <xdr:nvSpPr>
        <xdr:cNvPr id="82" name="Полилиния 81"/>
        <xdr:cNvSpPr/>
      </xdr:nvSpPr>
      <xdr:spPr>
        <a:xfrm>
          <a:off x="1771650" y="2585357"/>
          <a:ext cx="813089" cy="0"/>
        </a:xfrm>
        <a:custGeom>
          <a:avLst/>
          <a:gdLst>
            <a:gd name="connsiteX0" fmla="*/ 809625 w 809625"/>
            <a:gd name="connsiteY0" fmla="*/ 628650 h 628650"/>
            <a:gd name="connsiteX1" fmla="*/ 809625 w 809625"/>
            <a:gd name="connsiteY1" fmla="*/ 0 h 628650"/>
            <a:gd name="connsiteX2" fmla="*/ 0 w 809625"/>
            <a:gd name="connsiteY2" fmla="*/ 0 h 628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628650">
              <a:moveTo>
                <a:pt x="809625" y="628650"/>
              </a:moveTo>
              <a:lnTo>
                <a:pt x="80962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910184</xdr:colOff>
      <xdr:row>19</xdr:row>
      <xdr:rowOff>737619</xdr:rowOff>
    </xdr:from>
    <xdr:to>
      <xdr:col>4</xdr:col>
      <xdr:colOff>122809</xdr:colOff>
      <xdr:row>19</xdr:row>
      <xdr:rowOff>863504</xdr:rowOff>
    </xdr:to>
    <xdr:grpSp>
      <xdr:nvGrpSpPr>
        <xdr:cNvPr id="83" name="Группа 82"/>
        <xdr:cNvGrpSpPr/>
      </xdr:nvGrpSpPr>
      <xdr:grpSpPr>
        <a:xfrm rot="16200000" flipH="1" flipV="1">
          <a:off x="2575031" y="18451817"/>
          <a:ext cx="125885" cy="130489"/>
          <a:chOff x="1132242" y="1306343"/>
          <a:chExt cx="123151" cy="128030"/>
        </a:xfrm>
      </xdr:grpSpPr>
      <xdr:cxnSp macro="">
        <xdr:nvCxnSpPr>
          <xdr:cNvPr id="84" name="Прямая соединительная линия 8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5" name="Прямоугольник 8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285751</xdr:colOff>
      <xdr:row>21</xdr:row>
      <xdr:rowOff>381001</xdr:rowOff>
    </xdr:from>
    <xdr:to>
      <xdr:col>7</xdr:col>
      <xdr:colOff>303069</xdr:colOff>
      <xdr:row>22</xdr:row>
      <xdr:rowOff>721179</xdr:rowOff>
    </xdr:to>
    <xdr:sp macro="" textlink="">
      <xdr:nvSpPr>
        <xdr:cNvPr id="86" name="TextBox 85"/>
        <xdr:cNvSpPr txBox="1"/>
      </xdr:nvSpPr>
      <xdr:spPr>
        <a:xfrm>
          <a:off x="285751" y="21390430"/>
          <a:ext cx="4970318" cy="1986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/>
            <a:t>Страница</a:t>
          </a:r>
          <a:r>
            <a:rPr lang="ru-RU" sz="3200" baseline="0"/>
            <a:t> № 22 отсутствует в ДК и выдается на судейском пункте КВ-6</a:t>
          </a:r>
          <a:endParaRPr lang="ru-RU" sz="32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353786</xdr:colOff>
      <xdr:row>0</xdr:row>
      <xdr:rowOff>176892</xdr:rowOff>
    </xdr:from>
    <xdr:to>
      <xdr:col>2</xdr:col>
      <xdr:colOff>343581</xdr:colOff>
      <xdr:row>3</xdr:row>
      <xdr:rowOff>32769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176892"/>
          <a:ext cx="1023938" cy="509020"/>
        </a:xfrm>
        <a:prstGeom prst="rect">
          <a:avLst/>
        </a:prstGeom>
      </xdr:spPr>
    </xdr:pic>
    <xdr:clientData/>
  </xdr:twoCellAnchor>
  <xdr:twoCellAnchor>
    <xdr:from>
      <xdr:col>3</xdr:col>
      <xdr:colOff>467230</xdr:colOff>
      <xdr:row>16</xdr:row>
      <xdr:rowOff>1190201</xdr:rowOff>
    </xdr:from>
    <xdr:to>
      <xdr:col>7</xdr:col>
      <xdr:colOff>266699</xdr:colOff>
      <xdr:row>16</xdr:row>
      <xdr:rowOff>2724151</xdr:rowOff>
    </xdr:to>
    <xdr:sp macro="" textlink="">
      <xdr:nvSpPr>
        <xdr:cNvPr id="43" name="Прямоугольник 42"/>
        <xdr:cNvSpPr/>
      </xdr:nvSpPr>
      <xdr:spPr>
        <a:xfrm>
          <a:off x="2143630" y="4085801"/>
          <a:ext cx="3057019" cy="1533950"/>
        </a:xfrm>
        <a:prstGeom prst="rect">
          <a:avLst/>
        </a:prstGeom>
        <a:solidFill>
          <a:schemeClr val="bg1">
            <a:lumMod val="9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3</xdr:col>
      <xdr:colOff>728638</xdr:colOff>
      <xdr:row>16</xdr:row>
      <xdr:rowOff>303030</xdr:rowOff>
    </xdr:from>
    <xdr:to>
      <xdr:col>6</xdr:col>
      <xdr:colOff>618346</xdr:colOff>
      <xdr:row>16</xdr:row>
      <xdr:rowOff>634838</xdr:rowOff>
    </xdr:to>
    <xdr:sp macro="" textlink="">
      <xdr:nvSpPr>
        <xdr:cNvPr id="44" name="TextBox 43"/>
        <xdr:cNvSpPr txBox="1"/>
      </xdr:nvSpPr>
      <xdr:spPr>
        <a:xfrm>
          <a:off x="2405038" y="3198630"/>
          <a:ext cx="2432883" cy="331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/>
            <a:t>проспект</a:t>
          </a:r>
          <a:r>
            <a:rPr lang="ru-RU" sz="1400" b="1" baseline="0"/>
            <a:t> Гагарина</a:t>
          </a:r>
          <a:endParaRPr lang="ru-RU" sz="1400" b="1"/>
        </a:p>
      </xdr:txBody>
    </xdr:sp>
    <xdr:clientData/>
  </xdr:twoCellAnchor>
  <xdr:twoCellAnchor>
    <xdr:from>
      <xdr:col>3</xdr:col>
      <xdr:colOff>124331</xdr:colOff>
      <xdr:row>16</xdr:row>
      <xdr:rowOff>1056850</xdr:rowOff>
    </xdr:from>
    <xdr:to>
      <xdr:col>4</xdr:col>
      <xdr:colOff>128565</xdr:colOff>
      <xdr:row>16</xdr:row>
      <xdr:rowOff>2725209</xdr:rowOff>
    </xdr:to>
    <xdr:sp macro="" textlink="">
      <xdr:nvSpPr>
        <xdr:cNvPr id="45" name="Прямоугольник 44"/>
        <xdr:cNvSpPr/>
      </xdr:nvSpPr>
      <xdr:spPr>
        <a:xfrm>
          <a:off x="1800731" y="3952450"/>
          <a:ext cx="918634" cy="1668359"/>
        </a:xfrm>
        <a:prstGeom prst="rect">
          <a:avLst/>
        </a:prstGeom>
        <a:solidFill>
          <a:schemeClr val="bg1">
            <a:lumMod val="6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4</xdr:col>
      <xdr:colOff>562502</xdr:colOff>
      <xdr:row>16</xdr:row>
      <xdr:rowOff>1056850</xdr:rowOff>
    </xdr:from>
    <xdr:to>
      <xdr:col>5</xdr:col>
      <xdr:colOff>433610</xdr:colOff>
      <xdr:row>16</xdr:row>
      <xdr:rowOff>2028618</xdr:rowOff>
    </xdr:to>
    <xdr:sp macro="" textlink="">
      <xdr:nvSpPr>
        <xdr:cNvPr id="46" name="Полилиния 45"/>
        <xdr:cNvSpPr/>
      </xdr:nvSpPr>
      <xdr:spPr>
        <a:xfrm>
          <a:off x="3153302" y="3952450"/>
          <a:ext cx="785508" cy="971768"/>
        </a:xfrm>
        <a:custGeom>
          <a:avLst/>
          <a:gdLst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8" fmla="*/ 560294 w 1019735"/>
            <a:gd name="connsiteY8" fmla="*/ 1423147 h 1423147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9065 w 1019735"/>
            <a:gd name="connsiteY7" fmla="*/ 1428506 h 1428506"/>
            <a:gd name="connsiteX8" fmla="*/ 560294 w 1019735"/>
            <a:gd name="connsiteY8" fmla="*/ 1423147 h 1428506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0782 w 1019735"/>
            <a:gd name="connsiteY7" fmla="*/ 1428506 h 1428506"/>
            <a:gd name="connsiteX8" fmla="*/ 560294 w 1019735"/>
            <a:gd name="connsiteY8" fmla="*/ 1423147 h 1428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19735" h="1428506">
              <a:moveTo>
                <a:pt x="560294" y="1423147"/>
              </a:moveTo>
              <a:lnTo>
                <a:pt x="560294" y="593912"/>
              </a:lnTo>
              <a:lnTo>
                <a:pt x="0" y="593912"/>
              </a:lnTo>
              <a:lnTo>
                <a:pt x="0" y="0"/>
              </a:lnTo>
              <a:lnTo>
                <a:pt x="1019735" y="0"/>
              </a:lnTo>
              <a:lnTo>
                <a:pt x="1019735" y="605117"/>
              </a:lnTo>
              <a:lnTo>
                <a:pt x="952500" y="605117"/>
              </a:lnTo>
              <a:cubicBezTo>
                <a:pt x="955261" y="879580"/>
                <a:pt x="958021" y="1154043"/>
                <a:pt x="960782" y="1428506"/>
              </a:cubicBezTo>
              <a:lnTo>
                <a:pt x="560294" y="1423147"/>
              </a:lnTo>
              <a:close/>
            </a:path>
          </a:pathLst>
        </a:custGeom>
        <a:solidFill>
          <a:schemeClr val="bg1">
            <a:lumMod val="6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184655</xdr:colOff>
      <xdr:row>16</xdr:row>
      <xdr:rowOff>1056852</xdr:rowOff>
    </xdr:from>
    <xdr:to>
      <xdr:col>7</xdr:col>
      <xdr:colOff>493688</xdr:colOff>
      <xdr:row>16</xdr:row>
      <xdr:rowOff>2725943</xdr:rowOff>
    </xdr:to>
    <xdr:sp macro="" textlink="">
      <xdr:nvSpPr>
        <xdr:cNvPr id="47" name="Полилиния 46"/>
        <xdr:cNvSpPr/>
      </xdr:nvSpPr>
      <xdr:spPr>
        <a:xfrm>
          <a:off x="4404230" y="3952452"/>
          <a:ext cx="1023408" cy="1669091"/>
        </a:xfrm>
        <a:custGeom>
          <a:avLst/>
          <a:gdLst>
            <a:gd name="connsiteX0" fmla="*/ 672353 w 1120588"/>
            <a:gd name="connsiteY0" fmla="*/ 1389529 h 1389529"/>
            <a:gd name="connsiteX1" fmla="*/ 504265 w 1120588"/>
            <a:gd name="connsiteY1" fmla="*/ 571500 h 1389529"/>
            <a:gd name="connsiteX2" fmla="*/ 0 w 1120588"/>
            <a:gd name="connsiteY2" fmla="*/ 571500 h 1389529"/>
            <a:gd name="connsiteX3" fmla="*/ 0 w 1120588"/>
            <a:gd name="connsiteY3" fmla="*/ 0 h 1389529"/>
            <a:gd name="connsiteX4" fmla="*/ 1120588 w 1120588"/>
            <a:gd name="connsiteY4" fmla="*/ 0 h 1389529"/>
            <a:gd name="connsiteX0" fmla="*/ 779191 w 1120588"/>
            <a:gd name="connsiteY0" fmla="*/ 1911334 h 1911334"/>
            <a:gd name="connsiteX1" fmla="*/ 504265 w 1120588"/>
            <a:gd name="connsiteY1" fmla="*/ 571500 h 1911334"/>
            <a:gd name="connsiteX2" fmla="*/ 0 w 1120588"/>
            <a:gd name="connsiteY2" fmla="*/ 571500 h 1911334"/>
            <a:gd name="connsiteX3" fmla="*/ 0 w 1120588"/>
            <a:gd name="connsiteY3" fmla="*/ 0 h 1911334"/>
            <a:gd name="connsiteX4" fmla="*/ 1120588 w 1120588"/>
            <a:gd name="connsiteY4" fmla="*/ 0 h 1911334"/>
            <a:gd name="connsiteX0" fmla="*/ 836246 w 1120588"/>
            <a:gd name="connsiteY0" fmla="*/ 2270791 h 2270791"/>
            <a:gd name="connsiteX1" fmla="*/ 504265 w 1120588"/>
            <a:gd name="connsiteY1" fmla="*/ 571500 h 2270791"/>
            <a:gd name="connsiteX2" fmla="*/ 0 w 1120588"/>
            <a:gd name="connsiteY2" fmla="*/ 571500 h 2270791"/>
            <a:gd name="connsiteX3" fmla="*/ 0 w 1120588"/>
            <a:gd name="connsiteY3" fmla="*/ 0 h 2270791"/>
            <a:gd name="connsiteX4" fmla="*/ 1120588 w 1120588"/>
            <a:gd name="connsiteY4" fmla="*/ 0 h 2270791"/>
            <a:gd name="connsiteX0" fmla="*/ 836246 w 1427258"/>
            <a:gd name="connsiteY0" fmla="*/ 2270791 h 2270791"/>
            <a:gd name="connsiteX1" fmla="*/ 504265 w 1427258"/>
            <a:gd name="connsiteY1" fmla="*/ 571500 h 2270791"/>
            <a:gd name="connsiteX2" fmla="*/ 0 w 1427258"/>
            <a:gd name="connsiteY2" fmla="*/ 571500 h 2270791"/>
            <a:gd name="connsiteX3" fmla="*/ 0 w 1427258"/>
            <a:gd name="connsiteY3" fmla="*/ 0 h 2270791"/>
            <a:gd name="connsiteX4" fmla="*/ 1427258 w 1427258"/>
            <a:gd name="connsiteY4" fmla="*/ 0 h 2270791"/>
            <a:gd name="connsiteX0" fmla="*/ 836246 w 1427258"/>
            <a:gd name="connsiteY0" fmla="*/ 2270791 h 2270791"/>
            <a:gd name="connsiteX1" fmla="*/ 504265 w 1427258"/>
            <a:gd name="connsiteY1" fmla="*/ 571500 h 2270791"/>
            <a:gd name="connsiteX2" fmla="*/ 0 w 1427258"/>
            <a:gd name="connsiteY2" fmla="*/ 571500 h 2270791"/>
            <a:gd name="connsiteX3" fmla="*/ 0 w 1427258"/>
            <a:gd name="connsiteY3" fmla="*/ 0 h 2270791"/>
            <a:gd name="connsiteX4" fmla="*/ 1427258 w 1427258"/>
            <a:gd name="connsiteY4" fmla="*/ 0 h 2270791"/>
            <a:gd name="connsiteX5" fmla="*/ 836246 w 1427258"/>
            <a:gd name="connsiteY5" fmla="*/ 2270791 h 2270791"/>
            <a:gd name="connsiteX0" fmla="*/ 836246 w 1427258"/>
            <a:gd name="connsiteY0" fmla="*/ 2270791 h 2270791"/>
            <a:gd name="connsiteX1" fmla="*/ 504265 w 1427258"/>
            <a:gd name="connsiteY1" fmla="*/ 571500 h 2270791"/>
            <a:gd name="connsiteX2" fmla="*/ 0 w 1427258"/>
            <a:gd name="connsiteY2" fmla="*/ 571500 h 2270791"/>
            <a:gd name="connsiteX3" fmla="*/ 0 w 1427258"/>
            <a:gd name="connsiteY3" fmla="*/ 0 h 2270791"/>
            <a:gd name="connsiteX4" fmla="*/ 1427258 w 1427258"/>
            <a:gd name="connsiteY4" fmla="*/ 0 h 2270791"/>
            <a:gd name="connsiteX5" fmla="*/ 993405 w 1427258"/>
            <a:gd name="connsiteY5" fmla="*/ 1604208 h 2270791"/>
            <a:gd name="connsiteX6" fmla="*/ 836246 w 1427258"/>
            <a:gd name="connsiteY6" fmla="*/ 2270791 h 2270791"/>
            <a:gd name="connsiteX0" fmla="*/ 836246 w 1427258"/>
            <a:gd name="connsiteY0" fmla="*/ 2270791 h 2271788"/>
            <a:gd name="connsiteX1" fmla="*/ 504265 w 1427258"/>
            <a:gd name="connsiteY1" fmla="*/ 571500 h 2271788"/>
            <a:gd name="connsiteX2" fmla="*/ 0 w 1427258"/>
            <a:gd name="connsiteY2" fmla="*/ 571500 h 2271788"/>
            <a:gd name="connsiteX3" fmla="*/ 0 w 1427258"/>
            <a:gd name="connsiteY3" fmla="*/ 0 h 2271788"/>
            <a:gd name="connsiteX4" fmla="*/ 1427258 w 1427258"/>
            <a:gd name="connsiteY4" fmla="*/ 0 h 2271788"/>
            <a:gd name="connsiteX5" fmla="*/ 1409014 w 1427258"/>
            <a:gd name="connsiteY5" fmla="*/ 2271788 h 2271788"/>
            <a:gd name="connsiteX6" fmla="*/ 836246 w 1427258"/>
            <a:gd name="connsiteY6" fmla="*/ 2270791 h 22717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27258" h="2271788">
              <a:moveTo>
                <a:pt x="836246" y="2270791"/>
              </a:moveTo>
              <a:lnTo>
                <a:pt x="504265" y="571500"/>
              </a:lnTo>
              <a:lnTo>
                <a:pt x="0" y="571500"/>
              </a:lnTo>
              <a:lnTo>
                <a:pt x="0" y="0"/>
              </a:lnTo>
              <a:lnTo>
                <a:pt x="1427258" y="0"/>
              </a:lnTo>
              <a:lnTo>
                <a:pt x="1409014" y="2271788"/>
              </a:lnTo>
              <a:lnTo>
                <a:pt x="836246" y="2270791"/>
              </a:lnTo>
              <a:close/>
            </a:path>
          </a:pathLst>
        </a:custGeom>
        <a:solidFill>
          <a:schemeClr val="bg1">
            <a:lumMod val="6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133855</xdr:colOff>
      <xdr:row>16</xdr:row>
      <xdr:rowOff>143933</xdr:rowOff>
    </xdr:from>
    <xdr:to>
      <xdr:col>7</xdr:col>
      <xdr:colOff>573273</xdr:colOff>
      <xdr:row>16</xdr:row>
      <xdr:rowOff>202948</xdr:rowOff>
    </xdr:to>
    <xdr:sp macro="" textlink="">
      <xdr:nvSpPr>
        <xdr:cNvPr id="48" name="Полилиния 47"/>
        <xdr:cNvSpPr/>
      </xdr:nvSpPr>
      <xdr:spPr>
        <a:xfrm flipV="1">
          <a:off x="1810255" y="3039533"/>
          <a:ext cx="3696968" cy="59015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2">
              <a:lumMod val="40000"/>
              <a:lumOff val="60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57056</xdr:colOff>
      <xdr:row>16</xdr:row>
      <xdr:rowOff>1214865</xdr:rowOff>
    </xdr:from>
    <xdr:to>
      <xdr:col>5</xdr:col>
      <xdr:colOff>57056</xdr:colOff>
      <xdr:row>16</xdr:row>
      <xdr:rowOff>1214865</xdr:rowOff>
    </xdr:to>
    <xdr:cxnSp macro="">
      <xdr:nvCxnSpPr>
        <xdr:cNvPr id="49" name="Прямая соединительная линия 48"/>
        <xdr:cNvCxnSpPr/>
      </xdr:nvCxnSpPr>
      <xdr:spPr>
        <a:xfrm>
          <a:off x="3562256" y="4110465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421782</xdr:colOff>
      <xdr:row>16</xdr:row>
      <xdr:rowOff>2318807</xdr:rowOff>
    </xdr:from>
    <xdr:to>
      <xdr:col>6</xdr:col>
      <xdr:colOff>309808</xdr:colOff>
      <xdr:row>16</xdr:row>
      <xdr:rowOff>2727628</xdr:rowOff>
    </xdr:to>
    <xdr:sp macro="" textlink="">
      <xdr:nvSpPr>
        <xdr:cNvPr id="50" name="Прямоугольник 49"/>
        <xdr:cNvSpPr/>
      </xdr:nvSpPr>
      <xdr:spPr>
        <a:xfrm>
          <a:off x="3012582" y="5214407"/>
          <a:ext cx="1516801" cy="408821"/>
        </a:xfrm>
        <a:prstGeom prst="rect">
          <a:avLst/>
        </a:prstGeom>
        <a:solidFill>
          <a:srgbClr val="00B05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SKODA</a:t>
          </a:r>
          <a:endParaRPr lang="ru-RU" sz="1200" b="1"/>
        </a:p>
      </xdr:txBody>
    </xdr:sp>
    <xdr:clientData/>
  </xdr:twoCellAnchor>
  <xdr:twoCellAnchor>
    <xdr:from>
      <xdr:col>3</xdr:col>
      <xdr:colOff>133855</xdr:colOff>
      <xdr:row>16</xdr:row>
      <xdr:rowOff>886883</xdr:rowOff>
    </xdr:from>
    <xdr:to>
      <xdr:col>7</xdr:col>
      <xdr:colOff>573273</xdr:colOff>
      <xdr:row>16</xdr:row>
      <xdr:rowOff>945898</xdr:rowOff>
    </xdr:to>
    <xdr:sp macro="" textlink="">
      <xdr:nvSpPr>
        <xdr:cNvPr id="51" name="Полилиния 50"/>
        <xdr:cNvSpPr/>
      </xdr:nvSpPr>
      <xdr:spPr>
        <a:xfrm flipV="1">
          <a:off x="1810255" y="3782483"/>
          <a:ext cx="3696968" cy="59015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2">
              <a:lumMod val="40000"/>
              <a:lumOff val="60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125015</xdr:colOff>
      <xdr:row>16</xdr:row>
      <xdr:rowOff>771524</xdr:rowOff>
    </xdr:from>
    <xdr:to>
      <xdr:col>4</xdr:col>
      <xdr:colOff>345920</xdr:colOff>
      <xdr:row>16</xdr:row>
      <xdr:rowOff>1219199</xdr:rowOff>
    </xdr:to>
    <xdr:sp macro="" textlink="">
      <xdr:nvSpPr>
        <xdr:cNvPr id="52" name="Полилиния 51"/>
        <xdr:cNvSpPr/>
      </xdr:nvSpPr>
      <xdr:spPr>
        <a:xfrm flipH="1">
          <a:off x="1803796" y="10260805"/>
          <a:ext cx="1137687" cy="447675"/>
        </a:xfrm>
        <a:custGeom>
          <a:avLst/>
          <a:gdLst>
            <a:gd name="connsiteX0" fmla="*/ 0 w 807720"/>
            <a:gd name="connsiteY0" fmla="*/ 624840 h 624840"/>
            <a:gd name="connsiteX1" fmla="*/ 0 w 807720"/>
            <a:gd name="connsiteY1" fmla="*/ 0 h 624840"/>
            <a:gd name="connsiteX2" fmla="*/ 807720 w 807720"/>
            <a:gd name="connsiteY2" fmla="*/ 0 h 6248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7720" h="624840">
              <a:moveTo>
                <a:pt x="0" y="624840"/>
              </a:moveTo>
              <a:lnTo>
                <a:pt x="0" y="0"/>
              </a:lnTo>
              <a:lnTo>
                <a:pt x="807720" y="0"/>
              </a:lnTo>
            </a:path>
          </a:pathLst>
        </a:custGeom>
        <a:noFill/>
        <a:ln w="3492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474683</xdr:colOff>
      <xdr:row>16</xdr:row>
      <xdr:rowOff>2241258</xdr:rowOff>
    </xdr:from>
    <xdr:to>
      <xdr:col>5</xdr:col>
      <xdr:colOff>16163</xdr:colOff>
      <xdr:row>16</xdr:row>
      <xdr:rowOff>2699519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0246" y="11730539"/>
          <a:ext cx="458261" cy="458261"/>
        </a:xfrm>
        <a:prstGeom prst="rect">
          <a:avLst/>
        </a:prstGeom>
      </xdr:spPr>
    </xdr:pic>
    <xdr:clientData/>
  </xdr:twoCellAnchor>
  <xdr:twoCellAnchor>
    <xdr:from>
      <xdr:col>3</xdr:col>
      <xdr:colOff>113194</xdr:colOff>
      <xdr:row>16</xdr:row>
      <xdr:rowOff>718103</xdr:rowOff>
    </xdr:from>
    <xdr:to>
      <xdr:col>3</xdr:col>
      <xdr:colOff>232694</xdr:colOff>
      <xdr:row>16</xdr:row>
      <xdr:rowOff>826103</xdr:rowOff>
    </xdr:to>
    <xdr:sp macro="" textlink="">
      <xdr:nvSpPr>
        <xdr:cNvPr id="54" name="Овал 53"/>
        <xdr:cNvSpPr>
          <a:spLocks noChangeAspect="1"/>
        </xdr:cNvSpPr>
      </xdr:nvSpPr>
      <xdr:spPr>
        <a:xfrm>
          <a:off x="1791975" y="10207384"/>
          <a:ext cx="1195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92480</xdr:colOff>
      <xdr:row>16</xdr:row>
      <xdr:rowOff>1097816</xdr:rowOff>
    </xdr:from>
    <xdr:to>
      <xdr:col>4</xdr:col>
      <xdr:colOff>594292</xdr:colOff>
      <xdr:row>16</xdr:row>
      <xdr:rowOff>1216782</xdr:rowOff>
    </xdr:to>
    <xdr:grpSp>
      <xdr:nvGrpSpPr>
        <xdr:cNvPr id="55" name="Группа 54"/>
        <xdr:cNvGrpSpPr/>
      </xdr:nvGrpSpPr>
      <xdr:grpSpPr>
        <a:xfrm>
          <a:off x="2692245" y="13883728"/>
          <a:ext cx="501812" cy="118966"/>
          <a:chOff x="2687221" y="3988161"/>
          <a:chExt cx="501812" cy="118966"/>
        </a:xfrm>
      </xdr:grpSpPr>
      <xdr:cxnSp macro="">
        <xdr:nvCxnSpPr>
          <xdr:cNvPr id="56" name="Прямая соединительная линия 55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7" name="Овал 56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9" name="Овал 5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407789</xdr:colOff>
      <xdr:row>16</xdr:row>
      <xdr:rowOff>1214865</xdr:rowOff>
    </xdr:from>
    <xdr:to>
      <xdr:col>5</xdr:col>
      <xdr:colOff>407789</xdr:colOff>
      <xdr:row>16</xdr:row>
      <xdr:rowOff>1214865</xdr:rowOff>
    </xdr:to>
    <xdr:cxnSp macro="">
      <xdr:nvCxnSpPr>
        <xdr:cNvPr id="61" name="Прямая соединительная линия 60"/>
        <xdr:cNvCxnSpPr/>
      </xdr:nvCxnSpPr>
      <xdr:spPr>
        <a:xfrm>
          <a:off x="3912989" y="4110465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159657</xdr:colOff>
      <xdr:row>16</xdr:row>
      <xdr:rowOff>1165403</xdr:rowOff>
    </xdr:from>
    <xdr:to>
      <xdr:col>6</xdr:col>
      <xdr:colOff>206722</xdr:colOff>
      <xdr:row>16</xdr:row>
      <xdr:rowOff>1216782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spect="1"/>
        </xdr:cNvSpPr>
      </xdr:nvSpPr>
      <xdr:spPr>
        <a:xfrm flipV="1">
          <a:off x="4379232" y="4061003"/>
          <a:ext cx="47065" cy="5137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6</xdr:col>
      <xdr:colOff>87070</xdr:colOff>
      <xdr:row>16</xdr:row>
      <xdr:rowOff>1097816</xdr:rowOff>
    </xdr:from>
    <xdr:to>
      <xdr:col>6</xdr:col>
      <xdr:colOff>159479</xdr:colOff>
      <xdr:row>16</xdr:row>
      <xdr:rowOff>1169816</xdr:rowOff>
    </xdr:to>
    <xdr:cxnSp macro="">
      <xdr:nvCxnSpPr>
        <xdr:cNvPr id="63" name="Прямая со стрелкой 62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CxnSpPr/>
      </xdr:nvCxnSpPr>
      <xdr:spPr>
        <a:xfrm flipH="1" flipV="1">
          <a:off x="4306645" y="3993416"/>
          <a:ext cx="72409" cy="7200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411786</xdr:colOff>
      <xdr:row>16</xdr:row>
      <xdr:rowOff>1165403</xdr:rowOff>
    </xdr:from>
    <xdr:to>
      <xdr:col>5</xdr:col>
      <xdr:colOff>458851</xdr:colOff>
      <xdr:row>16</xdr:row>
      <xdr:rowOff>1216782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>
          <a:spLocks noChangeAspect="1"/>
        </xdr:cNvSpPr>
      </xdr:nvSpPr>
      <xdr:spPr>
        <a:xfrm flipH="1" flipV="1">
          <a:off x="3916986" y="4061003"/>
          <a:ext cx="47065" cy="51379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5</xdr:col>
      <xdr:colOff>459030</xdr:colOff>
      <xdr:row>16</xdr:row>
      <xdr:rowOff>1097816</xdr:rowOff>
    </xdr:from>
    <xdr:to>
      <xdr:col>5</xdr:col>
      <xdr:colOff>531439</xdr:colOff>
      <xdr:row>16</xdr:row>
      <xdr:rowOff>1169816</xdr:rowOff>
    </xdr:to>
    <xdr:cxnSp macro="">
      <xdr:nvCxnSpPr>
        <xdr:cNvPr id="65" name="Прямая со стрелкой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CxnSpPr/>
      </xdr:nvCxnSpPr>
      <xdr:spPr>
        <a:xfrm flipV="1">
          <a:off x="3964230" y="3993416"/>
          <a:ext cx="72409" cy="7200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312309</xdr:colOff>
      <xdr:row>16</xdr:row>
      <xdr:rowOff>1487366</xdr:rowOff>
    </xdr:from>
    <xdr:to>
      <xdr:col>7</xdr:col>
      <xdr:colOff>190500</xdr:colOff>
      <xdr:row>16</xdr:row>
      <xdr:rowOff>2242039</xdr:rowOff>
    </xdr:to>
    <xdr:sp macro="" textlink="">
      <xdr:nvSpPr>
        <xdr:cNvPr id="66" name="TextBox 65"/>
        <xdr:cNvSpPr txBox="1"/>
      </xdr:nvSpPr>
      <xdr:spPr>
        <a:xfrm>
          <a:off x="2898713" y="10975731"/>
          <a:ext cx="2237460" cy="754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КВ-7</a:t>
          </a:r>
          <a:r>
            <a:rPr lang="ru-RU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Финиш находится в здании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Разрешен ранний финиш в любых пределах</a:t>
          </a:r>
        </a:p>
      </xdr:txBody>
    </xdr:sp>
    <xdr:clientData/>
  </xdr:twoCellAnchor>
  <xdr:twoCellAnchor>
    <xdr:from>
      <xdr:col>6</xdr:col>
      <xdr:colOff>235617</xdr:colOff>
      <xdr:row>16</xdr:row>
      <xdr:rowOff>1193131</xdr:rowOff>
    </xdr:from>
    <xdr:to>
      <xdr:col>7</xdr:col>
      <xdr:colOff>436145</xdr:colOff>
      <xdr:row>16</xdr:row>
      <xdr:rowOff>1193131</xdr:rowOff>
    </xdr:to>
    <xdr:cxnSp macro="">
      <xdr:nvCxnSpPr>
        <xdr:cNvPr id="67" name="Прямая соединительная линия 66"/>
        <xdr:cNvCxnSpPr/>
      </xdr:nvCxnSpPr>
      <xdr:spPr>
        <a:xfrm>
          <a:off x="4455192" y="4088731"/>
          <a:ext cx="914903" cy="0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175460</xdr:colOff>
      <xdr:row>16</xdr:row>
      <xdr:rowOff>1193131</xdr:rowOff>
    </xdr:from>
    <xdr:to>
      <xdr:col>4</xdr:col>
      <xdr:colOff>105277</xdr:colOff>
      <xdr:row>16</xdr:row>
      <xdr:rowOff>1193131</xdr:rowOff>
    </xdr:to>
    <xdr:cxnSp macro="">
      <xdr:nvCxnSpPr>
        <xdr:cNvPr id="68" name="Прямая соединительная линия 67"/>
        <xdr:cNvCxnSpPr/>
      </xdr:nvCxnSpPr>
      <xdr:spPr>
        <a:xfrm>
          <a:off x="1851860" y="4088731"/>
          <a:ext cx="844217" cy="0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606592</xdr:colOff>
      <xdr:row>16</xdr:row>
      <xdr:rowOff>1193131</xdr:rowOff>
    </xdr:from>
    <xdr:to>
      <xdr:col>5</xdr:col>
      <xdr:colOff>370974</xdr:colOff>
      <xdr:row>16</xdr:row>
      <xdr:rowOff>1193131</xdr:rowOff>
    </xdr:to>
    <xdr:cxnSp macro="">
      <xdr:nvCxnSpPr>
        <xdr:cNvPr id="69" name="Прямая соединительная линия 68"/>
        <xdr:cNvCxnSpPr/>
      </xdr:nvCxnSpPr>
      <xdr:spPr>
        <a:xfrm>
          <a:off x="3197392" y="4088731"/>
          <a:ext cx="678782" cy="0"/>
        </a:xfrm>
        <a:prstGeom prst="line">
          <a:avLst/>
        </a:prstGeom>
        <a:ln w="1905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345920</xdr:colOff>
      <xdr:row>16</xdr:row>
      <xdr:rowOff>1193320</xdr:rowOff>
    </xdr:from>
    <xdr:to>
      <xdr:col>4</xdr:col>
      <xdr:colOff>345920</xdr:colOff>
      <xdr:row>16</xdr:row>
      <xdr:rowOff>1682150</xdr:rowOff>
    </xdr:to>
    <xdr:cxnSp macro="">
      <xdr:nvCxnSpPr>
        <xdr:cNvPr id="70" name="Прямая соединительная линия 69"/>
        <xdr:cNvCxnSpPr/>
      </xdr:nvCxnSpPr>
      <xdr:spPr>
        <a:xfrm>
          <a:off x="2932324" y="10681685"/>
          <a:ext cx="0" cy="488830"/>
        </a:xfrm>
        <a:prstGeom prst="line">
          <a:avLst/>
        </a:prstGeom>
        <a:ln w="34925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367516</xdr:colOff>
      <xdr:row>16</xdr:row>
      <xdr:rowOff>1191083</xdr:rowOff>
    </xdr:from>
    <xdr:to>
      <xdr:col>4</xdr:col>
      <xdr:colOff>503573</xdr:colOff>
      <xdr:row>16</xdr:row>
      <xdr:rowOff>1316968</xdr:rowOff>
    </xdr:to>
    <xdr:grpSp>
      <xdr:nvGrpSpPr>
        <xdr:cNvPr id="72" name="Группа 71"/>
        <xdr:cNvGrpSpPr/>
      </xdr:nvGrpSpPr>
      <xdr:grpSpPr>
        <a:xfrm rot="5400000" flipH="1">
          <a:off x="2972367" y="13971909"/>
          <a:ext cx="125885" cy="136057"/>
          <a:chOff x="1132242" y="1306343"/>
          <a:chExt cx="123151" cy="128030"/>
        </a:xfrm>
      </xdr:grpSpPr>
      <xdr:cxnSp macro="">
        <xdr:nvCxnSpPr>
          <xdr:cNvPr id="73" name="Прямая соединительная линия 7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4" name="Прямоугольник 7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347382</xdr:colOff>
      <xdr:row>17</xdr:row>
      <xdr:rowOff>56029</xdr:rowOff>
    </xdr:from>
    <xdr:to>
      <xdr:col>7</xdr:col>
      <xdr:colOff>353494</xdr:colOff>
      <xdr:row>17</xdr:row>
      <xdr:rowOff>1434353</xdr:rowOff>
    </xdr:to>
    <xdr:sp macro="" textlink="">
      <xdr:nvSpPr>
        <xdr:cNvPr id="76" name="TextBox 75"/>
        <xdr:cNvSpPr txBox="1"/>
      </xdr:nvSpPr>
      <xdr:spPr>
        <a:xfrm>
          <a:off x="347382" y="12841941"/>
          <a:ext cx="4970318" cy="1378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/>
            <a:t>Поздравляем с финишем!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428091</xdr:colOff>
      <xdr:row>131</xdr:row>
      <xdr:rowOff>381000</xdr:rowOff>
    </xdr:from>
    <xdr:to>
      <xdr:col>4</xdr:col>
      <xdr:colOff>428091</xdr:colOff>
      <xdr:row>132</xdr:row>
      <xdr:rowOff>550332</xdr:rowOff>
    </xdr:to>
    <xdr:cxnSp macro="">
      <xdr:nvCxnSpPr>
        <xdr:cNvPr id="2" name="Прямая соединительная линия 1"/>
        <xdr:cNvCxnSpPr/>
      </xdr:nvCxnSpPr>
      <xdr:spPr>
        <a:xfrm flipV="1">
          <a:off x="3018891" y="57350025"/>
          <a:ext cx="0" cy="864657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428091</xdr:colOff>
      <xdr:row>119</xdr:row>
      <xdr:rowOff>338668</xdr:rowOff>
    </xdr:from>
    <xdr:to>
      <xdr:col>4</xdr:col>
      <xdr:colOff>428091</xdr:colOff>
      <xdr:row>120</xdr:row>
      <xdr:rowOff>508000</xdr:rowOff>
    </xdr:to>
    <xdr:cxnSp macro="">
      <xdr:nvCxnSpPr>
        <xdr:cNvPr id="3" name="Прямая соединительная линия 2"/>
        <xdr:cNvCxnSpPr/>
      </xdr:nvCxnSpPr>
      <xdr:spPr>
        <a:xfrm flipV="1">
          <a:off x="3018891" y="55917043"/>
          <a:ext cx="0" cy="864657"/>
        </a:xfrm>
        <a:prstGeom prst="line">
          <a:avLst/>
        </a:prstGeom>
        <a:ln w="5080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306457</xdr:colOff>
      <xdr:row>41</xdr:row>
      <xdr:rowOff>488388</xdr:rowOff>
    </xdr:from>
    <xdr:to>
      <xdr:col>3</xdr:col>
      <xdr:colOff>45200</xdr:colOff>
      <xdr:row>42</xdr:row>
      <xdr:rowOff>527736</xdr:rowOff>
    </xdr:to>
    <xdr:sp macro="" textlink="">
      <xdr:nvSpPr>
        <xdr:cNvPr id="4" name="Прямоугольник 3"/>
        <xdr:cNvSpPr/>
      </xdr:nvSpPr>
      <xdr:spPr>
        <a:xfrm>
          <a:off x="1735207" y="24081813"/>
          <a:ext cx="319768" cy="734673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</xdr:colOff>
      <xdr:row>9</xdr:row>
      <xdr:rowOff>95250</xdr:rowOff>
    </xdr:from>
    <xdr:to>
      <xdr:col>3</xdr:col>
      <xdr:colOff>1</xdr:colOff>
      <xdr:row>10</xdr:row>
      <xdr:rowOff>583748</xdr:rowOff>
    </xdr:to>
    <xdr:cxnSp macro="">
      <xdr:nvCxnSpPr>
        <xdr:cNvPr id="5" name="Прямая соединительная линия 4"/>
        <xdr:cNvCxnSpPr/>
      </xdr:nvCxnSpPr>
      <xdr:spPr>
        <a:xfrm flipV="1">
          <a:off x="2009776" y="143827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10</xdr:row>
      <xdr:rowOff>519793</xdr:rowOff>
    </xdr:from>
    <xdr:to>
      <xdr:col>3</xdr:col>
      <xdr:colOff>54932</xdr:colOff>
      <xdr:row>10</xdr:row>
      <xdr:rowOff>627793</xdr:rowOff>
    </xdr:to>
    <xdr:sp macro="" textlink="">
      <xdr:nvSpPr>
        <xdr:cNvPr id="6" name="Овал 5"/>
        <xdr:cNvSpPr/>
      </xdr:nvSpPr>
      <xdr:spPr>
        <a:xfrm>
          <a:off x="1956707" y="25581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137432</xdr:colOff>
      <xdr:row>9</xdr:row>
      <xdr:rowOff>643618</xdr:rowOff>
    </xdr:from>
    <xdr:to>
      <xdr:col>3</xdr:col>
      <xdr:colOff>281432</xdr:colOff>
      <xdr:row>10</xdr:row>
      <xdr:rowOff>92293</xdr:rowOff>
    </xdr:to>
    <xdr:sp macro="" textlink="">
      <xdr:nvSpPr>
        <xdr:cNvPr id="7" name="Овал 6"/>
        <xdr:cNvSpPr/>
      </xdr:nvSpPr>
      <xdr:spPr>
        <a:xfrm>
          <a:off x="2147207" y="198664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439615</xdr:colOff>
      <xdr:row>9</xdr:row>
      <xdr:rowOff>549520</xdr:rowOff>
    </xdr:from>
    <xdr:to>
      <xdr:col>2</xdr:col>
      <xdr:colOff>563302</xdr:colOff>
      <xdr:row>9</xdr:row>
      <xdr:rowOff>677550</xdr:rowOff>
    </xdr:to>
    <xdr:grpSp>
      <xdr:nvGrpSpPr>
        <xdr:cNvPr id="8" name="Группа 7"/>
        <xdr:cNvGrpSpPr/>
      </xdr:nvGrpSpPr>
      <xdr:grpSpPr>
        <a:xfrm>
          <a:off x="1878948" y="1914770"/>
          <a:ext cx="123687" cy="128030"/>
          <a:chOff x="1132242" y="1306343"/>
          <a:chExt cx="123151" cy="128030"/>
        </a:xfrm>
      </xdr:grpSpPr>
      <xdr:cxnSp macro="">
        <xdr:nvCxnSpPr>
          <xdr:cNvPr id="9" name="Прямая соединительная линия 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Прямоугольник 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579561</xdr:colOff>
      <xdr:row>181</xdr:row>
      <xdr:rowOff>76200</xdr:rowOff>
    </xdr:from>
    <xdr:to>
      <xdr:col>2</xdr:col>
      <xdr:colOff>579561</xdr:colOff>
      <xdr:row>182</xdr:row>
      <xdr:rowOff>564698</xdr:rowOff>
    </xdr:to>
    <xdr:cxnSp macro="">
      <xdr:nvCxnSpPr>
        <xdr:cNvPr id="11" name="Прямая соединительная линия 10"/>
        <xdr:cNvCxnSpPr/>
      </xdr:nvCxnSpPr>
      <xdr:spPr>
        <a:xfrm flipV="1">
          <a:off x="2008311" y="83467575"/>
          <a:ext cx="0" cy="1183823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182</xdr:row>
      <xdr:rowOff>500743</xdr:rowOff>
    </xdr:from>
    <xdr:to>
      <xdr:col>3</xdr:col>
      <xdr:colOff>53467</xdr:colOff>
      <xdr:row>182</xdr:row>
      <xdr:rowOff>608743</xdr:rowOff>
    </xdr:to>
    <xdr:sp macro="" textlink="">
      <xdr:nvSpPr>
        <xdr:cNvPr id="12" name="Овал 11"/>
        <xdr:cNvSpPr/>
      </xdr:nvSpPr>
      <xdr:spPr>
        <a:xfrm>
          <a:off x="1955242" y="845874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181</xdr:row>
      <xdr:rowOff>624568</xdr:rowOff>
    </xdr:from>
    <xdr:to>
      <xdr:col>3</xdr:col>
      <xdr:colOff>279967</xdr:colOff>
      <xdr:row>182</xdr:row>
      <xdr:rowOff>73243</xdr:rowOff>
    </xdr:to>
    <xdr:sp macro="" textlink="">
      <xdr:nvSpPr>
        <xdr:cNvPr id="13" name="Овал 12"/>
        <xdr:cNvSpPr/>
      </xdr:nvSpPr>
      <xdr:spPr>
        <a:xfrm>
          <a:off x="2145742" y="8401594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12328</xdr:colOff>
      <xdr:row>181</xdr:row>
      <xdr:rowOff>564088</xdr:rowOff>
    </xdr:from>
    <xdr:to>
      <xdr:col>3</xdr:col>
      <xdr:colOff>136015</xdr:colOff>
      <xdr:row>181</xdr:row>
      <xdr:rowOff>692118</xdr:rowOff>
    </xdr:to>
    <xdr:grpSp>
      <xdr:nvGrpSpPr>
        <xdr:cNvPr id="14" name="Группа 13"/>
        <xdr:cNvGrpSpPr/>
      </xdr:nvGrpSpPr>
      <xdr:grpSpPr>
        <a:xfrm flipH="1">
          <a:off x="2033745" y="84352338"/>
          <a:ext cx="123687" cy="128030"/>
          <a:chOff x="1132242" y="1306343"/>
          <a:chExt cx="123151" cy="128030"/>
        </a:xfrm>
      </xdr:grpSpPr>
      <xdr:cxnSp macro="">
        <xdr:nvCxnSpPr>
          <xdr:cNvPr id="15" name="Прямая соединительная линия 1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Прямоугольник 1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104775</xdr:colOff>
      <xdr:row>9</xdr:row>
      <xdr:rowOff>390525</xdr:rowOff>
    </xdr:from>
    <xdr:to>
      <xdr:col>4</xdr:col>
      <xdr:colOff>714428</xdr:colOff>
      <xdr:row>10</xdr:row>
      <xdr:rowOff>304853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1733550"/>
          <a:ext cx="609653" cy="609653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181</xdr:row>
      <xdr:rowOff>415017</xdr:rowOff>
    </xdr:from>
    <xdr:to>
      <xdr:col>4</xdr:col>
      <xdr:colOff>714428</xdr:colOff>
      <xdr:row>182</xdr:row>
      <xdr:rowOff>329340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83806392"/>
          <a:ext cx="609653" cy="609648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11</xdr:row>
      <xdr:rowOff>57150</xdr:rowOff>
    </xdr:from>
    <xdr:to>
      <xdr:col>3</xdr:col>
      <xdr:colOff>1</xdr:colOff>
      <xdr:row>12</xdr:row>
      <xdr:rowOff>545648</xdr:rowOff>
    </xdr:to>
    <xdr:cxnSp macro="">
      <xdr:nvCxnSpPr>
        <xdr:cNvPr id="19" name="Прямая соединительная линия 18"/>
        <xdr:cNvCxnSpPr/>
      </xdr:nvCxnSpPr>
      <xdr:spPr>
        <a:xfrm flipV="1">
          <a:off x="2009776" y="2790825"/>
          <a:ext cx="0" cy="118382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12</xdr:row>
      <xdr:rowOff>481693</xdr:rowOff>
    </xdr:from>
    <xdr:to>
      <xdr:col>3</xdr:col>
      <xdr:colOff>54932</xdr:colOff>
      <xdr:row>12</xdr:row>
      <xdr:rowOff>589693</xdr:rowOff>
    </xdr:to>
    <xdr:sp macro="" textlink="">
      <xdr:nvSpPr>
        <xdr:cNvPr id="20" name="Овал 19"/>
        <xdr:cNvSpPr/>
      </xdr:nvSpPr>
      <xdr:spPr>
        <a:xfrm>
          <a:off x="1956707" y="39106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295275</xdr:colOff>
      <xdr:row>11</xdr:row>
      <xdr:rowOff>57150</xdr:rowOff>
    </xdr:from>
    <xdr:to>
      <xdr:col>3</xdr:col>
      <xdr:colOff>0</xdr:colOff>
      <xdr:row>12</xdr:row>
      <xdr:rowOff>486000</xdr:rowOff>
    </xdr:to>
    <xdr:cxnSp macro="">
      <xdr:nvCxnSpPr>
        <xdr:cNvPr id="21" name="Прямая соединительная линия 20"/>
        <xdr:cNvCxnSpPr/>
      </xdr:nvCxnSpPr>
      <xdr:spPr>
        <a:xfrm>
          <a:off x="1724025" y="2790825"/>
          <a:ext cx="285750" cy="11241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66675</xdr:rowOff>
    </xdr:from>
    <xdr:to>
      <xdr:col>3</xdr:col>
      <xdr:colOff>219075</xdr:colOff>
      <xdr:row>12</xdr:row>
      <xdr:rowOff>504825</xdr:rowOff>
    </xdr:to>
    <xdr:sp macro="" textlink="">
      <xdr:nvSpPr>
        <xdr:cNvPr id="22" name="Полилиния 21"/>
        <xdr:cNvSpPr/>
      </xdr:nvSpPr>
      <xdr:spPr>
        <a:xfrm>
          <a:off x="2009775" y="2800350"/>
          <a:ext cx="219075" cy="1133475"/>
        </a:xfrm>
        <a:custGeom>
          <a:avLst/>
          <a:gdLst>
            <a:gd name="connsiteX0" fmla="*/ 0 w 238125"/>
            <a:gd name="connsiteY0" fmla="*/ 1114425 h 1114425"/>
            <a:gd name="connsiteX1" fmla="*/ 0 w 238125"/>
            <a:gd name="connsiteY1" fmla="*/ 676275 h 1114425"/>
            <a:gd name="connsiteX2" fmla="*/ 238125 w 238125"/>
            <a:gd name="connsiteY2" fmla="*/ 0 h 1114425"/>
            <a:gd name="connsiteX0" fmla="*/ 0 w 276225"/>
            <a:gd name="connsiteY0" fmla="*/ 1143000 h 1143000"/>
            <a:gd name="connsiteX1" fmla="*/ 0 w 276225"/>
            <a:gd name="connsiteY1" fmla="*/ 704850 h 1143000"/>
            <a:gd name="connsiteX2" fmla="*/ 276225 w 276225"/>
            <a:gd name="connsiteY2" fmla="*/ 0 h 1143000"/>
            <a:gd name="connsiteX0" fmla="*/ 0 w 219075"/>
            <a:gd name="connsiteY0" fmla="*/ 1133475 h 1133475"/>
            <a:gd name="connsiteX1" fmla="*/ 0 w 219075"/>
            <a:gd name="connsiteY1" fmla="*/ 695325 h 1133475"/>
            <a:gd name="connsiteX2" fmla="*/ 219075 w 2190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9075" h="1133475">
              <a:moveTo>
                <a:pt x="0" y="1133475"/>
              </a:moveTo>
              <a:lnTo>
                <a:pt x="0" y="695325"/>
              </a:lnTo>
              <a:lnTo>
                <a:pt x="219075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10990</xdr:colOff>
      <xdr:row>12</xdr:row>
      <xdr:rowOff>44695</xdr:rowOff>
    </xdr:from>
    <xdr:to>
      <xdr:col>3</xdr:col>
      <xdr:colOff>134677</xdr:colOff>
      <xdr:row>12</xdr:row>
      <xdr:rowOff>172725</xdr:rowOff>
    </xdr:to>
    <xdr:grpSp>
      <xdr:nvGrpSpPr>
        <xdr:cNvPr id="23" name="Группа 22"/>
        <xdr:cNvGrpSpPr/>
      </xdr:nvGrpSpPr>
      <xdr:grpSpPr>
        <a:xfrm rot="10800000">
          <a:off x="2032407" y="3505445"/>
          <a:ext cx="123687" cy="128030"/>
          <a:chOff x="1132242" y="1306343"/>
          <a:chExt cx="123151" cy="128030"/>
        </a:xfrm>
      </xdr:grpSpPr>
      <xdr:cxnSp macro="">
        <xdr:nvCxnSpPr>
          <xdr:cNvPr id="24" name="Прямая соединительная линия 2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Прямоугольник 2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</xdr:colOff>
      <xdr:row>13</xdr:row>
      <xdr:rowOff>57150</xdr:rowOff>
    </xdr:from>
    <xdr:to>
      <xdr:col>3</xdr:col>
      <xdr:colOff>1</xdr:colOff>
      <xdr:row>14</xdr:row>
      <xdr:rowOff>545648</xdr:rowOff>
    </xdr:to>
    <xdr:cxnSp macro="">
      <xdr:nvCxnSpPr>
        <xdr:cNvPr id="26" name="Прямая соединительная линия 25"/>
        <xdr:cNvCxnSpPr/>
      </xdr:nvCxnSpPr>
      <xdr:spPr>
        <a:xfrm flipV="1">
          <a:off x="2009776" y="4181475"/>
          <a:ext cx="0" cy="118382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14</xdr:row>
      <xdr:rowOff>481693</xdr:rowOff>
    </xdr:from>
    <xdr:to>
      <xdr:col>3</xdr:col>
      <xdr:colOff>54932</xdr:colOff>
      <xdr:row>14</xdr:row>
      <xdr:rowOff>589693</xdr:rowOff>
    </xdr:to>
    <xdr:sp macro="" textlink="">
      <xdr:nvSpPr>
        <xdr:cNvPr id="27" name="Овал 26"/>
        <xdr:cNvSpPr/>
      </xdr:nvSpPr>
      <xdr:spPr>
        <a:xfrm>
          <a:off x="1956707" y="53013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0</xdr:colOff>
      <xdr:row>13</xdr:row>
      <xdr:rowOff>66675</xdr:rowOff>
    </xdr:from>
    <xdr:to>
      <xdr:col>3</xdr:col>
      <xdr:colOff>219075</xdr:colOff>
      <xdr:row>14</xdr:row>
      <xdr:rowOff>504825</xdr:rowOff>
    </xdr:to>
    <xdr:sp macro="" textlink="">
      <xdr:nvSpPr>
        <xdr:cNvPr id="28" name="Полилиния 27"/>
        <xdr:cNvSpPr/>
      </xdr:nvSpPr>
      <xdr:spPr>
        <a:xfrm>
          <a:off x="2009775" y="4191000"/>
          <a:ext cx="219075" cy="1133475"/>
        </a:xfrm>
        <a:custGeom>
          <a:avLst/>
          <a:gdLst>
            <a:gd name="connsiteX0" fmla="*/ 0 w 238125"/>
            <a:gd name="connsiteY0" fmla="*/ 1114425 h 1114425"/>
            <a:gd name="connsiteX1" fmla="*/ 0 w 238125"/>
            <a:gd name="connsiteY1" fmla="*/ 676275 h 1114425"/>
            <a:gd name="connsiteX2" fmla="*/ 238125 w 238125"/>
            <a:gd name="connsiteY2" fmla="*/ 0 h 1114425"/>
            <a:gd name="connsiteX0" fmla="*/ 0 w 276225"/>
            <a:gd name="connsiteY0" fmla="*/ 1143000 h 1143000"/>
            <a:gd name="connsiteX1" fmla="*/ 0 w 276225"/>
            <a:gd name="connsiteY1" fmla="*/ 704850 h 1143000"/>
            <a:gd name="connsiteX2" fmla="*/ 276225 w 276225"/>
            <a:gd name="connsiteY2" fmla="*/ 0 h 1143000"/>
            <a:gd name="connsiteX0" fmla="*/ 0 w 219075"/>
            <a:gd name="connsiteY0" fmla="*/ 1133475 h 1133475"/>
            <a:gd name="connsiteX1" fmla="*/ 0 w 219075"/>
            <a:gd name="connsiteY1" fmla="*/ 695325 h 1133475"/>
            <a:gd name="connsiteX2" fmla="*/ 219075 w 2190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19075" h="1133475">
              <a:moveTo>
                <a:pt x="0" y="1133475"/>
              </a:moveTo>
              <a:lnTo>
                <a:pt x="0" y="695325"/>
              </a:lnTo>
              <a:lnTo>
                <a:pt x="219075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10990</xdr:colOff>
      <xdr:row>14</xdr:row>
      <xdr:rowOff>44695</xdr:rowOff>
    </xdr:from>
    <xdr:to>
      <xdr:col>3</xdr:col>
      <xdr:colOff>134677</xdr:colOff>
      <xdr:row>14</xdr:row>
      <xdr:rowOff>172725</xdr:rowOff>
    </xdr:to>
    <xdr:grpSp>
      <xdr:nvGrpSpPr>
        <xdr:cNvPr id="29" name="Группа 28"/>
        <xdr:cNvGrpSpPr/>
      </xdr:nvGrpSpPr>
      <xdr:grpSpPr>
        <a:xfrm rot="10800000">
          <a:off x="2032407" y="4902445"/>
          <a:ext cx="123687" cy="128030"/>
          <a:chOff x="1132242" y="1306343"/>
          <a:chExt cx="123151" cy="128030"/>
        </a:xfrm>
      </xdr:grpSpPr>
      <xdr:cxnSp macro="">
        <xdr:nvCxnSpPr>
          <xdr:cNvPr id="30" name="Прямая соединительная линия 2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Прямоугольник 3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</xdr:colOff>
      <xdr:row>15</xdr:row>
      <xdr:rowOff>95250</xdr:rowOff>
    </xdr:from>
    <xdr:to>
      <xdr:col>3</xdr:col>
      <xdr:colOff>1</xdr:colOff>
      <xdr:row>16</xdr:row>
      <xdr:rowOff>584704</xdr:rowOff>
    </xdr:to>
    <xdr:cxnSp macro="">
      <xdr:nvCxnSpPr>
        <xdr:cNvPr id="32" name="Прямая соединительная линия 31"/>
        <xdr:cNvCxnSpPr/>
      </xdr:nvCxnSpPr>
      <xdr:spPr>
        <a:xfrm flipV="1">
          <a:off x="2009776" y="5610225"/>
          <a:ext cx="0" cy="1184779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527957</xdr:colOff>
      <xdr:row>16</xdr:row>
      <xdr:rowOff>511225</xdr:rowOff>
    </xdr:from>
    <xdr:to>
      <xdr:col>3</xdr:col>
      <xdr:colOff>54932</xdr:colOff>
      <xdr:row>16</xdr:row>
      <xdr:rowOff>619225</xdr:rowOff>
    </xdr:to>
    <xdr:sp macro="" textlink="">
      <xdr:nvSpPr>
        <xdr:cNvPr id="33" name="Овал 32"/>
        <xdr:cNvSpPr/>
      </xdr:nvSpPr>
      <xdr:spPr>
        <a:xfrm>
          <a:off x="1956707" y="6721525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104775</xdr:colOff>
      <xdr:row>16</xdr:row>
      <xdr:rowOff>957</xdr:rowOff>
    </xdr:from>
    <xdr:to>
      <xdr:col>3</xdr:col>
      <xdr:colOff>7327</xdr:colOff>
      <xdr:row>16</xdr:row>
      <xdr:rowOff>171450</xdr:rowOff>
    </xdr:to>
    <xdr:cxnSp macro="">
      <xdr:nvCxnSpPr>
        <xdr:cNvPr id="34" name="Прямая соединительная линия 33"/>
        <xdr:cNvCxnSpPr/>
      </xdr:nvCxnSpPr>
      <xdr:spPr>
        <a:xfrm flipV="1">
          <a:off x="1533525" y="6211257"/>
          <a:ext cx="483577" cy="17049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567104</xdr:colOff>
      <xdr:row>15</xdr:row>
      <xdr:rowOff>514350</xdr:rowOff>
    </xdr:from>
    <xdr:to>
      <xdr:col>3</xdr:col>
      <xdr:colOff>495300</xdr:colOff>
      <xdr:row>16</xdr:row>
      <xdr:rowOff>957</xdr:rowOff>
    </xdr:to>
    <xdr:cxnSp macro="">
      <xdr:nvCxnSpPr>
        <xdr:cNvPr id="35" name="Прямая соединительная линия 34"/>
        <xdr:cNvCxnSpPr/>
      </xdr:nvCxnSpPr>
      <xdr:spPr>
        <a:xfrm flipV="1">
          <a:off x="1995854" y="6029325"/>
          <a:ext cx="509221" cy="181932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578826</xdr:colOff>
      <xdr:row>15</xdr:row>
      <xdr:rowOff>542194</xdr:rowOff>
    </xdr:from>
    <xdr:to>
      <xdr:col>3</xdr:col>
      <xdr:colOff>123686</xdr:colOff>
      <xdr:row>15</xdr:row>
      <xdr:rowOff>670224</xdr:rowOff>
    </xdr:to>
    <xdr:grpSp>
      <xdr:nvGrpSpPr>
        <xdr:cNvPr id="36" name="Группа 35"/>
        <xdr:cNvGrpSpPr/>
      </xdr:nvGrpSpPr>
      <xdr:grpSpPr>
        <a:xfrm flipH="1">
          <a:off x="2018159" y="6098444"/>
          <a:ext cx="126944" cy="128030"/>
          <a:chOff x="1132242" y="1306343"/>
          <a:chExt cx="123151" cy="128030"/>
        </a:xfrm>
      </xdr:grpSpPr>
      <xdr:cxnSp macro="">
        <xdr:nvCxnSpPr>
          <xdr:cNvPr id="37" name="Прямая соединительная линия 3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Прямоугольник 3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531193</xdr:colOff>
      <xdr:row>18</xdr:row>
      <xdr:rowOff>539850</xdr:rowOff>
    </xdr:from>
    <xdr:to>
      <xdr:col>3</xdr:col>
      <xdr:colOff>58168</xdr:colOff>
      <xdr:row>18</xdr:row>
      <xdr:rowOff>650048</xdr:rowOff>
    </xdr:to>
    <xdr:sp macro="" textlink="">
      <xdr:nvSpPr>
        <xdr:cNvPr id="39" name="Овал 38"/>
        <xdr:cNvSpPr/>
      </xdr:nvSpPr>
      <xdr:spPr>
        <a:xfrm>
          <a:off x="1959943" y="8140800"/>
          <a:ext cx="108000" cy="11019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8434</xdr:colOff>
      <xdr:row>17</xdr:row>
      <xdr:rowOff>100871</xdr:rowOff>
    </xdr:from>
    <xdr:to>
      <xdr:col>3</xdr:col>
      <xdr:colOff>8434</xdr:colOff>
      <xdr:row>18</xdr:row>
      <xdr:rowOff>581025</xdr:rowOff>
    </xdr:to>
    <xdr:cxnSp macro="">
      <xdr:nvCxnSpPr>
        <xdr:cNvPr id="40" name="Прямая соединительная линия 39"/>
        <xdr:cNvCxnSpPr/>
      </xdr:nvCxnSpPr>
      <xdr:spPr>
        <a:xfrm>
          <a:off x="2018209" y="7006496"/>
          <a:ext cx="0" cy="1175479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66675</xdr:colOff>
      <xdr:row>18</xdr:row>
      <xdr:rowOff>169916</xdr:rowOff>
    </xdr:from>
    <xdr:to>
      <xdr:col>3</xdr:col>
      <xdr:colOff>8788</xdr:colOff>
      <xdr:row>18</xdr:row>
      <xdr:rowOff>169916</xdr:rowOff>
    </xdr:to>
    <xdr:cxnSp macro="">
      <xdr:nvCxnSpPr>
        <xdr:cNvPr id="41" name="Прямая соединительная линия 40"/>
        <xdr:cNvCxnSpPr/>
      </xdr:nvCxnSpPr>
      <xdr:spPr>
        <a:xfrm flipH="1">
          <a:off x="1495425" y="7770866"/>
          <a:ext cx="52313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65690</xdr:colOff>
      <xdr:row>17</xdr:row>
      <xdr:rowOff>686764</xdr:rowOff>
    </xdr:from>
    <xdr:to>
      <xdr:col>3</xdr:col>
      <xdr:colOff>523875</xdr:colOff>
      <xdr:row>17</xdr:row>
      <xdr:rowOff>686764</xdr:rowOff>
    </xdr:to>
    <xdr:cxnSp macro="">
      <xdr:nvCxnSpPr>
        <xdr:cNvPr id="42" name="Прямая соединительная линия 41"/>
        <xdr:cNvCxnSpPr/>
      </xdr:nvCxnSpPr>
      <xdr:spPr>
        <a:xfrm>
          <a:off x="1494440" y="7592389"/>
          <a:ext cx="1039210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111156</xdr:colOff>
      <xdr:row>18</xdr:row>
      <xdr:rowOff>394712</xdr:rowOff>
    </xdr:from>
    <xdr:to>
      <xdr:col>3</xdr:col>
      <xdr:colOff>255156</xdr:colOff>
      <xdr:row>18</xdr:row>
      <xdr:rowOff>538712</xdr:rowOff>
    </xdr:to>
    <xdr:sp macro="" textlink="">
      <xdr:nvSpPr>
        <xdr:cNvPr id="43" name="Овал 42"/>
        <xdr:cNvSpPr/>
      </xdr:nvSpPr>
      <xdr:spPr>
        <a:xfrm>
          <a:off x="2120931" y="7995662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13138</xdr:colOff>
      <xdr:row>17</xdr:row>
      <xdr:rowOff>693333</xdr:rowOff>
    </xdr:from>
    <xdr:to>
      <xdr:col>3</xdr:col>
      <xdr:colOff>565588</xdr:colOff>
      <xdr:row>18</xdr:row>
      <xdr:rowOff>588558</xdr:rowOff>
    </xdr:to>
    <xdr:sp macro="" textlink="">
      <xdr:nvSpPr>
        <xdr:cNvPr id="44" name="Полилиния 43"/>
        <xdr:cNvSpPr/>
      </xdr:nvSpPr>
      <xdr:spPr>
        <a:xfrm>
          <a:off x="2022913" y="7598958"/>
          <a:ext cx="552450" cy="590550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531193</xdr:colOff>
      <xdr:row>20</xdr:row>
      <xdr:rowOff>556416</xdr:rowOff>
    </xdr:from>
    <xdr:to>
      <xdr:col>3</xdr:col>
      <xdr:colOff>58168</xdr:colOff>
      <xdr:row>20</xdr:row>
      <xdr:rowOff>666614</xdr:rowOff>
    </xdr:to>
    <xdr:sp macro="" textlink="">
      <xdr:nvSpPr>
        <xdr:cNvPr id="45" name="Овал 44"/>
        <xdr:cNvSpPr/>
      </xdr:nvSpPr>
      <xdr:spPr>
        <a:xfrm>
          <a:off x="1959943" y="9548016"/>
          <a:ext cx="108000" cy="11019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8434</xdr:colOff>
      <xdr:row>20</xdr:row>
      <xdr:rowOff>8283</xdr:rowOff>
    </xdr:from>
    <xdr:to>
      <xdr:col>3</xdr:col>
      <xdr:colOff>8434</xdr:colOff>
      <xdr:row>20</xdr:row>
      <xdr:rowOff>597591</xdr:rowOff>
    </xdr:to>
    <xdr:cxnSp macro="">
      <xdr:nvCxnSpPr>
        <xdr:cNvPr id="46" name="Прямая соединительная линия 45"/>
        <xdr:cNvCxnSpPr/>
      </xdr:nvCxnSpPr>
      <xdr:spPr>
        <a:xfrm>
          <a:off x="2018209" y="8999883"/>
          <a:ext cx="0" cy="589308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65690</xdr:colOff>
      <xdr:row>20</xdr:row>
      <xdr:rowOff>7591</xdr:rowOff>
    </xdr:from>
    <xdr:to>
      <xdr:col>3</xdr:col>
      <xdr:colOff>523875</xdr:colOff>
      <xdr:row>20</xdr:row>
      <xdr:rowOff>7591</xdr:rowOff>
    </xdr:to>
    <xdr:cxnSp macro="">
      <xdr:nvCxnSpPr>
        <xdr:cNvPr id="47" name="Прямая соединительная линия 46"/>
        <xdr:cNvCxnSpPr/>
      </xdr:nvCxnSpPr>
      <xdr:spPr>
        <a:xfrm>
          <a:off x="1494440" y="8999191"/>
          <a:ext cx="1039210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111156</xdr:colOff>
      <xdr:row>20</xdr:row>
      <xdr:rowOff>108719</xdr:rowOff>
    </xdr:from>
    <xdr:to>
      <xdr:col>3</xdr:col>
      <xdr:colOff>255156</xdr:colOff>
      <xdr:row>20</xdr:row>
      <xdr:rowOff>252719</xdr:rowOff>
    </xdr:to>
    <xdr:sp macro="" textlink="">
      <xdr:nvSpPr>
        <xdr:cNvPr id="48" name="Овал 47"/>
        <xdr:cNvSpPr/>
      </xdr:nvSpPr>
      <xdr:spPr>
        <a:xfrm>
          <a:off x="2120931" y="9100319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4855</xdr:colOff>
      <xdr:row>20</xdr:row>
      <xdr:rowOff>5877</xdr:rowOff>
    </xdr:from>
    <xdr:to>
      <xdr:col>3</xdr:col>
      <xdr:colOff>557305</xdr:colOff>
      <xdr:row>20</xdr:row>
      <xdr:rowOff>596841</xdr:rowOff>
    </xdr:to>
    <xdr:sp macro="" textlink="">
      <xdr:nvSpPr>
        <xdr:cNvPr id="49" name="Полилиния 48"/>
        <xdr:cNvSpPr/>
      </xdr:nvSpPr>
      <xdr:spPr>
        <a:xfrm>
          <a:off x="2014630" y="8997477"/>
          <a:ext cx="552450" cy="590964"/>
        </a:xfrm>
        <a:custGeom>
          <a:avLst/>
          <a:gdLst>
            <a:gd name="connsiteX0" fmla="*/ 0 w 514350"/>
            <a:gd name="connsiteY0" fmla="*/ 590550 h 590550"/>
            <a:gd name="connsiteX1" fmla="*/ 0 w 514350"/>
            <a:gd name="connsiteY1" fmla="*/ 0 h 590550"/>
            <a:gd name="connsiteX2" fmla="*/ 514350 w 514350"/>
            <a:gd name="connsiteY2" fmla="*/ 0 h 59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4350" h="590550">
              <a:moveTo>
                <a:pt x="0" y="590550"/>
              </a:moveTo>
              <a:lnTo>
                <a:pt x="0" y="0"/>
              </a:lnTo>
              <a:lnTo>
                <a:pt x="51435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477263</xdr:colOff>
      <xdr:row>19</xdr:row>
      <xdr:rowOff>579598</xdr:rowOff>
    </xdr:from>
    <xdr:to>
      <xdr:col>3</xdr:col>
      <xdr:colOff>22345</xdr:colOff>
      <xdr:row>20</xdr:row>
      <xdr:rowOff>9044</xdr:rowOff>
    </xdr:to>
    <xdr:grpSp>
      <xdr:nvGrpSpPr>
        <xdr:cNvPr id="50" name="Группа 49"/>
        <xdr:cNvGrpSpPr/>
      </xdr:nvGrpSpPr>
      <xdr:grpSpPr>
        <a:xfrm rot="16200000" flipH="1">
          <a:off x="1916206" y="8930238"/>
          <a:ext cx="127946" cy="127166"/>
          <a:chOff x="1132242" y="1306343"/>
          <a:chExt cx="123151" cy="128030"/>
        </a:xfrm>
      </xdr:grpSpPr>
      <xdr:cxnSp macro="">
        <xdr:nvCxnSpPr>
          <xdr:cNvPr id="51" name="Прямая соединительная линия 5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2" name="Прямоугольник 5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99542</xdr:colOff>
      <xdr:row>19</xdr:row>
      <xdr:rowOff>66261</xdr:rowOff>
    </xdr:from>
    <xdr:to>
      <xdr:col>3</xdr:col>
      <xdr:colOff>99542</xdr:colOff>
      <xdr:row>20</xdr:row>
      <xdr:rowOff>17808</xdr:rowOff>
    </xdr:to>
    <xdr:cxnSp macro="">
      <xdr:nvCxnSpPr>
        <xdr:cNvPr id="53" name="Прямая соединительная линия 52"/>
        <xdr:cNvCxnSpPr/>
      </xdr:nvCxnSpPr>
      <xdr:spPr>
        <a:xfrm>
          <a:off x="2109317" y="8362536"/>
          <a:ext cx="0" cy="646872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541373</xdr:colOff>
      <xdr:row>24</xdr:row>
      <xdr:rowOff>535476</xdr:rowOff>
    </xdr:from>
    <xdr:to>
      <xdr:col>3</xdr:col>
      <xdr:colOff>76629</xdr:colOff>
      <xdr:row>24</xdr:row>
      <xdr:rowOff>643476</xdr:rowOff>
    </xdr:to>
    <xdr:sp macro="" textlink="">
      <xdr:nvSpPr>
        <xdr:cNvPr id="54" name="Овал 53"/>
        <xdr:cNvSpPr/>
      </xdr:nvSpPr>
      <xdr:spPr>
        <a:xfrm>
          <a:off x="1970123" y="12308376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4883</xdr:colOff>
      <xdr:row>23</xdr:row>
      <xdr:rowOff>73784</xdr:rowOff>
    </xdr:from>
    <xdr:to>
      <xdr:col>3</xdr:col>
      <xdr:colOff>4883</xdr:colOff>
      <xdr:row>24</xdr:row>
      <xdr:rowOff>600908</xdr:rowOff>
    </xdr:to>
    <xdr:cxnSp macro="">
      <xdr:nvCxnSpPr>
        <xdr:cNvPr id="55" name="Прямая соединительная линия 54"/>
        <xdr:cNvCxnSpPr/>
      </xdr:nvCxnSpPr>
      <xdr:spPr>
        <a:xfrm flipV="1">
          <a:off x="2014658" y="11151359"/>
          <a:ext cx="0" cy="122244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1066</xdr:colOff>
      <xdr:row>23</xdr:row>
      <xdr:rowOff>672393</xdr:rowOff>
    </xdr:from>
    <xdr:to>
      <xdr:col>3</xdr:col>
      <xdr:colOff>520974</xdr:colOff>
      <xdr:row>24</xdr:row>
      <xdr:rowOff>751</xdr:rowOff>
    </xdr:to>
    <xdr:cxnSp macro="">
      <xdr:nvCxnSpPr>
        <xdr:cNvPr id="56" name="Прямая соединительная линия 55"/>
        <xdr:cNvCxnSpPr/>
      </xdr:nvCxnSpPr>
      <xdr:spPr>
        <a:xfrm flipH="1">
          <a:off x="2010841" y="11749968"/>
          <a:ext cx="519908" cy="2368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120923</xdr:colOff>
      <xdr:row>23</xdr:row>
      <xdr:rowOff>491418</xdr:rowOff>
    </xdr:from>
    <xdr:to>
      <xdr:col>2</xdr:col>
      <xdr:colOff>579731</xdr:colOff>
      <xdr:row>23</xdr:row>
      <xdr:rowOff>571295</xdr:rowOff>
    </xdr:to>
    <xdr:cxnSp macro="">
      <xdr:nvCxnSpPr>
        <xdr:cNvPr id="57" name="Прямая соединительная линия 56"/>
        <xdr:cNvCxnSpPr/>
      </xdr:nvCxnSpPr>
      <xdr:spPr>
        <a:xfrm flipH="1" flipV="1">
          <a:off x="1549673" y="11568993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157370</xdr:colOff>
      <xdr:row>21</xdr:row>
      <xdr:rowOff>670221</xdr:rowOff>
    </xdr:from>
    <xdr:to>
      <xdr:col>3</xdr:col>
      <xdr:colOff>128742</xdr:colOff>
      <xdr:row>23</xdr:row>
      <xdr:rowOff>352285</xdr:rowOff>
    </xdr:to>
    <xdr:sp macro="" textlink="">
      <xdr:nvSpPr>
        <xdr:cNvPr id="58" name="Дуга 57"/>
        <xdr:cNvSpPr/>
      </xdr:nvSpPr>
      <xdr:spPr>
        <a:xfrm rot="5400000" flipH="1">
          <a:off x="968774" y="10260117"/>
          <a:ext cx="1072714" cy="1266772"/>
        </a:xfrm>
        <a:prstGeom prst="arc">
          <a:avLst>
            <a:gd name="adj1" fmla="val 16144932"/>
            <a:gd name="adj2" fmla="val 0"/>
          </a:avLst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175764</xdr:colOff>
      <xdr:row>20</xdr:row>
      <xdr:rowOff>298174</xdr:rowOff>
    </xdr:from>
    <xdr:to>
      <xdr:col>3</xdr:col>
      <xdr:colOff>147136</xdr:colOff>
      <xdr:row>21</xdr:row>
      <xdr:rowOff>668424</xdr:rowOff>
    </xdr:to>
    <xdr:sp macro="" textlink="">
      <xdr:nvSpPr>
        <xdr:cNvPr id="59" name="Дуга 58"/>
        <xdr:cNvSpPr/>
      </xdr:nvSpPr>
      <xdr:spPr>
        <a:xfrm rot="5400000">
          <a:off x="990737" y="9189176"/>
          <a:ext cx="1065575" cy="1266772"/>
        </a:xfrm>
        <a:prstGeom prst="arc">
          <a:avLst/>
        </a:prstGeom>
        <a:ln w="19050">
          <a:solidFill>
            <a:schemeClr val="tx1"/>
          </a:solidFill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440804</xdr:colOff>
      <xdr:row>21</xdr:row>
      <xdr:rowOff>527104</xdr:rowOff>
    </xdr:from>
    <xdr:to>
      <xdr:col>3</xdr:col>
      <xdr:colOff>145535</xdr:colOff>
      <xdr:row>22</xdr:row>
      <xdr:rowOff>120358</xdr:rowOff>
    </xdr:to>
    <xdr:sp macro="" textlink="">
      <xdr:nvSpPr>
        <xdr:cNvPr id="60" name="Овал 59"/>
        <xdr:cNvSpPr/>
      </xdr:nvSpPr>
      <xdr:spPr>
        <a:xfrm rot="5400000">
          <a:off x="1868142" y="10215441"/>
          <a:ext cx="288579" cy="285756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92611</xdr:colOff>
      <xdr:row>22</xdr:row>
      <xdr:rowOff>495300</xdr:rowOff>
    </xdr:from>
    <xdr:to>
      <xdr:col>3</xdr:col>
      <xdr:colOff>200611</xdr:colOff>
      <xdr:row>22</xdr:row>
      <xdr:rowOff>604491</xdr:rowOff>
    </xdr:to>
    <xdr:sp macro="" textlink="">
      <xdr:nvSpPr>
        <xdr:cNvPr id="61" name="Овал 60"/>
        <xdr:cNvSpPr/>
      </xdr:nvSpPr>
      <xdr:spPr>
        <a:xfrm rot="5400000">
          <a:off x="2101790" y="10878146"/>
          <a:ext cx="10919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147222</xdr:colOff>
      <xdr:row>21</xdr:row>
      <xdr:rowOff>25524</xdr:rowOff>
    </xdr:from>
    <xdr:to>
      <xdr:col>3</xdr:col>
      <xdr:colOff>147222</xdr:colOff>
      <xdr:row>22</xdr:row>
      <xdr:rowOff>540480</xdr:rowOff>
    </xdr:to>
    <xdr:cxnSp macro="">
      <xdr:nvCxnSpPr>
        <xdr:cNvPr id="62" name="Прямая соединительная линия 61"/>
        <xdr:cNvCxnSpPr/>
      </xdr:nvCxnSpPr>
      <xdr:spPr>
        <a:xfrm>
          <a:off x="2156997" y="9712449"/>
          <a:ext cx="0" cy="1210281"/>
        </a:xfrm>
        <a:prstGeom prst="line">
          <a:avLst/>
        </a:prstGeom>
        <a:ln w="50800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159208</xdr:colOff>
      <xdr:row>21</xdr:row>
      <xdr:rowOff>552559</xdr:rowOff>
    </xdr:from>
    <xdr:to>
      <xdr:col>3</xdr:col>
      <xdr:colOff>286284</xdr:colOff>
      <xdr:row>21</xdr:row>
      <xdr:rowOff>678665</xdr:rowOff>
    </xdr:to>
    <xdr:grpSp>
      <xdr:nvGrpSpPr>
        <xdr:cNvPr id="63" name="Группа 62"/>
        <xdr:cNvGrpSpPr/>
      </xdr:nvGrpSpPr>
      <xdr:grpSpPr>
        <a:xfrm flipH="1">
          <a:off x="2180625" y="10299809"/>
          <a:ext cx="127076" cy="126106"/>
          <a:chOff x="1132242" y="1306343"/>
          <a:chExt cx="123151" cy="128030"/>
        </a:xfrm>
      </xdr:grpSpPr>
      <xdr:cxnSp macro="">
        <xdr:nvCxnSpPr>
          <xdr:cNvPr id="64" name="Прямая соединительная линия 6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5" name="Прямоугольник 6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81005</xdr:colOff>
      <xdr:row>24</xdr:row>
      <xdr:rowOff>105121</xdr:rowOff>
    </xdr:from>
    <xdr:to>
      <xdr:col>3</xdr:col>
      <xdr:colOff>225005</xdr:colOff>
      <xdr:row>24</xdr:row>
      <xdr:rowOff>249535</xdr:rowOff>
    </xdr:to>
    <xdr:sp macro="" textlink="">
      <xdr:nvSpPr>
        <xdr:cNvPr id="66" name="Овал 65"/>
        <xdr:cNvSpPr/>
      </xdr:nvSpPr>
      <xdr:spPr>
        <a:xfrm>
          <a:off x="2090780" y="1187802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93967</xdr:colOff>
      <xdr:row>23</xdr:row>
      <xdr:rowOff>424743</xdr:rowOff>
    </xdr:from>
    <xdr:to>
      <xdr:col>6</xdr:col>
      <xdr:colOff>380959</xdr:colOff>
      <xdr:row>24</xdr:row>
      <xdr:rowOff>281454</xdr:rowOff>
    </xdr:to>
    <xdr:grpSp>
      <xdr:nvGrpSpPr>
        <xdr:cNvPr id="67" name="Группа 66"/>
        <xdr:cNvGrpSpPr/>
      </xdr:nvGrpSpPr>
      <xdr:grpSpPr>
        <a:xfrm>
          <a:off x="2697467" y="11568993"/>
          <a:ext cx="2012075" cy="555211"/>
          <a:chOff x="2678141" y="11482026"/>
          <a:chExt cx="2009775" cy="552450"/>
        </a:xfrm>
      </xdr:grpSpPr>
      <xdr:sp macro="" textlink="">
        <xdr:nvSpPr>
          <xdr:cNvPr id="68" name="Прямоугольник 67"/>
          <xdr:cNvSpPr/>
        </xdr:nvSpPr>
        <xdr:spPr>
          <a:xfrm>
            <a:off x="2678141" y="11482026"/>
            <a:ext cx="2009775" cy="55245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1800" b="1">
              <a:solidFill>
                <a:schemeClr val="bg1"/>
              </a:solidFill>
            </a:endParaRPr>
          </a:p>
        </xdr:txBody>
      </xdr:sp>
      <xdr:sp macro="" textlink="">
        <xdr:nvSpPr>
          <xdr:cNvPr id="69" name="Прямоугольник 68"/>
          <xdr:cNvSpPr/>
        </xdr:nvSpPr>
        <xdr:spPr>
          <a:xfrm>
            <a:off x="2782916" y="11558226"/>
            <a:ext cx="1381125" cy="400050"/>
          </a:xfrm>
          <a:prstGeom prst="rect">
            <a:avLst/>
          </a:prstGeom>
          <a:solidFill>
            <a:schemeClr val="accent1">
              <a:lumMod val="5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800" b="1">
                <a:solidFill>
                  <a:schemeClr val="bg1"/>
                </a:solidFill>
              </a:rPr>
              <a:t>АЭРОПОРТ</a:t>
            </a:r>
          </a:p>
        </xdr:txBody>
      </xdr:sp>
      <xdr:sp macro="" textlink="">
        <xdr:nvSpPr>
          <xdr:cNvPr id="70" name="Стрелка вправо 69"/>
          <xdr:cNvSpPr/>
        </xdr:nvSpPr>
        <xdr:spPr>
          <a:xfrm>
            <a:off x="4221191" y="11615376"/>
            <a:ext cx="361950" cy="285750"/>
          </a:xfrm>
          <a:prstGeom prst="rightArrow">
            <a:avLst/>
          </a:prstGeom>
          <a:solidFill>
            <a:schemeClr val="tx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8283</xdr:colOff>
      <xdr:row>23</xdr:row>
      <xdr:rowOff>670891</xdr:rowOff>
    </xdr:from>
    <xdr:to>
      <xdr:col>3</xdr:col>
      <xdr:colOff>546653</xdr:colOff>
      <xdr:row>24</xdr:row>
      <xdr:rowOff>579782</xdr:rowOff>
    </xdr:to>
    <xdr:sp macro="" textlink="">
      <xdr:nvSpPr>
        <xdr:cNvPr id="71" name="Полилиния 70"/>
        <xdr:cNvSpPr/>
      </xdr:nvSpPr>
      <xdr:spPr>
        <a:xfrm>
          <a:off x="2018058" y="11748466"/>
          <a:ext cx="538370" cy="604216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8370" h="604630">
              <a:moveTo>
                <a:pt x="0" y="604630"/>
              </a:moveTo>
              <a:lnTo>
                <a:pt x="0" y="24848"/>
              </a:lnTo>
              <a:lnTo>
                <a:pt x="53837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541151</xdr:colOff>
      <xdr:row>26</xdr:row>
      <xdr:rowOff>508907</xdr:rowOff>
    </xdr:from>
    <xdr:to>
      <xdr:col>3</xdr:col>
      <xdr:colOff>68126</xdr:colOff>
      <xdr:row>26</xdr:row>
      <xdr:rowOff>616907</xdr:rowOff>
    </xdr:to>
    <xdr:sp macro="" textlink="">
      <xdr:nvSpPr>
        <xdr:cNvPr id="72" name="Овал 71"/>
        <xdr:cNvSpPr/>
      </xdr:nvSpPr>
      <xdr:spPr>
        <a:xfrm rot="5400000">
          <a:off x="1969901" y="1367245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11656</xdr:colOff>
      <xdr:row>25</xdr:row>
      <xdr:rowOff>76200</xdr:rowOff>
    </xdr:from>
    <xdr:to>
      <xdr:col>3</xdr:col>
      <xdr:colOff>11656</xdr:colOff>
      <xdr:row>26</xdr:row>
      <xdr:rowOff>0</xdr:rowOff>
    </xdr:to>
    <xdr:cxnSp macro="">
      <xdr:nvCxnSpPr>
        <xdr:cNvPr id="73" name="Прямая соединительная линия 72"/>
        <xdr:cNvCxnSpPr/>
      </xdr:nvCxnSpPr>
      <xdr:spPr>
        <a:xfrm>
          <a:off x="2021431" y="12544425"/>
          <a:ext cx="0" cy="619125"/>
        </a:xfrm>
        <a:prstGeom prst="line">
          <a:avLst/>
        </a:prstGeom>
        <a:ln w="50800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25</xdr:row>
      <xdr:rowOff>608804</xdr:rowOff>
    </xdr:from>
    <xdr:to>
      <xdr:col>3</xdr:col>
      <xdr:colOff>264335</xdr:colOff>
      <xdr:row>26</xdr:row>
      <xdr:rowOff>32445</xdr:rowOff>
    </xdr:to>
    <xdr:grpSp>
      <xdr:nvGrpSpPr>
        <xdr:cNvPr id="74" name="Группа 73"/>
        <xdr:cNvGrpSpPr/>
      </xdr:nvGrpSpPr>
      <xdr:grpSpPr>
        <a:xfrm rot="10800000">
          <a:off x="1744133" y="13150054"/>
          <a:ext cx="541619" cy="122141"/>
          <a:chOff x="760945" y="5714381"/>
          <a:chExt cx="364368" cy="118966"/>
        </a:xfrm>
      </xdr:grpSpPr>
      <xdr:grpSp>
        <xdr:nvGrpSpPr>
          <xdr:cNvPr id="75" name="Группа 74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79" name="Овал 78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80" name="Прямая со стрелкой 79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76" name="Группа 75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77" name="Овал 76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78" name="Прямая со стрелкой 77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10066</xdr:colOff>
      <xdr:row>26</xdr:row>
      <xdr:rowOff>4826</xdr:rowOff>
    </xdr:from>
    <xdr:to>
      <xdr:col>3</xdr:col>
      <xdr:colOff>137363</xdr:colOff>
      <xdr:row>26</xdr:row>
      <xdr:rowOff>130711</xdr:rowOff>
    </xdr:to>
    <xdr:grpSp>
      <xdr:nvGrpSpPr>
        <xdr:cNvPr id="81" name="Группа 80"/>
        <xdr:cNvGrpSpPr/>
      </xdr:nvGrpSpPr>
      <xdr:grpSpPr>
        <a:xfrm rot="5400000" flipH="1">
          <a:off x="2032189" y="13243870"/>
          <a:ext cx="125885" cy="127297"/>
          <a:chOff x="1132242" y="1306343"/>
          <a:chExt cx="123151" cy="128030"/>
        </a:xfrm>
      </xdr:grpSpPr>
      <xdr:cxnSp macro="">
        <xdr:nvCxnSpPr>
          <xdr:cNvPr id="82" name="Прямая соединительная линия 8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3" name="Прямоугольник 8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11656</xdr:colOff>
      <xdr:row>25</xdr:row>
      <xdr:rowOff>676275</xdr:rowOff>
    </xdr:from>
    <xdr:to>
      <xdr:col>3</xdr:col>
      <xdr:colOff>11656</xdr:colOff>
      <xdr:row>26</xdr:row>
      <xdr:rowOff>569457</xdr:rowOff>
    </xdr:to>
    <xdr:cxnSp macro="">
      <xdr:nvCxnSpPr>
        <xdr:cNvPr id="84" name="Прямая соединительная линия 83"/>
        <xdr:cNvCxnSpPr/>
      </xdr:nvCxnSpPr>
      <xdr:spPr>
        <a:xfrm>
          <a:off x="2021431" y="13144500"/>
          <a:ext cx="0" cy="588507"/>
        </a:xfrm>
        <a:prstGeom prst="line">
          <a:avLst/>
        </a:prstGeom>
        <a:ln w="5080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579561</xdr:colOff>
      <xdr:row>27</xdr:row>
      <xdr:rowOff>114300</xdr:rowOff>
    </xdr:from>
    <xdr:to>
      <xdr:col>2</xdr:col>
      <xdr:colOff>579561</xdr:colOff>
      <xdr:row>28</xdr:row>
      <xdr:rowOff>602798</xdr:rowOff>
    </xdr:to>
    <xdr:cxnSp macro="">
      <xdr:nvCxnSpPr>
        <xdr:cNvPr id="85" name="Прямая соединительная линия 84"/>
        <xdr:cNvCxnSpPr/>
      </xdr:nvCxnSpPr>
      <xdr:spPr>
        <a:xfrm flipV="1">
          <a:off x="2008311" y="13973175"/>
          <a:ext cx="0" cy="1183823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28</xdr:row>
      <xdr:rowOff>538843</xdr:rowOff>
    </xdr:from>
    <xdr:to>
      <xdr:col>3</xdr:col>
      <xdr:colOff>53467</xdr:colOff>
      <xdr:row>28</xdr:row>
      <xdr:rowOff>646843</xdr:rowOff>
    </xdr:to>
    <xdr:sp macro="" textlink="">
      <xdr:nvSpPr>
        <xdr:cNvPr id="86" name="Овал 85"/>
        <xdr:cNvSpPr/>
      </xdr:nvSpPr>
      <xdr:spPr>
        <a:xfrm>
          <a:off x="1955242" y="150930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27</xdr:row>
      <xdr:rowOff>662668</xdr:rowOff>
    </xdr:from>
    <xdr:to>
      <xdr:col>3</xdr:col>
      <xdr:colOff>279967</xdr:colOff>
      <xdr:row>28</xdr:row>
      <xdr:rowOff>111343</xdr:rowOff>
    </xdr:to>
    <xdr:sp macro="" textlink="">
      <xdr:nvSpPr>
        <xdr:cNvPr id="87" name="Овал 86"/>
        <xdr:cNvSpPr/>
      </xdr:nvSpPr>
      <xdr:spPr>
        <a:xfrm>
          <a:off x="2145742" y="14521543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438150</xdr:colOff>
      <xdr:row>27</xdr:row>
      <xdr:rowOff>568570</xdr:rowOff>
    </xdr:from>
    <xdr:to>
      <xdr:col>2</xdr:col>
      <xdr:colOff>561837</xdr:colOff>
      <xdr:row>28</xdr:row>
      <xdr:rowOff>1275</xdr:rowOff>
    </xdr:to>
    <xdr:grpSp>
      <xdr:nvGrpSpPr>
        <xdr:cNvPr id="88" name="Группа 87"/>
        <xdr:cNvGrpSpPr/>
      </xdr:nvGrpSpPr>
      <xdr:grpSpPr>
        <a:xfrm>
          <a:off x="1877483" y="14506820"/>
          <a:ext cx="123687" cy="131205"/>
          <a:chOff x="1132242" y="1306343"/>
          <a:chExt cx="123151" cy="128030"/>
        </a:xfrm>
      </xdr:grpSpPr>
      <xdr:cxnSp macro="">
        <xdr:nvCxnSpPr>
          <xdr:cNvPr id="89" name="Прямая соединительная линия 8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0" name="Прямоугольник 8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76200</xdr:colOff>
      <xdr:row>27</xdr:row>
      <xdr:rowOff>381000</xdr:rowOff>
    </xdr:from>
    <xdr:to>
      <xdr:col>4</xdr:col>
      <xdr:colOff>685853</xdr:colOff>
      <xdr:row>28</xdr:row>
      <xdr:rowOff>300091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4239875"/>
          <a:ext cx="609653" cy="614416"/>
        </a:xfrm>
        <a:prstGeom prst="rect">
          <a:avLst/>
        </a:prstGeom>
      </xdr:spPr>
    </xdr:pic>
    <xdr:clientData/>
  </xdr:twoCellAnchor>
  <xdr:twoCellAnchor>
    <xdr:from>
      <xdr:col>3</xdr:col>
      <xdr:colOff>94050</xdr:colOff>
      <xdr:row>32</xdr:row>
      <xdr:rowOff>498669</xdr:rowOff>
    </xdr:from>
    <xdr:to>
      <xdr:col>3</xdr:col>
      <xdr:colOff>203731</xdr:colOff>
      <xdr:row>32</xdr:row>
      <xdr:rowOff>606669</xdr:rowOff>
    </xdr:to>
    <xdr:sp macro="" textlink="">
      <xdr:nvSpPr>
        <xdr:cNvPr id="92" name="Овал 91"/>
        <xdr:cNvSpPr/>
      </xdr:nvSpPr>
      <xdr:spPr>
        <a:xfrm>
          <a:off x="2103825" y="17834169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409575</xdr:colOff>
      <xdr:row>31</xdr:row>
      <xdr:rowOff>114300</xdr:rowOff>
    </xdr:from>
    <xdr:to>
      <xdr:col>3</xdr:col>
      <xdr:colOff>150991</xdr:colOff>
      <xdr:row>31</xdr:row>
      <xdr:rowOff>438982</xdr:rowOff>
    </xdr:to>
    <xdr:sp macro="" textlink="">
      <xdr:nvSpPr>
        <xdr:cNvPr id="93" name="Дуга 92"/>
        <xdr:cNvSpPr/>
      </xdr:nvSpPr>
      <xdr:spPr>
        <a:xfrm>
          <a:off x="1838325" y="16754475"/>
          <a:ext cx="322441" cy="324682"/>
        </a:xfrm>
        <a:prstGeom prst="arc">
          <a:avLst>
            <a:gd name="adj1" fmla="val 10831190"/>
            <a:gd name="adj2" fmla="val 0"/>
          </a:avLst>
        </a:prstGeom>
        <a:noFill/>
        <a:ln w="50800">
          <a:solidFill>
            <a:schemeClr val="tx1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148014</xdr:colOff>
      <xdr:row>31</xdr:row>
      <xdr:rowOff>314325</xdr:rowOff>
    </xdr:from>
    <xdr:to>
      <xdr:col>3</xdr:col>
      <xdr:colOff>148014</xdr:colOff>
      <xdr:row>32</xdr:row>
      <xdr:rowOff>566233</xdr:rowOff>
    </xdr:to>
    <xdr:cxnSp macro="">
      <xdr:nvCxnSpPr>
        <xdr:cNvPr id="94" name="Прямая соединительная линия 93"/>
        <xdr:cNvCxnSpPr/>
      </xdr:nvCxnSpPr>
      <xdr:spPr>
        <a:xfrm flipV="1">
          <a:off x="2157789" y="16954500"/>
          <a:ext cx="0" cy="947233"/>
        </a:xfrm>
        <a:prstGeom prst="line">
          <a:avLst/>
        </a:prstGeom>
        <a:ln w="5080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167541</xdr:colOff>
      <xdr:row>32</xdr:row>
      <xdr:rowOff>419958</xdr:rowOff>
    </xdr:from>
    <xdr:to>
      <xdr:col>3</xdr:col>
      <xdr:colOff>295107</xdr:colOff>
      <xdr:row>32</xdr:row>
      <xdr:rowOff>547255</xdr:rowOff>
    </xdr:to>
    <xdr:grpSp>
      <xdr:nvGrpSpPr>
        <xdr:cNvPr id="95" name="Группа 94"/>
        <xdr:cNvGrpSpPr/>
      </xdr:nvGrpSpPr>
      <xdr:grpSpPr>
        <a:xfrm flipH="1">
          <a:off x="2188958" y="17850708"/>
          <a:ext cx="127566" cy="127297"/>
          <a:chOff x="1132242" y="1306343"/>
          <a:chExt cx="123151" cy="128030"/>
        </a:xfrm>
      </xdr:grpSpPr>
      <xdr:cxnSp macro="">
        <xdr:nvCxnSpPr>
          <xdr:cNvPr id="96" name="Прямая соединительная линия 9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7" name="Прямоугольник 9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412165</xdr:colOff>
      <xdr:row>31</xdr:row>
      <xdr:rowOff>323850</xdr:rowOff>
    </xdr:from>
    <xdr:to>
      <xdr:col>2</xdr:col>
      <xdr:colOff>412165</xdr:colOff>
      <xdr:row>32</xdr:row>
      <xdr:rowOff>615733</xdr:rowOff>
    </xdr:to>
    <xdr:cxnSp macro="">
      <xdr:nvCxnSpPr>
        <xdr:cNvPr id="98" name="Прямая соединительная линия 97"/>
        <xdr:cNvCxnSpPr/>
      </xdr:nvCxnSpPr>
      <xdr:spPr>
        <a:xfrm>
          <a:off x="1840915" y="16964025"/>
          <a:ext cx="0" cy="987208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579561</xdr:colOff>
      <xdr:row>29</xdr:row>
      <xdr:rowOff>85725</xdr:rowOff>
    </xdr:from>
    <xdr:to>
      <xdr:col>2</xdr:col>
      <xdr:colOff>579561</xdr:colOff>
      <xdr:row>30</xdr:row>
      <xdr:rowOff>574223</xdr:rowOff>
    </xdr:to>
    <xdr:cxnSp macro="">
      <xdr:nvCxnSpPr>
        <xdr:cNvPr id="99" name="Прямая соединительная линия 98"/>
        <xdr:cNvCxnSpPr/>
      </xdr:nvCxnSpPr>
      <xdr:spPr>
        <a:xfrm flipV="1">
          <a:off x="2008311" y="15335250"/>
          <a:ext cx="0" cy="1183823"/>
        </a:xfrm>
        <a:prstGeom prst="line">
          <a:avLst/>
        </a:prstGeom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30</xdr:row>
      <xdr:rowOff>510268</xdr:rowOff>
    </xdr:from>
    <xdr:to>
      <xdr:col>3</xdr:col>
      <xdr:colOff>53467</xdr:colOff>
      <xdr:row>30</xdr:row>
      <xdr:rowOff>618268</xdr:rowOff>
    </xdr:to>
    <xdr:sp macro="" textlink="">
      <xdr:nvSpPr>
        <xdr:cNvPr id="100" name="Овал 99"/>
        <xdr:cNvSpPr/>
      </xdr:nvSpPr>
      <xdr:spPr>
        <a:xfrm>
          <a:off x="1955242" y="1645511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135967</xdr:colOff>
      <xdr:row>29</xdr:row>
      <xdr:rowOff>634093</xdr:rowOff>
    </xdr:from>
    <xdr:to>
      <xdr:col>3</xdr:col>
      <xdr:colOff>279967</xdr:colOff>
      <xdr:row>30</xdr:row>
      <xdr:rowOff>82768</xdr:rowOff>
    </xdr:to>
    <xdr:sp macro="" textlink="">
      <xdr:nvSpPr>
        <xdr:cNvPr id="101" name="Овал 100"/>
        <xdr:cNvSpPr/>
      </xdr:nvSpPr>
      <xdr:spPr>
        <a:xfrm>
          <a:off x="2145742" y="1588361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438150</xdr:colOff>
      <xdr:row>29</xdr:row>
      <xdr:rowOff>539995</xdr:rowOff>
    </xdr:from>
    <xdr:to>
      <xdr:col>2</xdr:col>
      <xdr:colOff>561837</xdr:colOff>
      <xdr:row>29</xdr:row>
      <xdr:rowOff>668025</xdr:rowOff>
    </xdr:to>
    <xdr:grpSp>
      <xdr:nvGrpSpPr>
        <xdr:cNvPr id="102" name="Группа 101"/>
        <xdr:cNvGrpSpPr/>
      </xdr:nvGrpSpPr>
      <xdr:grpSpPr>
        <a:xfrm>
          <a:off x="1877483" y="15875245"/>
          <a:ext cx="123687" cy="128030"/>
          <a:chOff x="1132242" y="1306343"/>
          <a:chExt cx="123151" cy="128030"/>
        </a:xfrm>
      </xdr:grpSpPr>
      <xdr:cxnSp macro="">
        <xdr:nvCxnSpPr>
          <xdr:cNvPr id="103" name="Прямая соединительная линия 10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4" name="Прямоугольник 10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100013</xdr:colOff>
      <xdr:row>29</xdr:row>
      <xdr:rowOff>400050</xdr:rowOff>
    </xdr:from>
    <xdr:to>
      <xdr:col>4</xdr:col>
      <xdr:colOff>709666</xdr:colOff>
      <xdr:row>30</xdr:row>
      <xdr:rowOff>314378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15649575"/>
          <a:ext cx="609653" cy="609653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41</xdr:row>
      <xdr:rowOff>381000</xdr:rowOff>
    </xdr:from>
    <xdr:ext cx="609653" cy="614416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23974425"/>
          <a:ext cx="609653" cy="614416"/>
        </a:xfrm>
        <a:prstGeom prst="rect">
          <a:avLst/>
        </a:prstGeom>
      </xdr:spPr>
    </xdr:pic>
    <xdr:clientData/>
  </xdr:oneCellAnchor>
  <xdr:twoCellAnchor>
    <xdr:from>
      <xdr:col>2</xdr:col>
      <xdr:colOff>522827</xdr:colOff>
      <xdr:row>36</xdr:row>
      <xdr:rowOff>508901</xdr:rowOff>
    </xdr:from>
    <xdr:to>
      <xdr:col>3</xdr:col>
      <xdr:colOff>49802</xdr:colOff>
      <xdr:row>36</xdr:row>
      <xdr:rowOff>623939</xdr:rowOff>
    </xdr:to>
    <xdr:sp macro="" textlink="">
      <xdr:nvSpPr>
        <xdr:cNvPr id="107" name="Овал 106"/>
        <xdr:cNvSpPr/>
      </xdr:nvSpPr>
      <xdr:spPr>
        <a:xfrm rot="5614795">
          <a:off x="1948058" y="20629220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69878</xdr:colOff>
      <xdr:row>35</xdr:row>
      <xdr:rowOff>676655</xdr:rowOff>
    </xdr:from>
    <xdr:to>
      <xdr:col>3</xdr:col>
      <xdr:colOff>511343</xdr:colOff>
      <xdr:row>36</xdr:row>
      <xdr:rowOff>43827</xdr:rowOff>
    </xdr:to>
    <xdr:cxnSp macro="">
      <xdr:nvCxnSpPr>
        <xdr:cNvPr id="108" name="Прямая соединительная линия 107"/>
        <xdr:cNvCxnSpPr/>
      </xdr:nvCxnSpPr>
      <xdr:spPr>
        <a:xfrm>
          <a:off x="1498628" y="20098130"/>
          <a:ext cx="1022490" cy="6249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131820</xdr:colOff>
      <xdr:row>35</xdr:row>
      <xdr:rowOff>253628</xdr:rowOff>
    </xdr:from>
    <xdr:to>
      <xdr:col>3</xdr:col>
      <xdr:colOff>211697</xdr:colOff>
      <xdr:row>36</xdr:row>
      <xdr:rowOff>17111</xdr:rowOff>
    </xdr:to>
    <xdr:cxnSp macro="">
      <xdr:nvCxnSpPr>
        <xdr:cNvPr id="109" name="Прямая соединительная линия 108"/>
        <xdr:cNvCxnSpPr/>
      </xdr:nvCxnSpPr>
      <xdr:spPr>
        <a:xfrm rot="5614795" flipH="1" flipV="1">
          <a:off x="1952130" y="19864568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541151</xdr:colOff>
      <xdr:row>34</xdr:row>
      <xdr:rowOff>537482</xdr:rowOff>
    </xdr:from>
    <xdr:to>
      <xdr:col>3</xdr:col>
      <xdr:colOff>68126</xdr:colOff>
      <xdr:row>34</xdr:row>
      <xdr:rowOff>645482</xdr:rowOff>
    </xdr:to>
    <xdr:sp macro="" textlink="">
      <xdr:nvSpPr>
        <xdr:cNvPr id="110" name="Овал 109"/>
        <xdr:cNvSpPr/>
      </xdr:nvSpPr>
      <xdr:spPr>
        <a:xfrm rot="5400000">
          <a:off x="1969901" y="1926363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11656</xdr:colOff>
      <xdr:row>33</xdr:row>
      <xdr:rowOff>104775</xdr:rowOff>
    </xdr:from>
    <xdr:to>
      <xdr:col>3</xdr:col>
      <xdr:colOff>11656</xdr:colOff>
      <xdr:row>34</xdr:row>
      <xdr:rowOff>28575</xdr:rowOff>
    </xdr:to>
    <xdr:cxnSp macro="">
      <xdr:nvCxnSpPr>
        <xdr:cNvPr id="111" name="Прямая соединительная линия 110"/>
        <xdr:cNvCxnSpPr/>
      </xdr:nvCxnSpPr>
      <xdr:spPr>
        <a:xfrm>
          <a:off x="2021431" y="18135600"/>
          <a:ext cx="0" cy="619125"/>
        </a:xfrm>
        <a:prstGeom prst="line">
          <a:avLst/>
        </a:prstGeom>
        <a:ln w="50800">
          <a:solidFill>
            <a:schemeClr val="tx1"/>
          </a:solidFill>
          <a:prstDash val="solid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33</xdr:row>
      <xdr:rowOff>637379</xdr:rowOff>
    </xdr:from>
    <xdr:to>
      <xdr:col>3</xdr:col>
      <xdr:colOff>264335</xdr:colOff>
      <xdr:row>34</xdr:row>
      <xdr:rowOff>61020</xdr:rowOff>
    </xdr:to>
    <xdr:grpSp>
      <xdr:nvGrpSpPr>
        <xdr:cNvPr id="112" name="Группа 111"/>
        <xdr:cNvGrpSpPr/>
      </xdr:nvGrpSpPr>
      <xdr:grpSpPr>
        <a:xfrm rot="10800000">
          <a:off x="1744133" y="18766629"/>
          <a:ext cx="541619" cy="122141"/>
          <a:chOff x="760945" y="5714381"/>
          <a:chExt cx="364368" cy="118966"/>
        </a:xfrm>
      </xdr:grpSpPr>
      <xdr:grpSp>
        <xdr:nvGrpSpPr>
          <xdr:cNvPr id="113" name="Группа 112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117" name="Овал 116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118" name="Прямая со стрелкой 117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114" name="Группа 113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115" name="Овал 114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116" name="Прямая со стрелкой 115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11656</xdr:colOff>
      <xdr:row>34</xdr:row>
      <xdr:rowOff>9525</xdr:rowOff>
    </xdr:from>
    <xdr:to>
      <xdr:col>3</xdr:col>
      <xdr:colOff>11656</xdr:colOff>
      <xdr:row>34</xdr:row>
      <xdr:rowOff>598032</xdr:rowOff>
    </xdr:to>
    <xdr:cxnSp macro="">
      <xdr:nvCxnSpPr>
        <xdr:cNvPr id="119" name="Прямая соединительная линия 118"/>
        <xdr:cNvCxnSpPr/>
      </xdr:nvCxnSpPr>
      <xdr:spPr>
        <a:xfrm>
          <a:off x="2021431" y="18735675"/>
          <a:ext cx="0" cy="588507"/>
        </a:xfrm>
        <a:prstGeom prst="line">
          <a:avLst/>
        </a:prstGeom>
        <a:ln w="50800">
          <a:solidFill>
            <a:schemeClr val="tx1"/>
          </a:solidFill>
          <a:prstDash val="sysDash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36</xdr:row>
      <xdr:rowOff>0</xdr:rowOff>
    </xdr:from>
    <xdr:to>
      <xdr:col>3</xdr:col>
      <xdr:colOff>0</xdr:colOff>
      <xdr:row>36</xdr:row>
      <xdr:rowOff>555700</xdr:rowOff>
    </xdr:to>
    <xdr:cxnSp macro="">
      <xdr:nvCxnSpPr>
        <xdr:cNvPr id="120" name="Прямая соединительная линия 119"/>
        <xdr:cNvCxnSpPr/>
      </xdr:nvCxnSpPr>
      <xdr:spPr>
        <a:xfrm flipV="1">
          <a:off x="2009775" y="20116800"/>
          <a:ext cx="0" cy="5557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36</xdr:row>
      <xdr:rowOff>9525</xdr:rowOff>
    </xdr:from>
    <xdr:to>
      <xdr:col>3</xdr:col>
      <xdr:colOff>570999</xdr:colOff>
      <xdr:row>36</xdr:row>
      <xdr:rowOff>533400</xdr:rowOff>
    </xdr:to>
    <xdr:sp macro="" textlink="">
      <xdr:nvSpPr>
        <xdr:cNvPr id="121" name="Полилиния 120"/>
        <xdr:cNvSpPr/>
      </xdr:nvSpPr>
      <xdr:spPr>
        <a:xfrm>
          <a:off x="2009775" y="20126325"/>
          <a:ext cx="570999" cy="523875"/>
        </a:xfrm>
        <a:custGeom>
          <a:avLst/>
          <a:gdLst>
            <a:gd name="connsiteX0" fmla="*/ 0 w 485775"/>
            <a:gd name="connsiteY0" fmla="*/ 523875 h 523875"/>
            <a:gd name="connsiteX1" fmla="*/ 0 w 485775"/>
            <a:gd name="connsiteY1" fmla="*/ 0 h 523875"/>
            <a:gd name="connsiteX2" fmla="*/ 485775 w 485775"/>
            <a:gd name="connsiteY2" fmla="*/ 38100 h 523875"/>
            <a:gd name="connsiteX0" fmla="*/ 0 w 570999"/>
            <a:gd name="connsiteY0" fmla="*/ 523875 h 523875"/>
            <a:gd name="connsiteX1" fmla="*/ 0 w 570999"/>
            <a:gd name="connsiteY1" fmla="*/ 0 h 523875"/>
            <a:gd name="connsiteX2" fmla="*/ 570999 w 570999"/>
            <a:gd name="connsiteY2" fmla="*/ 48126 h 523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70999" h="523875">
              <a:moveTo>
                <a:pt x="0" y="523875"/>
              </a:moveTo>
              <a:lnTo>
                <a:pt x="0" y="0"/>
              </a:lnTo>
              <a:lnTo>
                <a:pt x="570999" y="48126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579561</xdr:colOff>
      <xdr:row>45</xdr:row>
      <xdr:rowOff>95250</xdr:rowOff>
    </xdr:from>
    <xdr:to>
      <xdr:col>2</xdr:col>
      <xdr:colOff>579561</xdr:colOff>
      <xdr:row>46</xdr:row>
      <xdr:rowOff>583748</xdr:rowOff>
    </xdr:to>
    <xdr:cxnSp macro="">
      <xdr:nvCxnSpPr>
        <xdr:cNvPr id="122" name="Прямая соединительная линия 121"/>
        <xdr:cNvCxnSpPr/>
      </xdr:nvCxnSpPr>
      <xdr:spPr>
        <a:xfrm flipV="1">
          <a:off x="2008311" y="26469975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46</xdr:row>
      <xdr:rowOff>519793</xdr:rowOff>
    </xdr:from>
    <xdr:to>
      <xdr:col>3</xdr:col>
      <xdr:colOff>53467</xdr:colOff>
      <xdr:row>46</xdr:row>
      <xdr:rowOff>627793</xdr:rowOff>
    </xdr:to>
    <xdr:sp macro="" textlink="">
      <xdr:nvSpPr>
        <xdr:cNvPr id="123" name="Овал 122"/>
        <xdr:cNvSpPr/>
      </xdr:nvSpPr>
      <xdr:spPr>
        <a:xfrm>
          <a:off x="1955242" y="2758984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579561</xdr:colOff>
      <xdr:row>43</xdr:row>
      <xdr:rowOff>104775</xdr:rowOff>
    </xdr:from>
    <xdr:to>
      <xdr:col>2</xdr:col>
      <xdr:colOff>579561</xdr:colOff>
      <xdr:row>44</xdr:row>
      <xdr:rowOff>593273</xdr:rowOff>
    </xdr:to>
    <xdr:cxnSp macro="">
      <xdr:nvCxnSpPr>
        <xdr:cNvPr id="124" name="Прямая соединительная линия 123"/>
        <xdr:cNvCxnSpPr/>
      </xdr:nvCxnSpPr>
      <xdr:spPr>
        <a:xfrm flipV="1">
          <a:off x="2008311" y="25088850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44</xdr:row>
      <xdr:rowOff>529318</xdr:rowOff>
    </xdr:from>
    <xdr:to>
      <xdr:col>3</xdr:col>
      <xdr:colOff>53467</xdr:colOff>
      <xdr:row>44</xdr:row>
      <xdr:rowOff>637318</xdr:rowOff>
    </xdr:to>
    <xdr:sp macro="" textlink="">
      <xdr:nvSpPr>
        <xdr:cNvPr id="125" name="Овал 124"/>
        <xdr:cNvSpPr/>
      </xdr:nvSpPr>
      <xdr:spPr>
        <a:xfrm>
          <a:off x="1955242" y="2620871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126442</xdr:colOff>
      <xdr:row>43</xdr:row>
      <xdr:rowOff>653143</xdr:rowOff>
    </xdr:from>
    <xdr:to>
      <xdr:col>3</xdr:col>
      <xdr:colOff>270442</xdr:colOff>
      <xdr:row>44</xdr:row>
      <xdr:rowOff>101818</xdr:rowOff>
    </xdr:to>
    <xdr:sp macro="" textlink="">
      <xdr:nvSpPr>
        <xdr:cNvPr id="126" name="Овал 125"/>
        <xdr:cNvSpPr/>
      </xdr:nvSpPr>
      <xdr:spPr>
        <a:xfrm>
          <a:off x="2136217" y="25637218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7354</xdr:colOff>
      <xdr:row>43</xdr:row>
      <xdr:rowOff>561217</xdr:rowOff>
    </xdr:from>
    <xdr:to>
      <xdr:col>3</xdr:col>
      <xdr:colOff>135384</xdr:colOff>
      <xdr:row>43</xdr:row>
      <xdr:rowOff>684904</xdr:rowOff>
    </xdr:to>
    <xdr:grpSp>
      <xdr:nvGrpSpPr>
        <xdr:cNvPr id="127" name="Группа 126"/>
        <xdr:cNvGrpSpPr/>
      </xdr:nvGrpSpPr>
      <xdr:grpSpPr>
        <a:xfrm rot="5400000">
          <a:off x="2030942" y="25673296"/>
          <a:ext cx="123687" cy="128030"/>
          <a:chOff x="1132242" y="1306343"/>
          <a:chExt cx="123151" cy="128030"/>
        </a:xfrm>
      </xdr:grpSpPr>
      <xdr:cxnSp macro="">
        <xdr:nvCxnSpPr>
          <xdr:cNvPr id="128" name="Прямая соединительная линия 12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9" name="Прямоугольник 12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303934</xdr:colOff>
      <xdr:row>43</xdr:row>
      <xdr:rowOff>146483</xdr:rowOff>
    </xdr:from>
    <xdr:to>
      <xdr:col>6</xdr:col>
      <xdr:colOff>294409</xdr:colOff>
      <xdr:row>43</xdr:row>
      <xdr:rowOff>544758</xdr:rowOff>
    </xdr:to>
    <xdr:sp macro="" textlink="">
      <xdr:nvSpPr>
        <xdr:cNvPr id="130" name="Прямоугольник 129"/>
        <xdr:cNvSpPr/>
      </xdr:nvSpPr>
      <xdr:spPr>
        <a:xfrm>
          <a:off x="2894734" y="25130558"/>
          <a:ext cx="1714500" cy="3982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СМОЛЕНСК</a:t>
          </a:r>
        </a:p>
      </xdr:txBody>
    </xdr:sp>
    <xdr:clientData/>
  </xdr:twoCellAnchor>
  <xdr:twoCellAnchor>
    <xdr:from>
      <xdr:col>4</xdr:col>
      <xdr:colOff>684934</xdr:colOff>
      <xdr:row>43</xdr:row>
      <xdr:rowOff>169863</xdr:rowOff>
    </xdr:from>
    <xdr:to>
      <xdr:col>5</xdr:col>
      <xdr:colOff>477116</xdr:colOff>
      <xdr:row>43</xdr:row>
      <xdr:rowOff>518781</xdr:rowOff>
    </xdr:to>
    <xdr:cxnSp macro="">
      <xdr:nvCxnSpPr>
        <xdr:cNvPr id="131" name="Прямая соединительная линия 130"/>
        <xdr:cNvCxnSpPr/>
      </xdr:nvCxnSpPr>
      <xdr:spPr>
        <a:xfrm flipV="1">
          <a:off x="3275734" y="25153938"/>
          <a:ext cx="935182" cy="348918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7354</xdr:colOff>
      <xdr:row>46</xdr:row>
      <xdr:rowOff>410934</xdr:rowOff>
    </xdr:from>
    <xdr:to>
      <xdr:col>3</xdr:col>
      <xdr:colOff>135384</xdr:colOff>
      <xdr:row>46</xdr:row>
      <xdr:rowOff>537796</xdr:rowOff>
    </xdr:to>
    <xdr:grpSp>
      <xdr:nvGrpSpPr>
        <xdr:cNvPr id="132" name="Группа 131"/>
        <xdr:cNvGrpSpPr/>
      </xdr:nvGrpSpPr>
      <xdr:grpSpPr>
        <a:xfrm rot="5400000">
          <a:off x="2029355" y="27620100"/>
          <a:ext cx="126862" cy="128030"/>
          <a:chOff x="1132242" y="1306343"/>
          <a:chExt cx="123151" cy="128030"/>
        </a:xfrm>
      </xdr:grpSpPr>
      <xdr:cxnSp macro="">
        <xdr:nvCxnSpPr>
          <xdr:cNvPr id="133" name="Прямая соединительная линия 13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4" name="Прямоугольник 13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579561</xdr:colOff>
      <xdr:row>57</xdr:row>
      <xdr:rowOff>95250</xdr:rowOff>
    </xdr:from>
    <xdr:to>
      <xdr:col>2</xdr:col>
      <xdr:colOff>579561</xdr:colOff>
      <xdr:row>58</xdr:row>
      <xdr:rowOff>583749</xdr:rowOff>
    </xdr:to>
    <xdr:cxnSp macro="">
      <xdr:nvCxnSpPr>
        <xdr:cNvPr id="135" name="Прямая соединительная линия 134"/>
        <xdr:cNvCxnSpPr/>
      </xdr:nvCxnSpPr>
      <xdr:spPr>
        <a:xfrm flipV="1">
          <a:off x="2008311" y="32032575"/>
          <a:ext cx="0" cy="1183824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58</xdr:row>
      <xdr:rowOff>519794</xdr:rowOff>
    </xdr:from>
    <xdr:to>
      <xdr:col>3</xdr:col>
      <xdr:colOff>53467</xdr:colOff>
      <xdr:row>58</xdr:row>
      <xdr:rowOff>627794</xdr:rowOff>
    </xdr:to>
    <xdr:sp macro="" textlink="">
      <xdr:nvSpPr>
        <xdr:cNvPr id="136" name="Овал 135"/>
        <xdr:cNvSpPr/>
      </xdr:nvSpPr>
      <xdr:spPr>
        <a:xfrm>
          <a:off x="1955242" y="33152444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7354</xdr:colOff>
      <xdr:row>58</xdr:row>
      <xdr:rowOff>410936</xdr:rowOff>
    </xdr:from>
    <xdr:to>
      <xdr:col>3</xdr:col>
      <xdr:colOff>135384</xdr:colOff>
      <xdr:row>58</xdr:row>
      <xdr:rowOff>537799</xdr:rowOff>
    </xdr:to>
    <xdr:grpSp>
      <xdr:nvGrpSpPr>
        <xdr:cNvPr id="137" name="Группа 136"/>
        <xdr:cNvGrpSpPr/>
      </xdr:nvGrpSpPr>
      <xdr:grpSpPr>
        <a:xfrm rot="5400000">
          <a:off x="2029354" y="33208103"/>
          <a:ext cx="126863" cy="128030"/>
          <a:chOff x="1132242" y="1306343"/>
          <a:chExt cx="123151" cy="128030"/>
        </a:xfrm>
      </xdr:grpSpPr>
      <xdr:cxnSp macro="">
        <xdr:nvCxnSpPr>
          <xdr:cNvPr id="138" name="Прямая соединительная линия 13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9" name="Прямоугольник 13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61205</xdr:colOff>
      <xdr:row>62</xdr:row>
      <xdr:rowOff>486821</xdr:rowOff>
    </xdr:from>
    <xdr:to>
      <xdr:col>3</xdr:col>
      <xdr:colOff>170886</xdr:colOff>
      <xdr:row>62</xdr:row>
      <xdr:rowOff>594821</xdr:rowOff>
    </xdr:to>
    <xdr:sp macro="" textlink="">
      <xdr:nvSpPr>
        <xdr:cNvPr id="140" name="Овал 139"/>
        <xdr:cNvSpPr/>
      </xdr:nvSpPr>
      <xdr:spPr>
        <a:xfrm>
          <a:off x="2070980" y="34510121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124148</xdr:colOff>
      <xdr:row>61</xdr:row>
      <xdr:rowOff>104775</xdr:rowOff>
    </xdr:from>
    <xdr:to>
      <xdr:col>3</xdr:col>
      <xdr:colOff>124148</xdr:colOff>
      <xdr:row>62</xdr:row>
      <xdr:rowOff>559030</xdr:rowOff>
    </xdr:to>
    <xdr:cxnSp macro="">
      <xdr:nvCxnSpPr>
        <xdr:cNvPr id="141" name="Прямая соединительная линия 140"/>
        <xdr:cNvCxnSpPr/>
      </xdr:nvCxnSpPr>
      <xdr:spPr>
        <a:xfrm flipV="1">
          <a:off x="2133923" y="33432750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464171</xdr:colOff>
      <xdr:row>61</xdr:row>
      <xdr:rowOff>104775</xdr:rowOff>
    </xdr:from>
    <xdr:to>
      <xdr:col>2</xdr:col>
      <xdr:colOff>464171</xdr:colOff>
      <xdr:row>62</xdr:row>
      <xdr:rowOff>559030</xdr:rowOff>
    </xdr:to>
    <xdr:cxnSp macro="">
      <xdr:nvCxnSpPr>
        <xdr:cNvPr id="142" name="Прямая соединительная линия 141"/>
        <xdr:cNvCxnSpPr/>
      </xdr:nvCxnSpPr>
      <xdr:spPr>
        <a:xfrm>
          <a:off x="1892921" y="33432750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507442</xdr:colOff>
      <xdr:row>62</xdr:row>
      <xdr:rowOff>72118</xdr:rowOff>
    </xdr:from>
    <xdr:to>
      <xdr:col>3</xdr:col>
      <xdr:colOff>70417</xdr:colOff>
      <xdr:row>62</xdr:row>
      <xdr:rowOff>216119</xdr:rowOff>
    </xdr:to>
    <xdr:sp macro="" textlink="">
      <xdr:nvSpPr>
        <xdr:cNvPr id="143" name="Овал 142"/>
        <xdr:cNvSpPr/>
      </xdr:nvSpPr>
      <xdr:spPr>
        <a:xfrm>
          <a:off x="1936192" y="34095418"/>
          <a:ext cx="144000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124148</xdr:colOff>
      <xdr:row>61</xdr:row>
      <xdr:rowOff>47625</xdr:rowOff>
    </xdr:from>
    <xdr:to>
      <xdr:col>3</xdr:col>
      <xdr:colOff>124148</xdr:colOff>
      <xdr:row>62</xdr:row>
      <xdr:rowOff>559030</xdr:rowOff>
    </xdr:to>
    <xdr:cxnSp macro="">
      <xdr:nvCxnSpPr>
        <xdr:cNvPr id="144" name="Прямая соединительная линия 143"/>
        <xdr:cNvCxnSpPr/>
      </xdr:nvCxnSpPr>
      <xdr:spPr>
        <a:xfrm flipV="1">
          <a:off x="2133923" y="33375600"/>
          <a:ext cx="0" cy="1206730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85725</xdr:colOff>
      <xdr:row>61</xdr:row>
      <xdr:rowOff>409575</xdr:rowOff>
    </xdr:from>
    <xdr:to>
      <xdr:col>4</xdr:col>
      <xdr:colOff>695378</xdr:colOff>
      <xdr:row>62</xdr:row>
      <xdr:rowOff>323902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3737550"/>
          <a:ext cx="609653" cy="609652"/>
        </a:xfrm>
        <a:prstGeom prst="rect">
          <a:avLst/>
        </a:prstGeom>
      </xdr:spPr>
    </xdr:pic>
    <xdr:clientData/>
  </xdr:twoCellAnchor>
  <xdr:twoCellAnchor>
    <xdr:from>
      <xdr:col>3</xdr:col>
      <xdr:colOff>59649</xdr:colOff>
      <xdr:row>72</xdr:row>
      <xdr:rowOff>496346</xdr:rowOff>
    </xdr:from>
    <xdr:to>
      <xdr:col>3</xdr:col>
      <xdr:colOff>169330</xdr:colOff>
      <xdr:row>72</xdr:row>
      <xdr:rowOff>604346</xdr:rowOff>
    </xdr:to>
    <xdr:sp macro="" textlink="">
      <xdr:nvSpPr>
        <xdr:cNvPr id="146" name="Овал 145"/>
        <xdr:cNvSpPr/>
      </xdr:nvSpPr>
      <xdr:spPr>
        <a:xfrm>
          <a:off x="2069424" y="40082246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71</xdr:row>
      <xdr:rowOff>114300</xdr:rowOff>
    </xdr:from>
    <xdr:to>
      <xdr:col>3</xdr:col>
      <xdr:colOff>117579</xdr:colOff>
      <xdr:row>72</xdr:row>
      <xdr:rowOff>568555</xdr:rowOff>
    </xdr:to>
    <xdr:cxnSp macro="">
      <xdr:nvCxnSpPr>
        <xdr:cNvPr id="147" name="Прямая соединительная линия 146"/>
        <xdr:cNvCxnSpPr/>
      </xdr:nvCxnSpPr>
      <xdr:spPr>
        <a:xfrm flipV="1">
          <a:off x="2127354" y="39004875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470740</xdr:colOff>
      <xdr:row>71</xdr:row>
      <xdr:rowOff>114300</xdr:rowOff>
    </xdr:from>
    <xdr:to>
      <xdr:col>2</xdr:col>
      <xdr:colOff>470740</xdr:colOff>
      <xdr:row>72</xdr:row>
      <xdr:rowOff>568555</xdr:rowOff>
    </xdr:to>
    <xdr:cxnSp macro="">
      <xdr:nvCxnSpPr>
        <xdr:cNvPr id="148" name="Прямая соединительная линия 147"/>
        <xdr:cNvCxnSpPr/>
      </xdr:nvCxnSpPr>
      <xdr:spPr>
        <a:xfrm>
          <a:off x="1899490" y="39004875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507442</xdr:colOff>
      <xdr:row>72</xdr:row>
      <xdr:rowOff>81643</xdr:rowOff>
    </xdr:from>
    <xdr:to>
      <xdr:col>3</xdr:col>
      <xdr:colOff>70417</xdr:colOff>
      <xdr:row>72</xdr:row>
      <xdr:rowOff>225644</xdr:rowOff>
    </xdr:to>
    <xdr:sp macro="" textlink="">
      <xdr:nvSpPr>
        <xdr:cNvPr id="149" name="Овал 148"/>
        <xdr:cNvSpPr/>
      </xdr:nvSpPr>
      <xdr:spPr>
        <a:xfrm>
          <a:off x="1936192" y="39667543"/>
          <a:ext cx="144000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71</xdr:row>
      <xdr:rowOff>57150</xdr:rowOff>
    </xdr:from>
    <xdr:to>
      <xdr:col>3</xdr:col>
      <xdr:colOff>117579</xdr:colOff>
      <xdr:row>72</xdr:row>
      <xdr:rowOff>568555</xdr:rowOff>
    </xdr:to>
    <xdr:cxnSp macro="">
      <xdr:nvCxnSpPr>
        <xdr:cNvPr id="150" name="Прямая соединительная линия 149"/>
        <xdr:cNvCxnSpPr/>
      </xdr:nvCxnSpPr>
      <xdr:spPr>
        <a:xfrm flipV="1">
          <a:off x="2127354" y="38947725"/>
          <a:ext cx="0" cy="1206730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85725</xdr:colOff>
      <xdr:row>71</xdr:row>
      <xdr:rowOff>419100</xdr:rowOff>
    </xdr:from>
    <xdr:to>
      <xdr:col>4</xdr:col>
      <xdr:colOff>695378</xdr:colOff>
      <xdr:row>72</xdr:row>
      <xdr:rowOff>333429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39309675"/>
          <a:ext cx="609653" cy="609654"/>
        </a:xfrm>
        <a:prstGeom prst="rect">
          <a:avLst/>
        </a:prstGeom>
      </xdr:spPr>
    </xdr:pic>
    <xdr:clientData/>
  </xdr:twoCellAnchor>
  <xdr:twoCellAnchor>
    <xdr:from>
      <xdr:col>3</xdr:col>
      <xdr:colOff>54636</xdr:colOff>
      <xdr:row>76</xdr:row>
      <xdr:rowOff>488502</xdr:rowOff>
    </xdr:from>
    <xdr:to>
      <xdr:col>3</xdr:col>
      <xdr:colOff>164317</xdr:colOff>
      <xdr:row>76</xdr:row>
      <xdr:rowOff>596502</xdr:rowOff>
    </xdr:to>
    <xdr:sp macro="" textlink="">
      <xdr:nvSpPr>
        <xdr:cNvPr id="152" name="Овал 151"/>
        <xdr:cNvSpPr/>
      </xdr:nvSpPr>
      <xdr:spPr>
        <a:xfrm>
          <a:off x="2064411" y="41465052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75</xdr:row>
      <xdr:rowOff>106456</xdr:rowOff>
    </xdr:from>
    <xdr:to>
      <xdr:col>3</xdr:col>
      <xdr:colOff>117579</xdr:colOff>
      <xdr:row>76</xdr:row>
      <xdr:rowOff>560711</xdr:rowOff>
    </xdr:to>
    <xdr:cxnSp macro="">
      <xdr:nvCxnSpPr>
        <xdr:cNvPr id="153" name="Прямая соединительная линия 152"/>
        <xdr:cNvCxnSpPr/>
      </xdr:nvCxnSpPr>
      <xdr:spPr>
        <a:xfrm flipV="1">
          <a:off x="2127354" y="40387681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477309</xdr:colOff>
      <xdr:row>75</xdr:row>
      <xdr:rowOff>106456</xdr:rowOff>
    </xdr:from>
    <xdr:to>
      <xdr:col>2</xdr:col>
      <xdr:colOff>477309</xdr:colOff>
      <xdr:row>76</xdr:row>
      <xdr:rowOff>560711</xdr:rowOff>
    </xdr:to>
    <xdr:cxnSp macro="">
      <xdr:nvCxnSpPr>
        <xdr:cNvPr id="154" name="Прямая соединительная линия 153"/>
        <xdr:cNvCxnSpPr/>
      </xdr:nvCxnSpPr>
      <xdr:spPr>
        <a:xfrm>
          <a:off x="1906059" y="40387681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507442</xdr:colOff>
      <xdr:row>76</xdr:row>
      <xdr:rowOff>73799</xdr:rowOff>
    </xdr:from>
    <xdr:to>
      <xdr:col>3</xdr:col>
      <xdr:colOff>70417</xdr:colOff>
      <xdr:row>76</xdr:row>
      <xdr:rowOff>217800</xdr:rowOff>
    </xdr:to>
    <xdr:sp macro="" textlink="">
      <xdr:nvSpPr>
        <xdr:cNvPr id="155" name="Овал 154"/>
        <xdr:cNvSpPr/>
      </xdr:nvSpPr>
      <xdr:spPr>
        <a:xfrm>
          <a:off x="1936192" y="41050349"/>
          <a:ext cx="144000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117579</xdr:colOff>
      <xdr:row>75</xdr:row>
      <xdr:rowOff>49306</xdr:rowOff>
    </xdr:from>
    <xdr:to>
      <xdr:col>3</xdr:col>
      <xdr:colOff>117579</xdr:colOff>
      <xdr:row>76</xdr:row>
      <xdr:rowOff>560711</xdr:rowOff>
    </xdr:to>
    <xdr:cxnSp macro="">
      <xdr:nvCxnSpPr>
        <xdr:cNvPr id="156" name="Прямая соединительная линия 155"/>
        <xdr:cNvCxnSpPr/>
      </xdr:nvCxnSpPr>
      <xdr:spPr>
        <a:xfrm flipV="1">
          <a:off x="2127354" y="40330531"/>
          <a:ext cx="0" cy="1206730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104775</xdr:colOff>
      <xdr:row>75</xdr:row>
      <xdr:rowOff>400050</xdr:rowOff>
    </xdr:from>
    <xdr:to>
      <xdr:col>4</xdr:col>
      <xdr:colOff>714428</xdr:colOff>
      <xdr:row>76</xdr:row>
      <xdr:rowOff>314378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40681275"/>
          <a:ext cx="609653" cy="609653"/>
        </a:xfrm>
        <a:prstGeom prst="rect">
          <a:avLst/>
        </a:prstGeom>
      </xdr:spPr>
    </xdr:pic>
    <xdr:clientData/>
  </xdr:twoCellAnchor>
  <xdr:twoCellAnchor>
    <xdr:from>
      <xdr:col>3</xdr:col>
      <xdr:colOff>61206</xdr:colOff>
      <xdr:row>88</xdr:row>
      <xdr:rowOff>476926</xdr:rowOff>
    </xdr:from>
    <xdr:to>
      <xdr:col>3</xdr:col>
      <xdr:colOff>170887</xdr:colOff>
      <xdr:row>88</xdr:row>
      <xdr:rowOff>584926</xdr:rowOff>
    </xdr:to>
    <xdr:sp macro="" textlink="">
      <xdr:nvSpPr>
        <xdr:cNvPr id="158" name="Овал 157"/>
        <xdr:cNvSpPr/>
      </xdr:nvSpPr>
      <xdr:spPr>
        <a:xfrm>
          <a:off x="2070981" y="45625426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111377</xdr:colOff>
      <xdr:row>87</xdr:row>
      <xdr:rowOff>99893</xdr:rowOff>
    </xdr:from>
    <xdr:to>
      <xdr:col>3</xdr:col>
      <xdr:colOff>111377</xdr:colOff>
      <xdr:row>88</xdr:row>
      <xdr:rowOff>554148</xdr:rowOff>
    </xdr:to>
    <xdr:cxnSp macro="">
      <xdr:nvCxnSpPr>
        <xdr:cNvPr id="159" name="Прямая соединительная линия 158"/>
        <xdr:cNvCxnSpPr/>
      </xdr:nvCxnSpPr>
      <xdr:spPr>
        <a:xfrm flipV="1">
          <a:off x="2121152" y="44553068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498939</xdr:colOff>
      <xdr:row>87</xdr:row>
      <xdr:rowOff>94880</xdr:rowOff>
    </xdr:from>
    <xdr:to>
      <xdr:col>2</xdr:col>
      <xdr:colOff>498939</xdr:colOff>
      <xdr:row>88</xdr:row>
      <xdr:rowOff>549135</xdr:rowOff>
    </xdr:to>
    <xdr:cxnSp macro="">
      <xdr:nvCxnSpPr>
        <xdr:cNvPr id="160" name="Прямая соединительная линия 159"/>
        <xdr:cNvCxnSpPr/>
      </xdr:nvCxnSpPr>
      <xdr:spPr>
        <a:xfrm>
          <a:off x="1927689" y="44548055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176888</xdr:colOff>
      <xdr:row>88</xdr:row>
      <xdr:rowOff>62223</xdr:rowOff>
    </xdr:from>
    <xdr:to>
      <xdr:col>3</xdr:col>
      <xdr:colOff>328681</xdr:colOff>
      <xdr:row>88</xdr:row>
      <xdr:rowOff>206224</xdr:rowOff>
    </xdr:to>
    <xdr:sp macro="" textlink="">
      <xdr:nvSpPr>
        <xdr:cNvPr id="161" name="Овал 160"/>
        <xdr:cNvSpPr/>
      </xdr:nvSpPr>
      <xdr:spPr>
        <a:xfrm>
          <a:off x="2186663" y="45210723"/>
          <a:ext cx="151793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85725</xdr:colOff>
      <xdr:row>87</xdr:row>
      <xdr:rowOff>399680</xdr:rowOff>
    </xdr:from>
    <xdr:to>
      <xdr:col>4</xdr:col>
      <xdr:colOff>695378</xdr:colOff>
      <xdr:row>88</xdr:row>
      <xdr:rowOff>314008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44852855"/>
          <a:ext cx="609653" cy="609653"/>
        </a:xfrm>
        <a:prstGeom prst="rect">
          <a:avLst/>
        </a:prstGeom>
      </xdr:spPr>
    </xdr:pic>
    <xdr:clientData/>
  </xdr:twoCellAnchor>
  <xdr:twoCellAnchor>
    <xdr:from>
      <xdr:col>2</xdr:col>
      <xdr:colOff>525657</xdr:colOff>
      <xdr:row>64</xdr:row>
      <xdr:rowOff>527795</xdr:rowOff>
    </xdr:from>
    <xdr:to>
      <xdr:col>3</xdr:col>
      <xdr:colOff>59670</xdr:colOff>
      <xdr:row>64</xdr:row>
      <xdr:rowOff>635795</xdr:rowOff>
    </xdr:to>
    <xdr:sp macro="" textlink="">
      <xdr:nvSpPr>
        <xdr:cNvPr id="163" name="Овал 162"/>
        <xdr:cNvSpPr/>
      </xdr:nvSpPr>
      <xdr:spPr>
        <a:xfrm>
          <a:off x="1954407" y="35941745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63</xdr:row>
      <xdr:rowOff>629312</xdr:rowOff>
    </xdr:from>
    <xdr:to>
      <xdr:col>3</xdr:col>
      <xdr:colOff>266156</xdr:colOff>
      <xdr:row>64</xdr:row>
      <xdr:rowOff>77987</xdr:rowOff>
    </xdr:to>
    <xdr:sp macro="" textlink="">
      <xdr:nvSpPr>
        <xdr:cNvPr id="164" name="Овал 163"/>
        <xdr:cNvSpPr/>
      </xdr:nvSpPr>
      <xdr:spPr>
        <a:xfrm>
          <a:off x="2131931" y="35347937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145673</xdr:colOff>
      <xdr:row>63</xdr:row>
      <xdr:rowOff>358589</xdr:rowOff>
    </xdr:from>
    <xdr:to>
      <xdr:col>4</xdr:col>
      <xdr:colOff>377306</xdr:colOff>
      <xdr:row>64</xdr:row>
      <xdr:rowOff>317354</xdr:rowOff>
    </xdr:to>
    <xdr:grpSp>
      <xdr:nvGrpSpPr>
        <xdr:cNvPr id="165" name="Группа 164"/>
        <xdr:cNvGrpSpPr/>
      </xdr:nvGrpSpPr>
      <xdr:grpSpPr>
        <a:xfrm flipH="1">
          <a:off x="2749173" y="35251839"/>
          <a:ext cx="231633" cy="657265"/>
          <a:chOff x="2974731" y="8507714"/>
          <a:chExt cx="359019" cy="1014540"/>
        </a:xfrm>
      </xdr:grpSpPr>
      <xdr:sp macro="" textlink="">
        <xdr:nvSpPr>
          <xdr:cNvPr id="166" name="Прямоугольник 165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7" name="Овал 166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8" name="Овал 167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9" name="Овал 168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63</xdr:row>
      <xdr:rowOff>66675</xdr:rowOff>
    </xdr:from>
    <xdr:to>
      <xdr:col>3</xdr:col>
      <xdr:colOff>0</xdr:colOff>
      <xdr:row>64</xdr:row>
      <xdr:rowOff>572485</xdr:rowOff>
    </xdr:to>
    <xdr:cxnSp macro="">
      <xdr:nvCxnSpPr>
        <xdr:cNvPr id="170" name="Прямая соединительная линия 169"/>
        <xdr:cNvCxnSpPr/>
      </xdr:nvCxnSpPr>
      <xdr:spPr>
        <a:xfrm flipV="1">
          <a:off x="2009775" y="34785300"/>
          <a:ext cx="0" cy="120113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13489</xdr:colOff>
      <xdr:row>63</xdr:row>
      <xdr:rowOff>585724</xdr:rowOff>
    </xdr:from>
    <xdr:to>
      <xdr:col>3</xdr:col>
      <xdr:colOff>141055</xdr:colOff>
      <xdr:row>64</xdr:row>
      <xdr:rowOff>18256</xdr:rowOff>
    </xdr:to>
    <xdr:grpSp>
      <xdr:nvGrpSpPr>
        <xdr:cNvPr id="171" name="Группа 170"/>
        <xdr:cNvGrpSpPr/>
      </xdr:nvGrpSpPr>
      <xdr:grpSpPr>
        <a:xfrm flipH="1">
          <a:off x="2034906" y="35478974"/>
          <a:ext cx="127566" cy="131032"/>
          <a:chOff x="1132242" y="1306343"/>
          <a:chExt cx="123151" cy="128030"/>
        </a:xfrm>
      </xdr:grpSpPr>
      <xdr:cxnSp macro="">
        <xdr:nvCxnSpPr>
          <xdr:cNvPr id="172" name="Прямая соединительная линия 17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3" name="Прямоугольник 17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503464</xdr:colOff>
      <xdr:row>134</xdr:row>
      <xdr:rowOff>543335</xdr:rowOff>
    </xdr:from>
    <xdr:to>
      <xdr:col>3</xdr:col>
      <xdr:colOff>38720</xdr:colOff>
      <xdr:row>134</xdr:row>
      <xdr:rowOff>651335</xdr:rowOff>
    </xdr:to>
    <xdr:sp macro="" textlink="">
      <xdr:nvSpPr>
        <xdr:cNvPr id="174" name="Овал 173"/>
        <xdr:cNvSpPr/>
      </xdr:nvSpPr>
      <xdr:spPr>
        <a:xfrm>
          <a:off x="1932214" y="59598335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574493</xdr:colOff>
      <xdr:row>133</xdr:row>
      <xdr:rowOff>81643</xdr:rowOff>
    </xdr:from>
    <xdr:to>
      <xdr:col>2</xdr:col>
      <xdr:colOff>574493</xdr:colOff>
      <xdr:row>134</xdr:row>
      <xdr:rowOff>608767</xdr:rowOff>
    </xdr:to>
    <xdr:cxnSp macro="">
      <xdr:nvCxnSpPr>
        <xdr:cNvPr id="175" name="Прямая соединительная линия 174"/>
        <xdr:cNvCxnSpPr/>
      </xdr:nvCxnSpPr>
      <xdr:spPr>
        <a:xfrm flipV="1">
          <a:off x="2003243" y="58441318"/>
          <a:ext cx="0" cy="122244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570677</xdr:colOff>
      <xdr:row>134</xdr:row>
      <xdr:rowOff>8610</xdr:rowOff>
    </xdr:from>
    <xdr:to>
      <xdr:col>3</xdr:col>
      <xdr:colOff>513522</xdr:colOff>
      <xdr:row>134</xdr:row>
      <xdr:rowOff>41413</xdr:rowOff>
    </xdr:to>
    <xdr:cxnSp macro="">
      <xdr:nvCxnSpPr>
        <xdr:cNvPr id="176" name="Прямая соединительная линия 175"/>
        <xdr:cNvCxnSpPr/>
      </xdr:nvCxnSpPr>
      <xdr:spPr>
        <a:xfrm flipH="1" flipV="1">
          <a:off x="1999427" y="59063610"/>
          <a:ext cx="523870" cy="3280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569611</xdr:colOff>
      <xdr:row>133</xdr:row>
      <xdr:rowOff>694597</xdr:rowOff>
    </xdr:from>
    <xdr:to>
      <xdr:col>3</xdr:col>
      <xdr:colOff>547721</xdr:colOff>
      <xdr:row>134</xdr:row>
      <xdr:rowOff>579358</xdr:rowOff>
    </xdr:to>
    <xdr:sp macro="" textlink="">
      <xdr:nvSpPr>
        <xdr:cNvPr id="177" name="Полилиния 176"/>
        <xdr:cNvSpPr/>
      </xdr:nvSpPr>
      <xdr:spPr>
        <a:xfrm>
          <a:off x="1998361" y="59054272"/>
          <a:ext cx="559135" cy="580086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  <a:gd name="connsiteX0" fmla="*/ 0 w 538370"/>
            <a:gd name="connsiteY0" fmla="*/ 580426 h 580426"/>
            <a:gd name="connsiteX1" fmla="*/ 0 w 538370"/>
            <a:gd name="connsiteY1" fmla="*/ 644 h 580426"/>
            <a:gd name="connsiteX2" fmla="*/ 538370 w 538370"/>
            <a:gd name="connsiteY2" fmla="*/ 58622 h 580426"/>
            <a:gd name="connsiteX0" fmla="*/ 0 w 563465"/>
            <a:gd name="connsiteY0" fmla="*/ 580500 h 580500"/>
            <a:gd name="connsiteX1" fmla="*/ 0 w 563465"/>
            <a:gd name="connsiteY1" fmla="*/ 718 h 580500"/>
            <a:gd name="connsiteX2" fmla="*/ 563465 w 563465"/>
            <a:gd name="connsiteY2" fmla="*/ 50413 h 58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3465" h="580500">
              <a:moveTo>
                <a:pt x="0" y="580500"/>
              </a:moveTo>
              <a:lnTo>
                <a:pt x="0" y="718"/>
              </a:lnTo>
              <a:cubicBezTo>
                <a:pt x="179457" y="-7565"/>
                <a:pt x="384008" y="58696"/>
                <a:pt x="563465" y="50413"/>
              </a:cubicBez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135</xdr:row>
      <xdr:rowOff>96488</xdr:rowOff>
    </xdr:from>
    <xdr:to>
      <xdr:col>3</xdr:col>
      <xdr:colOff>14253</xdr:colOff>
      <xdr:row>136</xdr:row>
      <xdr:rowOff>584986</xdr:rowOff>
    </xdr:to>
    <xdr:cxnSp macro="">
      <xdr:nvCxnSpPr>
        <xdr:cNvPr id="178" name="Прямая соединительная линия 177"/>
        <xdr:cNvCxnSpPr/>
      </xdr:nvCxnSpPr>
      <xdr:spPr>
        <a:xfrm flipV="1">
          <a:off x="2024028" y="5984681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136</xdr:row>
      <xdr:rowOff>521031</xdr:rowOff>
    </xdr:from>
    <xdr:to>
      <xdr:col>3</xdr:col>
      <xdr:colOff>63839</xdr:colOff>
      <xdr:row>136</xdr:row>
      <xdr:rowOff>629031</xdr:rowOff>
    </xdr:to>
    <xdr:sp macro="" textlink="">
      <xdr:nvSpPr>
        <xdr:cNvPr id="179" name="Овал 178"/>
        <xdr:cNvSpPr/>
      </xdr:nvSpPr>
      <xdr:spPr>
        <a:xfrm>
          <a:off x="1965614" y="6096668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135</xdr:row>
      <xdr:rowOff>644856</xdr:rowOff>
    </xdr:from>
    <xdr:to>
      <xdr:col>3</xdr:col>
      <xdr:colOff>280814</xdr:colOff>
      <xdr:row>136</xdr:row>
      <xdr:rowOff>93531</xdr:rowOff>
    </xdr:to>
    <xdr:sp macro="" textlink="">
      <xdr:nvSpPr>
        <xdr:cNvPr id="180" name="Овал 179"/>
        <xdr:cNvSpPr/>
      </xdr:nvSpPr>
      <xdr:spPr>
        <a:xfrm>
          <a:off x="2146589" y="6039518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139</xdr:row>
      <xdr:rowOff>96488</xdr:rowOff>
    </xdr:from>
    <xdr:to>
      <xdr:col>3</xdr:col>
      <xdr:colOff>14253</xdr:colOff>
      <xdr:row>140</xdr:row>
      <xdr:rowOff>584986</xdr:rowOff>
    </xdr:to>
    <xdr:cxnSp macro="">
      <xdr:nvCxnSpPr>
        <xdr:cNvPr id="181" name="Прямая соединительная линия 180"/>
        <xdr:cNvCxnSpPr/>
      </xdr:nvCxnSpPr>
      <xdr:spPr>
        <a:xfrm flipV="1">
          <a:off x="2024028" y="6123746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140</xdr:row>
      <xdr:rowOff>521031</xdr:rowOff>
    </xdr:from>
    <xdr:to>
      <xdr:col>3</xdr:col>
      <xdr:colOff>63839</xdr:colOff>
      <xdr:row>140</xdr:row>
      <xdr:rowOff>629031</xdr:rowOff>
    </xdr:to>
    <xdr:sp macro="" textlink="">
      <xdr:nvSpPr>
        <xdr:cNvPr id="182" name="Овал 181"/>
        <xdr:cNvSpPr/>
      </xdr:nvSpPr>
      <xdr:spPr>
        <a:xfrm>
          <a:off x="1965614" y="6235733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139</xdr:row>
      <xdr:rowOff>644856</xdr:rowOff>
    </xdr:from>
    <xdr:to>
      <xdr:col>3</xdr:col>
      <xdr:colOff>280814</xdr:colOff>
      <xdr:row>140</xdr:row>
      <xdr:rowOff>93531</xdr:rowOff>
    </xdr:to>
    <xdr:sp macro="" textlink="">
      <xdr:nvSpPr>
        <xdr:cNvPr id="183" name="Овал 182"/>
        <xdr:cNvSpPr/>
      </xdr:nvSpPr>
      <xdr:spPr>
        <a:xfrm>
          <a:off x="2146589" y="6178583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236845</xdr:colOff>
      <xdr:row>141</xdr:row>
      <xdr:rowOff>403412</xdr:rowOff>
    </xdr:from>
    <xdr:to>
      <xdr:col>4</xdr:col>
      <xdr:colOff>645278</xdr:colOff>
      <xdr:row>142</xdr:row>
      <xdr:rowOff>318250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645" y="62935037"/>
          <a:ext cx="408433" cy="610163"/>
        </a:xfrm>
        <a:prstGeom prst="rect">
          <a:avLst/>
        </a:prstGeom>
      </xdr:spPr>
    </xdr:pic>
    <xdr:clientData/>
  </xdr:twoCellAnchor>
  <xdr:twoCellAnchor>
    <xdr:from>
      <xdr:col>3</xdr:col>
      <xdr:colOff>14253</xdr:colOff>
      <xdr:row>141</xdr:row>
      <xdr:rowOff>96488</xdr:rowOff>
    </xdr:from>
    <xdr:to>
      <xdr:col>3</xdr:col>
      <xdr:colOff>14253</xdr:colOff>
      <xdr:row>142</xdr:row>
      <xdr:rowOff>584986</xdr:rowOff>
    </xdr:to>
    <xdr:cxnSp macro="">
      <xdr:nvCxnSpPr>
        <xdr:cNvPr id="185" name="Прямая соединительная линия 184"/>
        <xdr:cNvCxnSpPr/>
      </xdr:nvCxnSpPr>
      <xdr:spPr>
        <a:xfrm flipV="1">
          <a:off x="2024028" y="6262811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142</xdr:row>
      <xdr:rowOff>521031</xdr:rowOff>
    </xdr:from>
    <xdr:to>
      <xdr:col>3</xdr:col>
      <xdr:colOff>63839</xdr:colOff>
      <xdr:row>142</xdr:row>
      <xdr:rowOff>629031</xdr:rowOff>
    </xdr:to>
    <xdr:sp macro="" textlink="">
      <xdr:nvSpPr>
        <xdr:cNvPr id="186" name="Овал 185"/>
        <xdr:cNvSpPr/>
      </xdr:nvSpPr>
      <xdr:spPr>
        <a:xfrm>
          <a:off x="1965614" y="6374798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141</xdr:row>
      <xdr:rowOff>644856</xdr:rowOff>
    </xdr:from>
    <xdr:to>
      <xdr:col>3</xdr:col>
      <xdr:colOff>280814</xdr:colOff>
      <xdr:row>142</xdr:row>
      <xdr:rowOff>93531</xdr:rowOff>
    </xdr:to>
    <xdr:sp macro="" textlink="">
      <xdr:nvSpPr>
        <xdr:cNvPr id="187" name="Овал 186"/>
        <xdr:cNvSpPr/>
      </xdr:nvSpPr>
      <xdr:spPr>
        <a:xfrm>
          <a:off x="2146589" y="6317648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143</xdr:row>
      <xdr:rowOff>96488</xdr:rowOff>
    </xdr:from>
    <xdr:to>
      <xdr:col>3</xdr:col>
      <xdr:colOff>14253</xdr:colOff>
      <xdr:row>144</xdr:row>
      <xdr:rowOff>584986</xdr:rowOff>
    </xdr:to>
    <xdr:cxnSp macro="">
      <xdr:nvCxnSpPr>
        <xdr:cNvPr id="188" name="Прямая соединительная линия 187"/>
        <xdr:cNvCxnSpPr/>
      </xdr:nvCxnSpPr>
      <xdr:spPr>
        <a:xfrm flipV="1">
          <a:off x="2024028" y="6401876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144</xdr:row>
      <xdr:rowOff>521031</xdr:rowOff>
    </xdr:from>
    <xdr:to>
      <xdr:col>3</xdr:col>
      <xdr:colOff>63839</xdr:colOff>
      <xdr:row>144</xdr:row>
      <xdr:rowOff>629031</xdr:rowOff>
    </xdr:to>
    <xdr:sp macro="" textlink="">
      <xdr:nvSpPr>
        <xdr:cNvPr id="189" name="Овал 188"/>
        <xdr:cNvSpPr/>
      </xdr:nvSpPr>
      <xdr:spPr>
        <a:xfrm>
          <a:off x="1965614" y="6513863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143</xdr:row>
      <xdr:rowOff>644856</xdr:rowOff>
    </xdr:from>
    <xdr:to>
      <xdr:col>3</xdr:col>
      <xdr:colOff>280814</xdr:colOff>
      <xdr:row>144</xdr:row>
      <xdr:rowOff>93531</xdr:rowOff>
    </xdr:to>
    <xdr:sp macro="" textlink="">
      <xdr:nvSpPr>
        <xdr:cNvPr id="190" name="Овал 189"/>
        <xdr:cNvSpPr/>
      </xdr:nvSpPr>
      <xdr:spPr>
        <a:xfrm>
          <a:off x="2146589" y="6456713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17726</xdr:colOff>
      <xdr:row>143</xdr:row>
      <xdr:rowOff>552930</xdr:rowOff>
    </xdr:from>
    <xdr:to>
      <xdr:col>3</xdr:col>
      <xdr:colOff>145756</xdr:colOff>
      <xdr:row>143</xdr:row>
      <xdr:rowOff>676617</xdr:rowOff>
    </xdr:to>
    <xdr:grpSp>
      <xdr:nvGrpSpPr>
        <xdr:cNvPr id="191" name="Группа 190"/>
        <xdr:cNvGrpSpPr/>
      </xdr:nvGrpSpPr>
      <xdr:grpSpPr>
        <a:xfrm rot="5400000">
          <a:off x="2041314" y="64781009"/>
          <a:ext cx="123687" cy="128030"/>
          <a:chOff x="1132242" y="1306343"/>
          <a:chExt cx="123151" cy="128030"/>
        </a:xfrm>
      </xdr:grpSpPr>
      <xdr:cxnSp macro="">
        <xdr:nvCxnSpPr>
          <xdr:cNvPr id="192" name="Прямая соединительная линия 19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3" name="Прямоугольник 19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556024</xdr:colOff>
      <xdr:row>146</xdr:row>
      <xdr:rowOff>493778</xdr:rowOff>
    </xdr:from>
    <xdr:to>
      <xdr:col>3</xdr:col>
      <xdr:colOff>82999</xdr:colOff>
      <xdr:row>146</xdr:row>
      <xdr:rowOff>601778</xdr:rowOff>
    </xdr:to>
    <xdr:sp macro="" textlink="">
      <xdr:nvSpPr>
        <xdr:cNvPr id="194" name="Овал 193"/>
        <xdr:cNvSpPr/>
      </xdr:nvSpPr>
      <xdr:spPr>
        <a:xfrm>
          <a:off x="1984774" y="66502028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111594</xdr:colOff>
      <xdr:row>146</xdr:row>
      <xdr:rowOff>880</xdr:rowOff>
    </xdr:from>
    <xdr:to>
      <xdr:col>3</xdr:col>
      <xdr:colOff>33617</xdr:colOff>
      <xdr:row>146</xdr:row>
      <xdr:rowOff>880</xdr:rowOff>
    </xdr:to>
    <xdr:cxnSp macro="">
      <xdr:nvCxnSpPr>
        <xdr:cNvPr id="195" name="Прямая соединительная линия 194"/>
        <xdr:cNvCxnSpPr/>
      </xdr:nvCxnSpPr>
      <xdr:spPr>
        <a:xfrm>
          <a:off x="1540344" y="66009130"/>
          <a:ext cx="50304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26387</xdr:colOff>
      <xdr:row>145</xdr:row>
      <xdr:rowOff>100853</xdr:rowOff>
    </xdr:from>
    <xdr:to>
      <xdr:col>3</xdr:col>
      <xdr:colOff>26387</xdr:colOff>
      <xdr:row>146</xdr:row>
      <xdr:rowOff>549089</xdr:rowOff>
    </xdr:to>
    <xdr:cxnSp macro="">
      <xdr:nvCxnSpPr>
        <xdr:cNvPr id="196" name="Прямая соединительная линия 195"/>
        <xdr:cNvCxnSpPr/>
      </xdr:nvCxnSpPr>
      <xdr:spPr>
        <a:xfrm flipV="1">
          <a:off x="2036162" y="65413778"/>
          <a:ext cx="0" cy="1143561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52580</xdr:colOff>
      <xdr:row>145</xdr:row>
      <xdr:rowOff>546848</xdr:rowOff>
    </xdr:from>
    <xdr:to>
      <xdr:col>3</xdr:col>
      <xdr:colOff>180146</xdr:colOff>
      <xdr:row>145</xdr:row>
      <xdr:rowOff>674145</xdr:rowOff>
    </xdr:to>
    <xdr:grpSp>
      <xdr:nvGrpSpPr>
        <xdr:cNvPr id="197" name="Группа 196"/>
        <xdr:cNvGrpSpPr/>
      </xdr:nvGrpSpPr>
      <xdr:grpSpPr>
        <a:xfrm flipH="1">
          <a:off x="2073997" y="66174098"/>
          <a:ext cx="127566" cy="127297"/>
          <a:chOff x="1132242" y="1306343"/>
          <a:chExt cx="123151" cy="128030"/>
        </a:xfrm>
      </xdr:grpSpPr>
      <xdr:cxnSp macro="">
        <xdr:nvCxnSpPr>
          <xdr:cNvPr id="198" name="Прямая соединительная линия 19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9" name="Прямоугольник 19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46423</xdr:colOff>
      <xdr:row>146</xdr:row>
      <xdr:rowOff>880</xdr:rowOff>
    </xdr:from>
    <xdr:to>
      <xdr:col>3</xdr:col>
      <xdr:colOff>27889</xdr:colOff>
      <xdr:row>146</xdr:row>
      <xdr:rowOff>565823</xdr:rowOff>
    </xdr:to>
    <xdr:sp macro="" textlink="">
      <xdr:nvSpPr>
        <xdr:cNvPr id="200" name="Полилиния 199"/>
        <xdr:cNvSpPr/>
      </xdr:nvSpPr>
      <xdr:spPr>
        <a:xfrm>
          <a:off x="1475173" y="66009130"/>
          <a:ext cx="562491" cy="564943"/>
        </a:xfrm>
        <a:custGeom>
          <a:avLst/>
          <a:gdLst>
            <a:gd name="connsiteX0" fmla="*/ 505558 w 505558"/>
            <a:gd name="connsiteY0" fmla="*/ 564173 h 564173"/>
            <a:gd name="connsiteX1" fmla="*/ 505558 w 505558"/>
            <a:gd name="connsiteY1" fmla="*/ 0 h 564173"/>
            <a:gd name="connsiteX2" fmla="*/ 0 w 505558"/>
            <a:gd name="connsiteY2" fmla="*/ 0 h 564173"/>
            <a:gd name="connsiteX0" fmla="*/ 527538 w 527538"/>
            <a:gd name="connsiteY0" fmla="*/ 564173 h 564173"/>
            <a:gd name="connsiteX1" fmla="*/ 527538 w 527538"/>
            <a:gd name="connsiteY1" fmla="*/ 0 h 564173"/>
            <a:gd name="connsiteX2" fmla="*/ 0 w 527538"/>
            <a:gd name="connsiteY2" fmla="*/ 0 h 564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7538" h="564173">
              <a:moveTo>
                <a:pt x="527538" y="564173"/>
              </a:moveTo>
              <a:lnTo>
                <a:pt x="527538" y="0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540707</xdr:colOff>
      <xdr:row>150</xdr:row>
      <xdr:rowOff>491532</xdr:rowOff>
    </xdr:from>
    <xdr:to>
      <xdr:col>3</xdr:col>
      <xdr:colOff>64726</xdr:colOff>
      <xdr:row>150</xdr:row>
      <xdr:rowOff>606570</xdr:rowOff>
    </xdr:to>
    <xdr:sp macro="" textlink="">
      <xdr:nvSpPr>
        <xdr:cNvPr id="201" name="Овал 200"/>
        <xdr:cNvSpPr/>
      </xdr:nvSpPr>
      <xdr:spPr>
        <a:xfrm rot="5614795">
          <a:off x="1964460" y="67895429"/>
          <a:ext cx="115038" cy="10504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67236</xdr:colOff>
      <xdr:row>149</xdr:row>
      <xdr:rowOff>593912</xdr:rowOff>
    </xdr:from>
    <xdr:to>
      <xdr:col>3</xdr:col>
      <xdr:colOff>504265</xdr:colOff>
      <xdr:row>150</xdr:row>
      <xdr:rowOff>78441</xdr:rowOff>
    </xdr:to>
    <xdr:cxnSp macro="">
      <xdr:nvCxnSpPr>
        <xdr:cNvPr id="202" name="Прямая соединительная линия 201"/>
        <xdr:cNvCxnSpPr/>
      </xdr:nvCxnSpPr>
      <xdr:spPr>
        <a:xfrm flipV="1">
          <a:off x="1495986" y="67297487"/>
          <a:ext cx="1018054" cy="17985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8978</xdr:colOff>
      <xdr:row>149</xdr:row>
      <xdr:rowOff>677396</xdr:rowOff>
    </xdr:from>
    <xdr:to>
      <xdr:col>3</xdr:col>
      <xdr:colOff>8978</xdr:colOff>
      <xdr:row>150</xdr:row>
      <xdr:rowOff>538331</xdr:rowOff>
    </xdr:to>
    <xdr:cxnSp macro="">
      <xdr:nvCxnSpPr>
        <xdr:cNvPr id="203" name="Прямая соединительная линия 202"/>
        <xdr:cNvCxnSpPr/>
      </xdr:nvCxnSpPr>
      <xdr:spPr>
        <a:xfrm flipV="1">
          <a:off x="2018753" y="67380971"/>
          <a:ext cx="0" cy="55626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123825</xdr:colOff>
      <xdr:row>151</xdr:row>
      <xdr:rowOff>694411</xdr:rowOff>
    </xdr:from>
    <xdr:to>
      <xdr:col>2</xdr:col>
      <xdr:colOff>580202</xdr:colOff>
      <xdr:row>152</xdr:row>
      <xdr:rowOff>76200</xdr:rowOff>
    </xdr:to>
    <xdr:cxnSp macro="">
      <xdr:nvCxnSpPr>
        <xdr:cNvPr id="204" name="Прямая соединительная линия 203"/>
        <xdr:cNvCxnSpPr/>
      </xdr:nvCxnSpPr>
      <xdr:spPr>
        <a:xfrm flipV="1">
          <a:off x="1552575" y="68788636"/>
          <a:ext cx="456377" cy="77114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526690</xdr:colOff>
      <xdr:row>152</xdr:row>
      <xdr:rowOff>543335</xdr:rowOff>
    </xdr:from>
    <xdr:to>
      <xdr:col>3</xdr:col>
      <xdr:colOff>61946</xdr:colOff>
      <xdr:row>152</xdr:row>
      <xdr:rowOff>651335</xdr:rowOff>
    </xdr:to>
    <xdr:sp macro="" textlink="">
      <xdr:nvSpPr>
        <xdr:cNvPr id="205" name="Овал 204"/>
        <xdr:cNvSpPr/>
      </xdr:nvSpPr>
      <xdr:spPr>
        <a:xfrm flipH="1">
          <a:off x="1955440" y="69332885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442</xdr:colOff>
      <xdr:row>151</xdr:row>
      <xdr:rowOff>81643</xdr:rowOff>
    </xdr:from>
    <xdr:to>
      <xdr:col>3</xdr:col>
      <xdr:colOff>442</xdr:colOff>
      <xdr:row>152</xdr:row>
      <xdr:rowOff>608767</xdr:rowOff>
    </xdr:to>
    <xdr:cxnSp macro="">
      <xdr:nvCxnSpPr>
        <xdr:cNvPr id="206" name="Прямая соединительная линия 205"/>
        <xdr:cNvCxnSpPr/>
      </xdr:nvCxnSpPr>
      <xdr:spPr>
        <a:xfrm flipH="1" flipV="1">
          <a:off x="2010217" y="68175868"/>
          <a:ext cx="0" cy="1222449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365283</xdr:colOff>
      <xdr:row>152</xdr:row>
      <xdr:rowOff>90557</xdr:rowOff>
    </xdr:from>
    <xdr:to>
      <xdr:col>2</xdr:col>
      <xdr:colOff>517076</xdr:colOff>
      <xdr:row>152</xdr:row>
      <xdr:rowOff>234558</xdr:rowOff>
    </xdr:to>
    <xdr:sp macro="" textlink="">
      <xdr:nvSpPr>
        <xdr:cNvPr id="207" name="Овал 206"/>
        <xdr:cNvSpPr/>
      </xdr:nvSpPr>
      <xdr:spPr>
        <a:xfrm>
          <a:off x="1794033" y="68880107"/>
          <a:ext cx="151793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349689</xdr:colOff>
      <xdr:row>151</xdr:row>
      <xdr:rowOff>243573</xdr:rowOff>
    </xdr:from>
    <xdr:to>
      <xdr:col>6</xdr:col>
      <xdr:colOff>132640</xdr:colOff>
      <xdr:row>151</xdr:row>
      <xdr:rowOff>528819</xdr:rowOff>
    </xdr:to>
    <xdr:sp macro="" textlink="">
      <xdr:nvSpPr>
        <xdr:cNvPr id="208" name="Стрелка вправо 207"/>
        <xdr:cNvSpPr/>
      </xdr:nvSpPr>
      <xdr:spPr>
        <a:xfrm>
          <a:off x="4083489" y="68337798"/>
          <a:ext cx="363976" cy="285246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150717</xdr:colOff>
      <xdr:row>151</xdr:row>
      <xdr:rowOff>144556</xdr:rowOff>
    </xdr:from>
    <xdr:to>
      <xdr:col>6</xdr:col>
      <xdr:colOff>142873</xdr:colOff>
      <xdr:row>151</xdr:row>
      <xdr:rowOff>544606</xdr:rowOff>
    </xdr:to>
    <xdr:sp macro="" textlink="">
      <xdr:nvSpPr>
        <xdr:cNvPr id="209" name="Прямоугольник 208"/>
        <xdr:cNvSpPr/>
      </xdr:nvSpPr>
      <xdr:spPr>
        <a:xfrm>
          <a:off x="2741517" y="68238781"/>
          <a:ext cx="1716181" cy="40005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КОЩИНО</a:t>
          </a:r>
        </a:p>
      </xdr:txBody>
    </xdr:sp>
    <xdr:clientData/>
  </xdr:twoCellAnchor>
  <xdr:twoCellAnchor>
    <xdr:from>
      <xdr:col>4</xdr:col>
      <xdr:colOff>531717</xdr:colOff>
      <xdr:row>151</xdr:row>
      <xdr:rowOff>167936</xdr:rowOff>
    </xdr:from>
    <xdr:to>
      <xdr:col>5</xdr:col>
      <xdr:colOff>323899</xdr:colOff>
      <xdr:row>151</xdr:row>
      <xdr:rowOff>518629</xdr:rowOff>
    </xdr:to>
    <xdr:cxnSp macro="">
      <xdr:nvCxnSpPr>
        <xdr:cNvPr id="210" name="Прямая соединительная линия 209"/>
        <xdr:cNvCxnSpPr/>
      </xdr:nvCxnSpPr>
      <xdr:spPr>
        <a:xfrm flipV="1">
          <a:off x="3122517" y="68262161"/>
          <a:ext cx="935182" cy="3506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119343</xdr:colOff>
      <xdr:row>153</xdr:row>
      <xdr:rowOff>426894</xdr:rowOff>
    </xdr:from>
    <xdr:ext cx="609653" cy="609094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43" y="69911769"/>
          <a:ext cx="609653" cy="609094"/>
        </a:xfrm>
        <a:prstGeom prst="rect">
          <a:avLst/>
        </a:prstGeom>
      </xdr:spPr>
    </xdr:pic>
    <xdr:clientData/>
  </xdr:oneCellAnchor>
  <xdr:twoCellAnchor>
    <xdr:from>
      <xdr:col>2</xdr:col>
      <xdr:colOff>541373</xdr:colOff>
      <xdr:row>176</xdr:row>
      <xdr:rowOff>535476</xdr:rowOff>
    </xdr:from>
    <xdr:to>
      <xdr:col>3</xdr:col>
      <xdr:colOff>76629</xdr:colOff>
      <xdr:row>176</xdr:row>
      <xdr:rowOff>643476</xdr:rowOff>
    </xdr:to>
    <xdr:sp macro="" textlink="">
      <xdr:nvSpPr>
        <xdr:cNvPr id="212" name="Овал 211"/>
        <xdr:cNvSpPr/>
      </xdr:nvSpPr>
      <xdr:spPr>
        <a:xfrm>
          <a:off x="1970123" y="80450226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4883</xdr:colOff>
      <xdr:row>175</xdr:row>
      <xdr:rowOff>73784</xdr:rowOff>
    </xdr:from>
    <xdr:to>
      <xdr:col>3</xdr:col>
      <xdr:colOff>4883</xdr:colOff>
      <xdr:row>176</xdr:row>
      <xdr:rowOff>600908</xdr:rowOff>
    </xdr:to>
    <xdr:cxnSp macro="">
      <xdr:nvCxnSpPr>
        <xdr:cNvPr id="213" name="Прямая соединительная линия 212"/>
        <xdr:cNvCxnSpPr/>
      </xdr:nvCxnSpPr>
      <xdr:spPr>
        <a:xfrm flipV="1">
          <a:off x="2014658" y="79293209"/>
          <a:ext cx="0" cy="122244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1066</xdr:colOff>
      <xdr:row>175</xdr:row>
      <xdr:rowOff>672393</xdr:rowOff>
    </xdr:from>
    <xdr:to>
      <xdr:col>3</xdr:col>
      <xdr:colOff>520974</xdr:colOff>
      <xdr:row>176</xdr:row>
      <xdr:rowOff>751</xdr:rowOff>
    </xdr:to>
    <xdr:cxnSp macro="">
      <xdr:nvCxnSpPr>
        <xdr:cNvPr id="214" name="Прямая соединительная линия 213"/>
        <xdr:cNvCxnSpPr/>
      </xdr:nvCxnSpPr>
      <xdr:spPr>
        <a:xfrm flipH="1">
          <a:off x="2010841" y="79891818"/>
          <a:ext cx="519908" cy="2368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7866</xdr:colOff>
      <xdr:row>175</xdr:row>
      <xdr:rowOff>564256</xdr:rowOff>
    </xdr:from>
    <xdr:to>
      <xdr:col>3</xdr:col>
      <xdr:colOff>133751</xdr:colOff>
      <xdr:row>175</xdr:row>
      <xdr:rowOff>691553</xdr:rowOff>
    </xdr:to>
    <xdr:grpSp>
      <xdr:nvGrpSpPr>
        <xdr:cNvPr id="215" name="Группа 214"/>
        <xdr:cNvGrpSpPr/>
      </xdr:nvGrpSpPr>
      <xdr:grpSpPr>
        <a:xfrm flipH="1">
          <a:off x="2029283" y="80161506"/>
          <a:ext cx="125885" cy="127297"/>
          <a:chOff x="1132242" y="1306343"/>
          <a:chExt cx="123151" cy="128030"/>
        </a:xfrm>
      </xdr:grpSpPr>
      <xdr:cxnSp macro="">
        <xdr:nvCxnSpPr>
          <xdr:cNvPr id="216" name="Прямая соединительная линия 21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7" name="Прямоугольник 21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120923</xdr:colOff>
      <xdr:row>175</xdr:row>
      <xdr:rowOff>491418</xdr:rowOff>
    </xdr:from>
    <xdr:to>
      <xdr:col>2</xdr:col>
      <xdr:colOff>579731</xdr:colOff>
      <xdr:row>175</xdr:row>
      <xdr:rowOff>571295</xdr:rowOff>
    </xdr:to>
    <xdr:cxnSp macro="">
      <xdr:nvCxnSpPr>
        <xdr:cNvPr id="218" name="Прямая соединительная линия 217"/>
        <xdr:cNvCxnSpPr/>
      </xdr:nvCxnSpPr>
      <xdr:spPr>
        <a:xfrm flipH="1" flipV="1">
          <a:off x="1549673" y="79710843"/>
          <a:ext cx="458808" cy="79877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81005</xdr:colOff>
      <xdr:row>176</xdr:row>
      <xdr:rowOff>105121</xdr:rowOff>
    </xdr:from>
    <xdr:to>
      <xdr:col>3</xdr:col>
      <xdr:colOff>225005</xdr:colOff>
      <xdr:row>176</xdr:row>
      <xdr:rowOff>249535</xdr:rowOff>
    </xdr:to>
    <xdr:sp macro="" textlink="">
      <xdr:nvSpPr>
        <xdr:cNvPr id="219" name="Овал 218"/>
        <xdr:cNvSpPr/>
      </xdr:nvSpPr>
      <xdr:spPr>
        <a:xfrm>
          <a:off x="2090780" y="80019871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93967</xdr:colOff>
      <xdr:row>175</xdr:row>
      <xdr:rowOff>424743</xdr:rowOff>
    </xdr:from>
    <xdr:to>
      <xdr:col>6</xdr:col>
      <xdr:colOff>380959</xdr:colOff>
      <xdr:row>176</xdr:row>
      <xdr:rowOff>281454</xdr:rowOff>
    </xdr:to>
    <xdr:grpSp>
      <xdr:nvGrpSpPr>
        <xdr:cNvPr id="220" name="Группа 219"/>
        <xdr:cNvGrpSpPr/>
      </xdr:nvGrpSpPr>
      <xdr:grpSpPr>
        <a:xfrm>
          <a:off x="2697467" y="80021993"/>
          <a:ext cx="2012075" cy="555211"/>
          <a:chOff x="2678141" y="11482026"/>
          <a:chExt cx="2009775" cy="552450"/>
        </a:xfrm>
      </xdr:grpSpPr>
      <xdr:sp macro="" textlink="">
        <xdr:nvSpPr>
          <xdr:cNvPr id="221" name="Прямоугольник 220"/>
          <xdr:cNvSpPr/>
        </xdr:nvSpPr>
        <xdr:spPr>
          <a:xfrm>
            <a:off x="2678141" y="11482026"/>
            <a:ext cx="2009775" cy="552450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1800" b="1">
              <a:solidFill>
                <a:schemeClr val="bg1"/>
              </a:solidFill>
            </a:endParaRPr>
          </a:p>
        </xdr:txBody>
      </xdr:sp>
      <xdr:sp macro="" textlink="">
        <xdr:nvSpPr>
          <xdr:cNvPr id="222" name="Прямоугольник 221"/>
          <xdr:cNvSpPr/>
        </xdr:nvSpPr>
        <xdr:spPr>
          <a:xfrm>
            <a:off x="2782916" y="11558226"/>
            <a:ext cx="1381125" cy="400050"/>
          </a:xfrm>
          <a:prstGeom prst="rect">
            <a:avLst/>
          </a:prstGeom>
          <a:solidFill>
            <a:schemeClr val="accent1">
              <a:lumMod val="5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800" b="1">
                <a:solidFill>
                  <a:schemeClr val="bg1"/>
                </a:solidFill>
              </a:rPr>
              <a:t>АЭРОПОРТ</a:t>
            </a:r>
          </a:p>
        </xdr:txBody>
      </xdr:sp>
      <xdr:sp macro="" textlink="">
        <xdr:nvSpPr>
          <xdr:cNvPr id="223" name="Стрелка вправо 222"/>
          <xdr:cNvSpPr/>
        </xdr:nvSpPr>
        <xdr:spPr>
          <a:xfrm>
            <a:off x="4221191" y="11615376"/>
            <a:ext cx="361950" cy="285750"/>
          </a:xfrm>
          <a:prstGeom prst="rightArrow">
            <a:avLst/>
          </a:prstGeom>
          <a:solidFill>
            <a:schemeClr val="tx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8283</xdr:colOff>
      <xdr:row>175</xdr:row>
      <xdr:rowOff>670891</xdr:rowOff>
    </xdr:from>
    <xdr:to>
      <xdr:col>3</xdr:col>
      <xdr:colOff>546653</xdr:colOff>
      <xdr:row>176</xdr:row>
      <xdr:rowOff>579782</xdr:rowOff>
    </xdr:to>
    <xdr:sp macro="" textlink="">
      <xdr:nvSpPr>
        <xdr:cNvPr id="224" name="Полилиния 223"/>
        <xdr:cNvSpPr/>
      </xdr:nvSpPr>
      <xdr:spPr>
        <a:xfrm>
          <a:off x="2018058" y="79890316"/>
          <a:ext cx="538370" cy="604216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8370" h="604630">
              <a:moveTo>
                <a:pt x="0" y="604630"/>
              </a:moveTo>
              <a:lnTo>
                <a:pt x="0" y="24848"/>
              </a:lnTo>
              <a:lnTo>
                <a:pt x="53837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541151</xdr:colOff>
      <xdr:row>178</xdr:row>
      <xdr:rowOff>508907</xdr:rowOff>
    </xdr:from>
    <xdr:to>
      <xdr:col>3</xdr:col>
      <xdr:colOff>68126</xdr:colOff>
      <xdr:row>178</xdr:row>
      <xdr:rowOff>616907</xdr:rowOff>
    </xdr:to>
    <xdr:sp macro="" textlink="">
      <xdr:nvSpPr>
        <xdr:cNvPr id="225" name="Овал 224"/>
        <xdr:cNvSpPr/>
      </xdr:nvSpPr>
      <xdr:spPr>
        <a:xfrm rot="5400000">
          <a:off x="1969901" y="8181430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11656</xdr:colOff>
      <xdr:row>177</xdr:row>
      <xdr:rowOff>76200</xdr:rowOff>
    </xdr:from>
    <xdr:to>
      <xdr:col>3</xdr:col>
      <xdr:colOff>11656</xdr:colOff>
      <xdr:row>178</xdr:row>
      <xdr:rowOff>0</xdr:rowOff>
    </xdr:to>
    <xdr:cxnSp macro="">
      <xdr:nvCxnSpPr>
        <xdr:cNvPr id="226" name="Прямая соединительная линия 225"/>
        <xdr:cNvCxnSpPr/>
      </xdr:nvCxnSpPr>
      <xdr:spPr>
        <a:xfrm>
          <a:off x="2021431" y="80686275"/>
          <a:ext cx="0" cy="619125"/>
        </a:xfrm>
        <a:prstGeom prst="line">
          <a:avLst/>
        </a:prstGeom>
        <a:ln w="50800">
          <a:solidFill>
            <a:schemeClr val="tx1"/>
          </a:solidFill>
          <a:prstDash val="sysDash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304800</xdr:colOff>
      <xdr:row>177</xdr:row>
      <xdr:rowOff>608804</xdr:rowOff>
    </xdr:from>
    <xdr:to>
      <xdr:col>3</xdr:col>
      <xdr:colOff>264335</xdr:colOff>
      <xdr:row>178</xdr:row>
      <xdr:rowOff>32445</xdr:rowOff>
    </xdr:to>
    <xdr:grpSp>
      <xdr:nvGrpSpPr>
        <xdr:cNvPr id="227" name="Группа 226"/>
        <xdr:cNvGrpSpPr/>
      </xdr:nvGrpSpPr>
      <xdr:grpSpPr>
        <a:xfrm rot="10800000">
          <a:off x="1744133" y="81603054"/>
          <a:ext cx="541619" cy="122141"/>
          <a:chOff x="760945" y="5714381"/>
          <a:chExt cx="364368" cy="118966"/>
        </a:xfrm>
      </xdr:grpSpPr>
      <xdr:grpSp>
        <xdr:nvGrpSpPr>
          <xdr:cNvPr id="228" name="Группа 227"/>
          <xdr:cNvGrpSpPr/>
        </xdr:nvGrpSpPr>
        <xdr:grpSpPr>
          <a:xfrm>
            <a:off x="100633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232" name="Овал 231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233" name="Прямая со стрелкой 232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229" name="Группа 228"/>
          <xdr:cNvGrpSpPr/>
        </xdr:nvGrpSpPr>
        <xdr:grpSpPr>
          <a:xfrm flipH="1">
            <a:off x="760945" y="5714381"/>
            <a:ext cx="118978" cy="118966"/>
            <a:chOff x="1006335" y="5714381"/>
            <a:chExt cx="118978" cy="118966"/>
          </a:xfrm>
        </xdr:grpSpPr>
        <xdr:sp macro="" textlink="">
          <xdr:nvSpPr>
            <xdr:cNvPr id="230" name="Овал 229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>
              <a:off x="1078513" y="5714381"/>
              <a:ext cx="46800" cy="51379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231" name="Прямая со стрелкой 230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flipH="1">
              <a:off x="1006335" y="5761347"/>
              <a:ext cx="72000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11656</xdr:colOff>
      <xdr:row>177</xdr:row>
      <xdr:rowOff>676275</xdr:rowOff>
    </xdr:from>
    <xdr:to>
      <xdr:col>3</xdr:col>
      <xdr:colOff>11656</xdr:colOff>
      <xdr:row>178</xdr:row>
      <xdr:rowOff>569457</xdr:rowOff>
    </xdr:to>
    <xdr:cxnSp macro="">
      <xdr:nvCxnSpPr>
        <xdr:cNvPr id="234" name="Прямая соединительная линия 233"/>
        <xdr:cNvCxnSpPr/>
      </xdr:nvCxnSpPr>
      <xdr:spPr>
        <a:xfrm>
          <a:off x="2021431" y="81286350"/>
          <a:ext cx="0" cy="588507"/>
        </a:xfrm>
        <a:prstGeom prst="line">
          <a:avLst/>
        </a:prstGeom>
        <a:ln w="5080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179</xdr:row>
      <xdr:rowOff>114300</xdr:rowOff>
    </xdr:from>
    <xdr:to>
      <xdr:col>3</xdr:col>
      <xdr:colOff>734</xdr:colOff>
      <xdr:row>180</xdr:row>
      <xdr:rowOff>7327</xdr:rowOff>
    </xdr:to>
    <xdr:cxnSp macro="">
      <xdr:nvCxnSpPr>
        <xdr:cNvPr id="235" name="Прямая соединительная линия 234"/>
        <xdr:cNvCxnSpPr/>
      </xdr:nvCxnSpPr>
      <xdr:spPr>
        <a:xfrm flipV="1">
          <a:off x="2009775" y="82115025"/>
          <a:ext cx="734" cy="588352"/>
        </a:xfrm>
        <a:prstGeom prst="line">
          <a:avLst/>
        </a:prstGeom>
        <a:ln w="1905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526492</xdr:colOff>
      <xdr:row>180</xdr:row>
      <xdr:rowOff>538843</xdr:rowOff>
    </xdr:from>
    <xdr:to>
      <xdr:col>3</xdr:col>
      <xdr:colOff>53467</xdr:colOff>
      <xdr:row>180</xdr:row>
      <xdr:rowOff>646843</xdr:rowOff>
    </xdr:to>
    <xdr:sp macro="" textlink="">
      <xdr:nvSpPr>
        <xdr:cNvPr id="236" name="Овал 235"/>
        <xdr:cNvSpPr/>
      </xdr:nvSpPr>
      <xdr:spPr>
        <a:xfrm>
          <a:off x="1955242" y="8323489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12328</xdr:colOff>
      <xdr:row>179</xdr:row>
      <xdr:rowOff>568570</xdr:rowOff>
    </xdr:from>
    <xdr:to>
      <xdr:col>3</xdr:col>
      <xdr:colOff>136015</xdr:colOff>
      <xdr:row>180</xdr:row>
      <xdr:rowOff>1275</xdr:rowOff>
    </xdr:to>
    <xdr:grpSp>
      <xdr:nvGrpSpPr>
        <xdr:cNvPr id="237" name="Группа 236"/>
        <xdr:cNvGrpSpPr/>
      </xdr:nvGrpSpPr>
      <xdr:grpSpPr>
        <a:xfrm flipH="1">
          <a:off x="2033745" y="82959820"/>
          <a:ext cx="123687" cy="131205"/>
          <a:chOff x="1132242" y="1306343"/>
          <a:chExt cx="123151" cy="128030"/>
        </a:xfrm>
      </xdr:grpSpPr>
      <xdr:cxnSp macro="">
        <xdr:nvCxnSpPr>
          <xdr:cNvPr id="238" name="Прямая соединительная линия 23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9" name="Прямоугольник 23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180</xdr:row>
      <xdr:rowOff>0</xdr:rowOff>
    </xdr:from>
    <xdr:to>
      <xdr:col>3</xdr:col>
      <xdr:colOff>512884</xdr:colOff>
      <xdr:row>180</xdr:row>
      <xdr:rowOff>586153</xdr:rowOff>
    </xdr:to>
    <xdr:sp macro="" textlink="">
      <xdr:nvSpPr>
        <xdr:cNvPr id="240" name="Полилиния 239"/>
        <xdr:cNvSpPr/>
      </xdr:nvSpPr>
      <xdr:spPr>
        <a:xfrm>
          <a:off x="2009775" y="82696050"/>
          <a:ext cx="512884" cy="586153"/>
        </a:xfrm>
        <a:custGeom>
          <a:avLst/>
          <a:gdLst>
            <a:gd name="connsiteX0" fmla="*/ 0 w 512884"/>
            <a:gd name="connsiteY0" fmla="*/ 586153 h 586153"/>
            <a:gd name="connsiteX1" fmla="*/ 0 w 512884"/>
            <a:gd name="connsiteY1" fmla="*/ 0 h 586153"/>
            <a:gd name="connsiteX2" fmla="*/ 512884 w 512884"/>
            <a:gd name="connsiteY2" fmla="*/ 0 h 5861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12884" h="586153">
              <a:moveTo>
                <a:pt x="0" y="586153"/>
              </a:moveTo>
              <a:lnTo>
                <a:pt x="0" y="0"/>
              </a:lnTo>
              <a:lnTo>
                <a:pt x="512884" y="0"/>
              </a:lnTo>
            </a:path>
          </a:pathLst>
        </a:custGeom>
        <a:noFill/>
        <a:ln w="50800">
          <a:solidFill>
            <a:schemeClr val="tx1"/>
          </a:solidFill>
          <a:prstDash val="sys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134465</xdr:colOff>
      <xdr:row>62</xdr:row>
      <xdr:rowOff>20139</xdr:rowOff>
    </xdr:from>
    <xdr:to>
      <xdr:col>3</xdr:col>
      <xdr:colOff>262031</xdr:colOff>
      <xdr:row>62</xdr:row>
      <xdr:rowOff>146636</xdr:rowOff>
    </xdr:to>
    <xdr:grpSp>
      <xdr:nvGrpSpPr>
        <xdr:cNvPr id="241" name="Группа 240"/>
        <xdr:cNvGrpSpPr/>
      </xdr:nvGrpSpPr>
      <xdr:grpSpPr>
        <a:xfrm flipH="1">
          <a:off x="2155882" y="34214889"/>
          <a:ext cx="127566" cy="126497"/>
          <a:chOff x="1132242" y="1306343"/>
          <a:chExt cx="123151" cy="128030"/>
        </a:xfrm>
      </xdr:grpSpPr>
      <xdr:cxnSp macro="">
        <xdr:nvCxnSpPr>
          <xdr:cNvPr id="242" name="Прямая соединительная линия 24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3" name="Прямоугольник 24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14253</xdr:colOff>
      <xdr:row>161</xdr:row>
      <xdr:rowOff>69273</xdr:rowOff>
    </xdr:from>
    <xdr:to>
      <xdr:col>3</xdr:col>
      <xdr:colOff>14253</xdr:colOff>
      <xdr:row>162</xdr:row>
      <xdr:rowOff>557771</xdr:rowOff>
    </xdr:to>
    <xdr:cxnSp macro="">
      <xdr:nvCxnSpPr>
        <xdr:cNvPr id="244" name="Прямая соединительная линия 243"/>
        <xdr:cNvCxnSpPr/>
      </xdr:nvCxnSpPr>
      <xdr:spPr>
        <a:xfrm flipV="1">
          <a:off x="2024028" y="70944798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162</xdr:row>
      <xdr:rowOff>493816</xdr:rowOff>
    </xdr:from>
    <xdr:to>
      <xdr:col>3</xdr:col>
      <xdr:colOff>63839</xdr:colOff>
      <xdr:row>162</xdr:row>
      <xdr:rowOff>601816</xdr:rowOff>
    </xdr:to>
    <xdr:sp macro="" textlink="">
      <xdr:nvSpPr>
        <xdr:cNvPr id="245" name="Овал 244"/>
        <xdr:cNvSpPr/>
      </xdr:nvSpPr>
      <xdr:spPr>
        <a:xfrm>
          <a:off x="1965614" y="7206466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161</xdr:row>
      <xdr:rowOff>617641</xdr:rowOff>
    </xdr:from>
    <xdr:to>
      <xdr:col>3</xdr:col>
      <xdr:colOff>280814</xdr:colOff>
      <xdr:row>162</xdr:row>
      <xdr:rowOff>66316</xdr:rowOff>
    </xdr:to>
    <xdr:sp macro="" textlink="">
      <xdr:nvSpPr>
        <xdr:cNvPr id="246" name="Овал 245"/>
        <xdr:cNvSpPr/>
      </xdr:nvSpPr>
      <xdr:spPr>
        <a:xfrm>
          <a:off x="2146589" y="71493166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220656</xdr:colOff>
      <xdr:row>161</xdr:row>
      <xdr:rowOff>480579</xdr:rowOff>
    </xdr:from>
    <xdr:to>
      <xdr:col>6</xdr:col>
      <xdr:colOff>211131</xdr:colOff>
      <xdr:row>162</xdr:row>
      <xdr:rowOff>187902</xdr:rowOff>
    </xdr:to>
    <xdr:sp macro="" textlink="">
      <xdr:nvSpPr>
        <xdr:cNvPr id="247" name="Прямоугольник 246"/>
        <xdr:cNvSpPr/>
      </xdr:nvSpPr>
      <xdr:spPr>
        <a:xfrm>
          <a:off x="2811456" y="71356104"/>
          <a:ext cx="1714500" cy="402648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ТАЛАШКИНО</a:t>
          </a:r>
        </a:p>
      </xdr:txBody>
    </xdr:sp>
    <xdr:clientData/>
  </xdr:twoCellAnchor>
  <xdr:twoCellAnchor>
    <xdr:from>
      <xdr:col>2</xdr:col>
      <xdr:colOff>513490</xdr:colOff>
      <xdr:row>164</xdr:row>
      <xdr:rowOff>543335</xdr:rowOff>
    </xdr:from>
    <xdr:to>
      <xdr:col>3</xdr:col>
      <xdr:colOff>48746</xdr:colOff>
      <xdr:row>164</xdr:row>
      <xdr:rowOff>651335</xdr:rowOff>
    </xdr:to>
    <xdr:sp macro="" textlink="">
      <xdr:nvSpPr>
        <xdr:cNvPr id="248" name="Овал 247"/>
        <xdr:cNvSpPr/>
      </xdr:nvSpPr>
      <xdr:spPr>
        <a:xfrm>
          <a:off x="1942240" y="73504835"/>
          <a:ext cx="1162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574493</xdr:colOff>
      <xdr:row>163</xdr:row>
      <xdr:rowOff>81643</xdr:rowOff>
    </xdr:from>
    <xdr:to>
      <xdr:col>2</xdr:col>
      <xdr:colOff>574493</xdr:colOff>
      <xdr:row>164</xdr:row>
      <xdr:rowOff>608767</xdr:rowOff>
    </xdr:to>
    <xdr:cxnSp macro="">
      <xdr:nvCxnSpPr>
        <xdr:cNvPr id="249" name="Прямая соединительная линия 248"/>
        <xdr:cNvCxnSpPr/>
      </xdr:nvCxnSpPr>
      <xdr:spPr>
        <a:xfrm flipV="1">
          <a:off x="2003243" y="72347818"/>
          <a:ext cx="0" cy="1222449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570677</xdr:colOff>
      <xdr:row>164</xdr:row>
      <xdr:rowOff>8610</xdr:rowOff>
    </xdr:from>
    <xdr:to>
      <xdr:col>3</xdr:col>
      <xdr:colOff>513522</xdr:colOff>
      <xdr:row>164</xdr:row>
      <xdr:rowOff>41413</xdr:rowOff>
    </xdr:to>
    <xdr:cxnSp macro="">
      <xdr:nvCxnSpPr>
        <xdr:cNvPr id="250" name="Прямая соединительная линия 249"/>
        <xdr:cNvCxnSpPr/>
      </xdr:nvCxnSpPr>
      <xdr:spPr>
        <a:xfrm flipH="1" flipV="1">
          <a:off x="1999427" y="72970110"/>
          <a:ext cx="523870" cy="32803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569611</xdr:colOff>
      <xdr:row>163</xdr:row>
      <xdr:rowOff>694597</xdr:rowOff>
    </xdr:from>
    <xdr:to>
      <xdr:col>3</xdr:col>
      <xdr:colOff>547721</xdr:colOff>
      <xdr:row>164</xdr:row>
      <xdr:rowOff>579358</xdr:rowOff>
    </xdr:to>
    <xdr:sp macro="" textlink="">
      <xdr:nvSpPr>
        <xdr:cNvPr id="251" name="Полилиния 250"/>
        <xdr:cNvSpPr/>
      </xdr:nvSpPr>
      <xdr:spPr>
        <a:xfrm>
          <a:off x="1998361" y="72960772"/>
          <a:ext cx="559135" cy="580086"/>
        </a:xfrm>
        <a:custGeom>
          <a:avLst/>
          <a:gdLst>
            <a:gd name="connsiteX0" fmla="*/ 0 w 513522"/>
            <a:gd name="connsiteY0" fmla="*/ 604630 h 604630"/>
            <a:gd name="connsiteX1" fmla="*/ 0 w 513522"/>
            <a:gd name="connsiteY1" fmla="*/ 24848 h 604630"/>
            <a:gd name="connsiteX2" fmla="*/ 513522 w 513522"/>
            <a:gd name="connsiteY2" fmla="*/ 0 h 604630"/>
            <a:gd name="connsiteX0" fmla="*/ 0 w 538370"/>
            <a:gd name="connsiteY0" fmla="*/ 604630 h 604630"/>
            <a:gd name="connsiteX1" fmla="*/ 0 w 538370"/>
            <a:gd name="connsiteY1" fmla="*/ 24848 h 604630"/>
            <a:gd name="connsiteX2" fmla="*/ 538370 w 538370"/>
            <a:gd name="connsiteY2" fmla="*/ 0 h 604630"/>
            <a:gd name="connsiteX0" fmla="*/ 0 w 538370"/>
            <a:gd name="connsiteY0" fmla="*/ 580426 h 580426"/>
            <a:gd name="connsiteX1" fmla="*/ 0 w 538370"/>
            <a:gd name="connsiteY1" fmla="*/ 644 h 580426"/>
            <a:gd name="connsiteX2" fmla="*/ 538370 w 538370"/>
            <a:gd name="connsiteY2" fmla="*/ 58622 h 580426"/>
            <a:gd name="connsiteX0" fmla="*/ 0 w 563465"/>
            <a:gd name="connsiteY0" fmla="*/ 580500 h 580500"/>
            <a:gd name="connsiteX1" fmla="*/ 0 w 563465"/>
            <a:gd name="connsiteY1" fmla="*/ 718 h 580500"/>
            <a:gd name="connsiteX2" fmla="*/ 563465 w 563465"/>
            <a:gd name="connsiteY2" fmla="*/ 50413 h 58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3465" h="580500">
              <a:moveTo>
                <a:pt x="0" y="580500"/>
              </a:moveTo>
              <a:lnTo>
                <a:pt x="0" y="718"/>
              </a:lnTo>
              <a:cubicBezTo>
                <a:pt x="179457" y="-7565"/>
                <a:pt x="384008" y="58696"/>
                <a:pt x="563465" y="50413"/>
              </a:cubicBez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527840</xdr:colOff>
      <xdr:row>170</xdr:row>
      <xdr:rowOff>510523</xdr:rowOff>
    </xdr:from>
    <xdr:to>
      <xdr:col>3</xdr:col>
      <xdr:colOff>59452</xdr:colOff>
      <xdr:row>170</xdr:row>
      <xdr:rowOff>618523</xdr:rowOff>
    </xdr:to>
    <xdr:sp macro="" textlink="">
      <xdr:nvSpPr>
        <xdr:cNvPr id="252" name="Овал 251"/>
        <xdr:cNvSpPr/>
      </xdr:nvSpPr>
      <xdr:spPr>
        <a:xfrm>
          <a:off x="1956590" y="76253323"/>
          <a:ext cx="11263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1948</xdr:colOff>
      <xdr:row>169</xdr:row>
      <xdr:rowOff>685800</xdr:rowOff>
    </xdr:from>
    <xdr:to>
      <xdr:col>3</xdr:col>
      <xdr:colOff>1948</xdr:colOff>
      <xdr:row>170</xdr:row>
      <xdr:rowOff>575956</xdr:rowOff>
    </xdr:to>
    <xdr:cxnSp macro="">
      <xdr:nvCxnSpPr>
        <xdr:cNvPr id="253" name="Прямая соединительная линия 252"/>
        <xdr:cNvCxnSpPr/>
      </xdr:nvCxnSpPr>
      <xdr:spPr>
        <a:xfrm flipV="1">
          <a:off x="2011723" y="75733275"/>
          <a:ext cx="0" cy="58548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8664</xdr:colOff>
      <xdr:row>169</xdr:row>
      <xdr:rowOff>675399</xdr:rowOff>
    </xdr:from>
    <xdr:to>
      <xdr:col>3</xdr:col>
      <xdr:colOff>495300</xdr:colOff>
      <xdr:row>170</xdr:row>
      <xdr:rowOff>123825</xdr:rowOff>
    </xdr:to>
    <xdr:cxnSp macro="">
      <xdr:nvCxnSpPr>
        <xdr:cNvPr id="254" name="Прямая соединительная линия 253"/>
        <xdr:cNvCxnSpPr/>
      </xdr:nvCxnSpPr>
      <xdr:spPr>
        <a:xfrm flipH="1" flipV="1">
          <a:off x="2018439" y="75722874"/>
          <a:ext cx="486636" cy="143751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6321</xdr:colOff>
      <xdr:row>169</xdr:row>
      <xdr:rowOff>104775</xdr:rowOff>
    </xdr:from>
    <xdr:to>
      <xdr:col>3</xdr:col>
      <xdr:colOff>171450</xdr:colOff>
      <xdr:row>170</xdr:row>
      <xdr:rowOff>1216</xdr:rowOff>
    </xdr:to>
    <xdr:cxnSp macro="">
      <xdr:nvCxnSpPr>
        <xdr:cNvPr id="255" name="Прямая соединительная линия 254"/>
        <xdr:cNvCxnSpPr/>
      </xdr:nvCxnSpPr>
      <xdr:spPr>
        <a:xfrm flipV="1">
          <a:off x="2016096" y="75152250"/>
          <a:ext cx="165129" cy="591766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169</xdr:row>
      <xdr:rowOff>683102</xdr:rowOff>
    </xdr:from>
    <xdr:to>
      <xdr:col>3</xdr:col>
      <xdr:colOff>8341</xdr:colOff>
      <xdr:row>170</xdr:row>
      <xdr:rowOff>142873</xdr:rowOff>
    </xdr:to>
    <xdr:cxnSp macro="">
      <xdr:nvCxnSpPr>
        <xdr:cNvPr id="256" name="Прямая соединительная линия 255"/>
        <xdr:cNvCxnSpPr/>
      </xdr:nvCxnSpPr>
      <xdr:spPr>
        <a:xfrm flipH="1">
          <a:off x="1504950" y="75730577"/>
          <a:ext cx="513166" cy="155096"/>
        </a:xfrm>
        <a:prstGeom prst="line">
          <a:avLst/>
        </a:prstGeom>
        <a:ln w="19050">
          <a:solidFill>
            <a:schemeClr val="tx1"/>
          </a:solidFill>
          <a:prstDash val="solid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545032</xdr:colOff>
      <xdr:row>168</xdr:row>
      <xdr:rowOff>474030</xdr:rowOff>
    </xdr:from>
    <xdr:to>
      <xdr:col>3</xdr:col>
      <xdr:colOff>72007</xdr:colOff>
      <xdr:row>168</xdr:row>
      <xdr:rowOff>589068</xdr:rowOff>
    </xdr:to>
    <xdr:sp macro="" textlink="">
      <xdr:nvSpPr>
        <xdr:cNvPr id="257" name="Овал 256"/>
        <xdr:cNvSpPr/>
      </xdr:nvSpPr>
      <xdr:spPr>
        <a:xfrm rot="5614795">
          <a:off x="1970263" y="74829699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13620</xdr:colOff>
      <xdr:row>167</xdr:row>
      <xdr:rowOff>124043</xdr:rowOff>
    </xdr:from>
    <xdr:to>
      <xdr:col>3</xdr:col>
      <xdr:colOff>15543</xdr:colOff>
      <xdr:row>168</xdr:row>
      <xdr:rowOff>510880</xdr:rowOff>
    </xdr:to>
    <xdr:cxnSp macro="">
      <xdr:nvCxnSpPr>
        <xdr:cNvPr id="258" name="Прямая соединительная линия 257"/>
        <xdr:cNvCxnSpPr/>
      </xdr:nvCxnSpPr>
      <xdr:spPr>
        <a:xfrm flipH="1" flipV="1">
          <a:off x="2023395" y="73780868"/>
          <a:ext cx="1923" cy="108216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575152</xdr:colOff>
      <xdr:row>167</xdr:row>
      <xdr:rowOff>656653</xdr:rowOff>
    </xdr:from>
    <xdr:to>
      <xdr:col>3</xdr:col>
      <xdr:colOff>544944</xdr:colOff>
      <xdr:row>167</xdr:row>
      <xdr:rowOff>656653</xdr:rowOff>
    </xdr:to>
    <xdr:cxnSp macro="">
      <xdr:nvCxnSpPr>
        <xdr:cNvPr id="259" name="Прямая соединительная линия 258"/>
        <xdr:cNvCxnSpPr/>
      </xdr:nvCxnSpPr>
      <xdr:spPr>
        <a:xfrm rot="15441996" flipV="1">
          <a:off x="2279311" y="74038069"/>
          <a:ext cx="0" cy="55081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53782</xdr:colOff>
      <xdr:row>168</xdr:row>
      <xdr:rowOff>58871</xdr:rowOff>
    </xdr:from>
    <xdr:to>
      <xdr:col>3</xdr:col>
      <xdr:colOff>474698</xdr:colOff>
      <xdr:row>168</xdr:row>
      <xdr:rowOff>347582</xdr:rowOff>
    </xdr:to>
    <xdr:cxnSp macro="">
      <xdr:nvCxnSpPr>
        <xdr:cNvPr id="260" name="Прямая соединительная линия 259"/>
        <xdr:cNvCxnSpPr/>
      </xdr:nvCxnSpPr>
      <xdr:spPr>
        <a:xfrm rot="15441996" flipV="1">
          <a:off x="2129659" y="74344919"/>
          <a:ext cx="288711" cy="420916"/>
        </a:xfrm>
        <a:prstGeom prst="line">
          <a:avLst/>
        </a:prstGeom>
        <a:ln w="1905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72161</xdr:colOff>
      <xdr:row>168</xdr:row>
      <xdr:rowOff>75429</xdr:rowOff>
    </xdr:from>
    <xdr:to>
      <xdr:col>3</xdr:col>
      <xdr:colOff>41953</xdr:colOff>
      <xdr:row>168</xdr:row>
      <xdr:rowOff>75429</xdr:rowOff>
    </xdr:to>
    <xdr:cxnSp macro="">
      <xdr:nvCxnSpPr>
        <xdr:cNvPr id="261" name="Прямая соединительная линия 260"/>
        <xdr:cNvCxnSpPr/>
      </xdr:nvCxnSpPr>
      <xdr:spPr>
        <a:xfrm rot="15441996" flipV="1">
          <a:off x="1776320" y="74152170"/>
          <a:ext cx="0" cy="550817"/>
        </a:xfrm>
        <a:prstGeom prst="line">
          <a:avLst/>
        </a:prstGeom>
        <a:ln w="19050">
          <a:solidFill>
            <a:schemeClr val="tx1"/>
          </a:solidFill>
          <a:prstDash val="sys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82385</xdr:colOff>
      <xdr:row>164</xdr:row>
      <xdr:rowOff>127785</xdr:rowOff>
    </xdr:from>
    <xdr:to>
      <xdr:col>3</xdr:col>
      <xdr:colOff>226385</xdr:colOff>
      <xdr:row>164</xdr:row>
      <xdr:rowOff>270424</xdr:rowOff>
    </xdr:to>
    <xdr:sp macro="" textlink="">
      <xdr:nvSpPr>
        <xdr:cNvPr id="262" name="Овал 261"/>
        <xdr:cNvSpPr/>
      </xdr:nvSpPr>
      <xdr:spPr>
        <a:xfrm>
          <a:off x="2092160" y="73089285"/>
          <a:ext cx="144000" cy="14263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188239</xdr:colOff>
      <xdr:row>163</xdr:row>
      <xdr:rowOff>302317</xdr:rowOff>
    </xdr:from>
    <xdr:to>
      <xdr:col>4</xdr:col>
      <xdr:colOff>960296</xdr:colOff>
      <xdr:row>164</xdr:row>
      <xdr:rowOff>381702</xdr:rowOff>
    </xdr:to>
    <xdr:grpSp>
      <xdr:nvGrpSpPr>
        <xdr:cNvPr id="263" name="Группа 262"/>
        <xdr:cNvGrpSpPr/>
      </xdr:nvGrpSpPr>
      <xdr:grpSpPr>
        <a:xfrm>
          <a:off x="2791739" y="72914567"/>
          <a:ext cx="772057" cy="777885"/>
          <a:chOff x="2897138" y="63018229"/>
          <a:chExt cx="772057" cy="775124"/>
        </a:xfrm>
      </xdr:grpSpPr>
      <xdr:sp macro="" textlink="">
        <xdr:nvSpPr>
          <xdr:cNvPr id="264" name="Прямоугольник 263"/>
          <xdr:cNvSpPr/>
        </xdr:nvSpPr>
        <xdr:spPr>
          <a:xfrm>
            <a:off x="2897138" y="63018229"/>
            <a:ext cx="772057" cy="775124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265" name="Рисунок 264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8610" y="63099791"/>
            <a:ext cx="609113" cy="6120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612356</xdr:colOff>
      <xdr:row>161</xdr:row>
      <xdr:rowOff>505876</xdr:rowOff>
    </xdr:from>
    <xdr:to>
      <xdr:col>5</xdr:col>
      <xdr:colOff>404538</xdr:colOff>
      <xdr:row>162</xdr:row>
      <xdr:rowOff>162605</xdr:rowOff>
    </xdr:to>
    <xdr:cxnSp macro="">
      <xdr:nvCxnSpPr>
        <xdr:cNvPr id="266" name="Прямая соединительная линия 265"/>
        <xdr:cNvCxnSpPr/>
      </xdr:nvCxnSpPr>
      <xdr:spPr>
        <a:xfrm flipV="1">
          <a:off x="3203156" y="71381401"/>
          <a:ext cx="935182" cy="352054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16566</xdr:colOff>
      <xdr:row>167</xdr:row>
      <xdr:rowOff>596348</xdr:rowOff>
    </xdr:from>
    <xdr:to>
      <xdr:col>3</xdr:col>
      <xdr:colOff>546652</xdr:colOff>
      <xdr:row>168</xdr:row>
      <xdr:rowOff>521805</xdr:rowOff>
    </xdr:to>
    <xdr:sp macro="" textlink="">
      <xdr:nvSpPr>
        <xdr:cNvPr id="267" name="Полилиния 266"/>
        <xdr:cNvSpPr/>
      </xdr:nvSpPr>
      <xdr:spPr>
        <a:xfrm>
          <a:off x="2026341" y="74253173"/>
          <a:ext cx="530086" cy="620782"/>
        </a:xfrm>
        <a:custGeom>
          <a:avLst/>
          <a:gdLst>
            <a:gd name="connsiteX0" fmla="*/ 0 w 530086"/>
            <a:gd name="connsiteY0" fmla="*/ 621196 h 621196"/>
            <a:gd name="connsiteX1" fmla="*/ 0 w 530086"/>
            <a:gd name="connsiteY1" fmla="*/ 124239 h 621196"/>
            <a:gd name="connsiteX2" fmla="*/ 530086 w 530086"/>
            <a:gd name="connsiteY2" fmla="*/ 0 h 6211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6" h="621196">
              <a:moveTo>
                <a:pt x="0" y="621196"/>
              </a:moveTo>
              <a:lnTo>
                <a:pt x="0" y="124239"/>
              </a:lnTo>
              <a:lnTo>
                <a:pt x="530086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522827</xdr:colOff>
      <xdr:row>172</xdr:row>
      <xdr:rowOff>508901</xdr:rowOff>
    </xdr:from>
    <xdr:to>
      <xdr:col>3</xdr:col>
      <xdr:colOff>49802</xdr:colOff>
      <xdr:row>172</xdr:row>
      <xdr:rowOff>623939</xdr:rowOff>
    </xdr:to>
    <xdr:sp macro="" textlink="">
      <xdr:nvSpPr>
        <xdr:cNvPr id="268" name="Овал 267"/>
        <xdr:cNvSpPr/>
      </xdr:nvSpPr>
      <xdr:spPr>
        <a:xfrm rot="5614795">
          <a:off x="1948058" y="77645870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78441</xdr:colOff>
      <xdr:row>171</xdr:row>
      <xdr:rowOff>638735</xdr:rowOff>
    </xdr:from>
    <xdr:to>
      <xdr:col>3</xdr:col>
      <xdr:colOff>481853</xdr:colOff>
      <xdr:row>172</xdr:row>
      <xdr:rowOff>67235</xdr:rowOff>
    </xdr:to>
    <xdr:cxnSp macro="">
      <xdr:nvCxnSpPr>
        <xdr:cNvPr id="269" name="Прямая соединительная линия 268"/>
        <xdr:cNvCxnSpPr/>
      </xdr:nvCxnSpPr>
      <xdr:spPr>
        <a:xfrm>
          <a:off x="1507191" y="77076860"/>
          <a:ext cx="984437" cy="12382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172</xdr:row>
      <xdr:rowOff>0</xdr:rowOff>
    </xdr:from>
    <xdr:to>
      <xdr:col>3</xdr:col>
      <xdr:colOff>0</xdr:colOff>
      <xdr:row>172</xdr:row>
      <xdr:rowOff>555700</xdr:rowOff>
    </xdr:to>
    <xdr:cxnSp macro="">
      <xdr:nvCxnSpPr>
        <xdr:cNvPr id="270" name="Прямая соединительная линия 269"/>
        <xdr:cNvCxnSpPr/>
      </xdr:nvCxnSpPr>
      <xdr:spPr>
        <a:xfrm flipV="1">
          <a:off x="2009775" y="77133450"/>
          <a:ext cx="0" cy="5557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571500</xdr:colOff>
      <xdr:row>172</xdr:row>
      <xdr:rowOff>11206</xdr:rowOff>
    </xdr:from>
    <xdr:to>
      <xdr:col>3</xdr:col>
      <xdr:colOff>526676</xdr:colOff>
      <xdr:row>172</xdr:row>
      <xdr:rowOff>537882</xdr:rowOff>
    </xdr:to>
    <xdr:sp macro="" textlink="">
      <xdr:nvSpPr>
        <xdr:cNvPr id="271" name="Полилиния 270"/>
        <xdr:cNvSpPr/>
      </xdr:nvSpPr>
      <xdr:spPr>
        <a:xfrm>
          <a:off x="2000250" y="77144656"/>
          <a:ext cx="536201" cy="526676"/>
        </a:xfrm>
        <a:custGeom>
          <a:avLst/>
          <a:gdLst>
            <a:gd name="connsiteX0" fmla="*/ 0 w 537882"/>
            <a:gd name="connsiteY0" fmla="*/ 526676 h 526676"/>
            <a:gd name="connsiteX1" fmla="*/ 0 w 537882"/>
            <a:gd name="connsiteY1" fmla="*/ 0 h 526676"/>
            <a:gd name="connsiteX2" fmla="*/ 537882 w 537882"/>
            <a:gd name="connsiteY2" fmla="*/ 67235 h 5266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7882" h="526676">
              <a:moveTo>
                <a:pt x="0" y="526676"/>
              </a:moveTo>
              <a:lnTo>
                <a:pt x="0" y="0"/>
              </a:lnTo>
              <a:lnTo>
                <a:pt x="537882" y="67235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127448</xdr:colOff>
      <xdr:row>171</xdr:row>
      <xdr:rowOff>549088</xdr:rowOff>
    </xdr:from>
    <xdr:ext cx="609653" cy="540496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248" y="76987213"/>
          <a:ext cx="609653" cy="540496"/>
        </a:xfrm>
        <a:prstGeom prst="rect">
          <a:avLst/>
        </a:prstGeom>
      </xdr:spPr>
    </xdr:pic>
    <xdr:clientData/>
  </xdr:oneCellAnchor>
  <xdr:twoCellAnchor>
    <xdr:from>
      <xdr:col>3</xdr:col>
      <xdr:colOff>67236</xdr:colOff>
      <xdr:row>172</xdr:row>
      <xdr:rowOff>124543</xdr:rowOff>
    </xdr:from>
    <xdr:to>
      <xdr:col>3</xdr:col>
      <xdr:colOff>211236</xdr:colOff>
      <xdr:row>172</xdr:row>
      <xdr:rowOff>268957</xdr:rowOff>
    </xdr:to>
    <xdr:sp macro="" textlink="">
      <xdr:nvSpPr>
        <xdr:cNvPr id="273" name="Овал 272"/>
        <xdr:cNvSpPr/>
      </xdr:nvSpPr>
      <xdr:spPr>
        <a:xfrm>
          <a:off x="2077011" y="77257993"/>
          <a:ext cx="144000" cy="144414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101</xdr:row>
      <xdr:rowOff>69273</xdr:rowOff>
    </xdr:from>
    <xdr:to>
      <xdr:col>3</xdr:col>
      <xdr:colOff>14253</xdr:colOff>
      <xdr:row>102</xdr:row>
      <xdr:rowOff>557771</xdr:rowOff>
    </xdr:to>
    <xdr:cxnSp macro="">
      <xdr:nvCxnSpPr>
        <xdr:cNvPr id="274" name="Прямая соединительная линия 273"/>
        <xdr:cNvCxnSpPr/>
      </xdr:nvCxnSpPr>
      <xdr:spPr>
        <a:xfrm flipV="1">
          <a:off x="2024028" y="47303748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102</xdr:row>
      <xdr:rowOff>493816</xdr:rowOff>
    </xdr:from>
    <xdr:to>
      <xdr:col>3</xdr:col>
      <xdr:colOff>68852</xdr:colOff>
      <xdr:row>102</xdr:row>
      <xdr:rowOff>601816</xdr:rowOff>
    </xdr:to>
    <xdr:sp macro="" textlink="">
      <xdr:nvSpPr>
        <xdr:cNvPr id="275" name="Овал 274"/>
        <xdr:cNvSpPr/>
      </xdr:nvSpPr>
      <xdr:spPr>
        <a:xfrm>
          <a:off x="1970627" y="4842361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101</xdr:row>
      <xdr:rowOff>617641</xdr:rowOff>
    </xdr:from>
    <xdr:to>
      <xdr:col>3</xdr:col>
      <xdr:colOff>280814</xdr:colOff>
      <xdr:row>102</xdr:row>
      <xdr:rowOff>66316</xdr:rowOff>
    </xdr:to>
    <xdr:sp macro="" textlink="">
      <xdr:nvSpPr>
        <xdr:cNvPr id="276" name="Овал 275"/>
        <xdr:cNvSpPr/>
      </xdr:nvSpPr>
      <xdr:spPr>
        <a:xfrm>
          <a:off x="2146589" y="47852116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198243</xdr:colOff>
      <xdr:row>101</xdr:row>
      <xdr:rowOff>480579</xdr:rowOff>
    </xdr:from>
    <xdr:to>
      <xdr:col>6</xdr:col>
      <xdr:colOff>188718</xdr:colOff>
      <xdr:row>102</xdr:row>
      <xdr:rowOff>187902</xdr:rowOff>
    </xdr:to>
    <xdr:sp macro="" textlink="">
      <xdr:nvSpPr>
        <xdr:cNvPr id="277" name="Прямоугольник 276"/>
        <xdr:cNvSpPr/>
      </xdr:nvSpPr>
      <xdr:spPr>
        <a:xfrm>
          <a:off x="2789043" y="47715054"/>
          <a:ext cx="1714500" cy="402648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ПРИГОРСКОЕ</a:t>
          </a:r>
        </a:p>
      </xdr:txBody>
    </xdr:sp>
    <xdr:clientData/>
  </xdr:twoCellAnchor>
  <xdr:twoCellAnchor>
    <xdr:from>
      <xdr:col>4</xdr:col>
      <xdr:colOff>589943</xdr:colOff>
      <xdr:row>101</xdr:row>
      <xdr:rowOff>505876</xdr:rowOff>
    </xdr:from>
    <xdr:to>
      <xdr:col>5</xdr:col>
      <xdr:colOff>382125</xdr:colOff>
      <xdr:row>102</xdr:row>
      <xdr:rowOff>162605</xdr:rowOff>
    </xdr:to>
    <xdr:cxnSp macro="">
      <xdr:nvCxnSpPr>
        <xdr:cNvPr id="278" name="Прямая соединительная линия 277"/>
        <xdr:cNvCxnSpPr/>
      </xdr:nvCxnSpPr>
      <xdr:spPr>
        <a:xfrm flipV="1">
          <a:off x="3180743" y="47740351"/>
          <a:ext cx="935182" cy="352054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104</xdr:row>
      <xdr:rowOff>524922</xdr:rowOff>
    </xdr:from>
    <xdr:to>
      <xdr:col>3</xdr:col>
      <xdr:colOff>69900</xdr:colOff>
      <xdr:row>104</xdr:row>
      <xdr:rowOff>632922</xdr:rowOff>
    </xdr:to>
    <xdr:sp macro="" textlink="">
      <xdr:nvSpPr>
        <xdr:cNvPr id="279" name="Овал 278"/>
        <xdr:cNvSpPr/>
      </xdr:nvSpPr>
      <xdr:spPr>
        <a:xfrm>
          <a:off x="1971675" y="4984537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103</xdr:row>
      <xdr:rowOff>104776</xdr:rowOff>
    </xdr:from>
    <xdr:to>
      <xdr:col>3</xdr:col>
      <xdr:colOff>23162</xdr:colOff>
      <xdr:row>104</xdr:row>
      <xdr:rowOff>581025</xdr:rowOff>
    </xdr:to>
    <xdr:cxnSp macro="">
      <xdr:nvCxnSpPr>
        <xdr:cNvPr id="280" name="Прямая соединительная линия 279"/>
        <xdr:cNvCxnSpPr/>
      </xdr:nvCxnSpPr>
      <xdr:spPr>
        <a:xfrm flipV="1">
          <a:off x="2032937" y="48729901"/>
          <a:ext cx="0" cy="1171574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104</xdr:row>
      <xdr:rowOff>427160</xdr:rowOff>
    </xdr:from>
    <xdr:to>
      <xdr:col>3</xdr:col>
      <xdr:colOff>144817</xdr:colOff>
      <xdr:row>104</xdr:row>
      <xdr:rowOff>554457</xdr:rowOff>
    </xdr:to>
    <xdr:grpSp>
      <xdr:nvGrpSpPr>
        <xdr:cNvPr id="281" name="Группа 280"/>
        <xdr:cNvGrpSpPr/>
      </xdr:nvGrpSpPr>
      <xdr:grpSpPr>
        <a:xfrm flipH="1">
          <a:off x="2038668" y="49988910"/>
          <a:ext cx="127566" cy="127297"/>
          <a:chOff x="1132242" y="1306343"/>
          <a:chExt cx="123151" cy="128030"/>
        </a:xfrm>
      </xdr:grpSpPr>
      <xdr:cxnSp macro="">
        <xdr:nvCxnSpPr>
          <xdr:cNvPr id="282" name="Прямая соединительная линия 28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3" name="Прямоугольник 28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103</xdr:row>
      <xdr:rowOff>114300</xdr:rowOff>
    </xdr:from>
    <xdr:to>
      <xdr:col>3</xdr:col>
      <xdr:colOff>304800</xdr:colOff>
      <xdr:row>104</xdr:row>
      <xdr:rowOff>552450</xdr:rowOff>
    </xdr:to>
    <xdr:sp macro="" textlink="">
      <xdr:nvSpPr>
        <xdr:cNvPr id="284" name="Полилиния 283"/>
        <xdr:cNvSpPr/>
      </xdr:nvSpPr>
      <xdr:spPr>
        <a:xfrm>
          <a:off x="2019300" y="48739425"/>
          <a:ext cx="295275" cy="1133475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19050">
          <a:solidFill>
            <a:schemeClr val="tx1"/>
          </a:solidFill>
          <a:headEnd type="none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542925</xdr:colOff>
      <xdr:row>106</xdr:row>
      <xdr:rowOff>524922</xdr:rowOff>
    </xdr:from>
    <xdr:to>
      <xdr:col>3</xdr:col>
      <xdr:colOff>69900</xdr:colOff>
      <xdr:row>106</xdr:row>
      <xdr:rowOff>632922</xdr:rowOff>
    </xdr:to>
    <xdr:sp macro="" textlink="">
      <xdr:nvSpPr>
        <xdr:cNvPr id="285" name="Овал 284"/>
        <xdr:cNvSpPr/>
      </xdr:nvSpPr>
      <xdr:spPr>
        <a:xfrm>
          <a:off x="1971675" y="5123602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105</xdr:row>
      <xdr:rowOff>104776</xdr:rowOff>
    </xdr:from>
    <xdr:to>
      <xdr:col>3</xdr:col>
      <xdr:colOff>23162</xdr:colOff>
      <xdr:row>106</xdr:row>
      <xdr:rowOff>581025</xdr:rowOff>
    </xdr:to>
    <xdr:cxnSp macro="">
      <xdr:nvCxnSpPr>
        <xdr:cNvPr id="286" name="Прямая соединительная линия 285"/>
        <xdr:cNvCxnSpPr/>
      </xdr:nvCxnSpPr>
      <xdr:spPr>
        <a:xfrm flipV="1">
          <a:off x="2032937" y="50120551"/>
          <a:ext cx="0" cy="11715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106</xdr:row>
      <xdr:rowOff>427160</xdr:rowOff>
    </xdr:from>
    <xdr:to>
      <xdr:col>3</xdr:col>
      <xdr:colOff>144817</xdr:colOff>
      <xdr:row>106</xdr:row>
      <xdr:rowOff>554457</xdr:rowOff>
    </xdr:to>
    <xdr:grpSp>
      <xdr:nvGrpSpPr>
        <xdr:cNvPr id="287" name="Группа 286"/>
        <xdr:cNvGrpSpPr/>
      </xdr:nvGrpSpPr>
      <xdr:grpSpPr>
        <a:xfrm flipH="1">
          <a:off x="2038668" y="51385910"/>
          <a:ext cx="127566" cy="127297"/>
          <a:chOff x="1132242" y="1306343"/>
          <a:chExt cx="123151" cy="128030"/>
        </a:xfrm>
      </xdr:grpSpPr>
      <xdr:cxnSp macro="">
        <xdr:nvCxnSpPr>
          <xdr:cNvPr id="288" name="Прямая соединительная линия 28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9" name="Прямоугольник 28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105</xdr:row>
      <xdr:rowOff>114300</xdr:rowOff>
    </xdr:from>
    <xdr:to>
      <xdr:col>3</xdr:col>
      <xdr:colOff>304800</xdr:colOff>
      <xdr:row>106</xdr:row>
      <xdr:rowOff>552450</xdr:rowOff>
    </xdr:to>
    <xdr:sp macro="" textlink="">
      <xdr:nvSpPr>
        <xdr:cNvPr id="290" name="Полилиния 289"/>
        <xdr:cNvSpPr/>
      </xdr:nvSpPr>
      <xdr:spPr>
        <a:xfrm>
          <a:off x="2019300" y="50130075"/>
          <a:ext cx="295275" cy="1133475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50800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542925</xdr:colOff>
      <xdr:row>108</xdr:row>
      <xdr:rowOff>524922</xdr:rowOff>
    </xdr:from>
    <xdr:to>
      <xdr:col>3</xdr:col>
      <xdr:colOff>69900</xdr:colOff>
      <xdr:row>108</xdr:row>
      <xdr:rowOff>632922</xdr:rowOff>
    </xdr:to>
    <xdr:sp macro="" textlink="">
      <xdr:nvSpPr>
        <xdr:cNvPr id="291" name="Овал 290"/>
        <xdr:cNvSpPr/>
      </xdr:nvSpPr>
      <xdr:spPr>
        <a:xfrm>
          <a:off x="1971675" y="52626672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23162</xdr:colOff>
      <xdr:row>107</xdr:row>
      <xdr:rowOff>104776</xdr:rowOff>
    </xdr:from>
    <xdr:to>
      <xdr:col>3</xdr:col>
      <xdr:colOff>23162</xdr:colOff>
      <xdr:row>108</xdr:row>
      <xdr:rowOff>581025</xdr:rowOff>
    </xdr:to>
    <xdr:cxnSp macro="">
      <xdr:nvCxnSpPr>
        <xdr:cNvPr id="292" name="Прямая соединительная линия 291"/>
        <xdr:cNvCxnSpPr/>
      </xdr:nvCxnSpPr>
      <xdr:spPr>
        <a:xfrm flipV="1">
          <a:off x="2032937" y="51511201"/>
          <a:ext cx="0" cy="117157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17251</xdr:colOff>
      <xdr:row>108</xdr:row>
      <xdr:rowOff>427160</xdr:rowOff>
    </xdr:from>
    <xdr:to>
      <xdr:col>3</xdr:col>
      <xdr:colOff>144817</xdr:colOff>
      <xdr:row>108</xdr:row>
      <xdr:rowOff>554457</xdr:rowOff>
    </xdr:to>
    <xdr:grpSp>
      <xdr:nvGrpSpPr>
        <xdr:cNvPr id="293" name="Группа 292"/>
        <xdr:cNvGrpSpPr/>
      </xdr:nvGrpSpPr>
      <xdr:grpSpPr>
        <a:xfrm flipH="1">
          <a:off x="2038668" y="52782910"/>
          <a:ext cx="127566" cy="127297"/>
          <a:chOff x="1132242" y="1306343"/>
          <a:chExt cx="123151" cy="128030"/>
        </a:xfrm>
      </xdr:grpSpPr>
      <xdr:cxnSp macro="">
        <xdr:nvCxnSpPr>
          <xdr:cNvPr id="294" name="Прямая соединительная линия 29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5" name="Прямоугольник 29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9525</xdr:colOff>
      <xdr:row>107</xdr:row>
      <xdr:rowOff>392206</xdr:rowOff>
    </xdr:from>
    <xdr:to>
      <xdr:col>3</xdr:col>
      <xdr:colOff>448234</xdr:colOff>
      <xdr:row>108</xdr:row>
      <xdr:rowOff>552449</xdr:rowOff>
    </xdr:to>
    <xdr:sp macro="" textlink="">
      <xdr:nvSpPr>
        <xdr:cNvPr id="296" name="Полилиния 295"/>
        <xdr:cNvSpPr/>
      </xdr:nvSpPr>
      <xdr:spPr>
        <a:xfrm>
          <a:off x="2019300" y="51798631"/>
          <a:ext cx="438709" cy="855568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50800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525657</xdr:colOff>
      <xdr:row>112</xdr:row>
      <xdr:rowOff>527795</xdr:rowOff>
    </xdr:from>
    <xdr:to>
      <xdr:col>3</xdr:col>
      <xdr:colOff>59670</xdr:colOff>
      <xdr:row>112</xdr:row>
      <xdr:rowOff>635795</xdr:rowOff>
    </xdr:to>
    <xdr:sp macro="" textlink="">
      <xdr:nvSpPr>
        <xdr:cNvPr id="297" name="Овал 296"/>
        <xdr:cNvSpPr/>
      </xdr:nvSpPr>
      <xdr:spPr>
        <a:xfrm>
          <a:off x="1954407" y="54020195"/>
          <a:ext cx="115038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122156</xdr:colOff>
      <xdr:row>111</xdr:row>
      <xdr:rowOff>629312</xdr:rowOff>
    </xdr:from>
    <xdr:to>
      <xdr:col>3</xdr:col>
      <xdr:colOff>266156</xdr:colOff>
      <xdr:row>112</xdr:row>
      <xdr:rowOff>77987</xdr:rowOff>
    </xdr:to>
    <xdr:sp macro="" textlink="">
      <xdr:nvSpPr>
        <xdr:cNvPr id="298" name="Овал 297"/>
        <xdr:cNvSpPr/>
      </xdr:nvSpPr>
      <xdr:spPr>
        <a:xfrm>
          <a:off x="2131931" y="53426387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145673</xdr:colOff>
      <xdr:row>111</xdr:row>
      <xdr:rowOff>358589</xdr:rowOff>
    </xdr:from>
    <xdr:to>
      <xdr:col>4</xdr:col>
      <xdr:colOff>377306</xdr:colOff>
      <xdr:row>112</xdr:row>
      <xdr:rowOff>317354</xdr:rowOff>
    </xdr:to>
    <xdr:grpSp>
      <xdr:nvGrpSpPr>
        <xdr:cNvPr id="299" name="Группа 298"/>
        <xdr:cNvGrpSpPr/>
      </xdr:nvGrpSpPr>
      <xdr:grpSpPr>
        <a:xfrm flipH="1">
          <a:off x="2749173" y="53412839"/>
          <a:ext cx="231633" cy="657265"/>
          <a:chOff x="2974731" y="8507714"/>
          <a:chExt cx="359019" cy="1014540"/>
        </a:xfrm>
      </xdr:grpSpPr>
      <xdr:sp macro="" textlink="">
        <xdr:nvSpPr>
          <xdr:cNvPr id="300" name="Прямоугольник 299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01" name="Овал 300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02" name="Овал 301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03" name="Овал 302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0</xdr:colOff>
      <xdr:row>111</xdr:row>
      <xdr:rowOff>66675</xdr:rowOff>
    </xdr:from>
    <xdr:to>
      <xdr:col>3</xdr:col>
      <xdr:colOff>0</xdr:colOff>
      <xdr:row>112</xdr:row>
      <xdr:rowOff>572485</xdr:rowOff>
    </xdr:to>
    <xdr:cxnSp macro="">
      <xdr:nvCxnSpPr>
        <xdr:cNvPr id="304" name="Прямая соединительная линия 303"/>
        <xdr:cNvCxnSpPr/>
      </xdr:nvCxnSpPr>
      <xdr:spPr>
        <a:xfrm flipV="1">
          <a:off x="2009775" y="52863750"/>
          <a:ext cx="0" cy="1201135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13489</xdr:colOff>
      <xdr:row>111</xdr:row>
      <xdr:rowOff>585724</xdr:rowOff>
    </xdr:from>
    <xdr:to>
      <xdr:col>3</xdr:col>
      <xdr:colOff>141055</xdr:colOff>
      <xdr:row>112</xdr:row>
      <xdr:rowOff>18256</xdr:rowOff>
    </xdr:to>
    <xdr:grpSp>
      <xdr:nvGrpSpPr>
        <xdr:cNvPr id="305" name="Группа 304"/>
        <xdr:cNvGrpSpPr/>
      </xdr:nvGrpSpPr>
      <xdr:grpSpPr>
        <a:xfrm flipH="1">
          <a:off x="2034906" y="53639974"/>
          <a:ext cx="127566" cy="131032"/>
          <a:chOff x="1132242" y="1306343"/>
          <a:chExt cx="123151" cy="128030"/>
        </a:xfrm>
      </xdr:grpSpPr>
      <xdr:cxnSp macro="">
        <xdr:nvCxnSpPr>
          <xdr:cNvPr id="306" name="Прямая соединительная линия 30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7" name="Прямоугольник 30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129111</xdr:colOff>
      <xdr:row>143</xdr:row>
      <xdr:rowOff>425663</xdr:rowOff>
    </xdr:from>
    <xdr:to>
      <xdr:col>4</xdr:col>
      <xdr:colOff>734282</xdr:colOff>
      <xdr:row>144</xdr:row>
      <xdr:rowOff>339987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9911" y="64347938"/>
          <a:ext cx="605171" cy="609649"/>
        </a:xfrm>
        <a:prstGeom prst="rect">
          <a:avLst/>
        </a:prstGeom>
      </xdr:spPr>
    </xdr:pic>
    <xdr:clientData/>
  </xdr:twoCellAnchor>
  <xdr:twoCellAnchor>
    <xdr:from>
      <xdr:col>3</xdr:col>
      <xdr:colOff>1</xdr:colOff>
      <xdr:row>169</xdr:row>
      <xdr:rowOff>661147</xdr:rowOff>
    </xdr:from>
    <xdr:to>
      <xdr:col>3</xdr:col>
      <xdr:colOff>549089</xdr:colOff>
      <xdr:row>170</xdr:row>
      <xdr:rowOff>537882</xdr:rowOff>
    </xdr:to>
    <xdr:sp macro="" textlink="">
      <xdr:nvSpPr>
        <xdr:cNvPr id="309" name="Полилиния 308"/>
        <xdr:cNvSpPr/>
      </xdr:nvSpPr>
      <xdr:spPr>
        <a:xfrm>
          <a:off x="2009776" y="75708622"/>
          <a:ext cx="549088" cy="572060"/>
        </a:xfrm>
        <a:custGeom>
          <a:avLst/>
          <a:gdLst>
            <a:gd name="connsiteX0" fmla="*/ 0 w 493059"/>
            <a:gd name="connsiteY0" fmla="*/ 571500 h 571500"/>
            <a:gd name="connsiteX1" fmla="*/ 0 w 493059"/>
            <a:gd name="connsiteY1" fmla="*/ 0 h 571500"/>
            <a:gd name="connsiteX2" fmla="*/ 493059 w 493059"/>
            <a:gd name="connsiteY2" fmla="*/ 156882 h 571500"/>
            <a:gd name="connsiteX0" fmla="*/ 0 w 549088"/>
            <a:gd name="connsiteY0" fmla="*/ 571500 h 571500"/>
            <a:gd name="connsiteX1" fmla="*/ 0 w 549088"/>
            <a:gd name="connsiteY1" fmla="*/ 0 h 571500"/>
            <a:gd name="connsiteX2" fmla="*/ 549088 w 549088"/>
            <a:gd name="connsiteY2" fmla="*/ 179294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9088" h="571500">
              <a:moveTo>
                <a:pt x="0" y="571500"/>
              </a:moveTo>
              <a:lnTo>
                <a:pt x="0" y="0"/>
              </a:lnTo>
              <a:lnTo>
                <a:pt x="549088" y="179294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99</xdr:row>
      <xdr:rowOff>69273</xdr:rowOff>
    </xdr:from>
    <xdr:to>
      <xdr:col>3</xdr:col>
      <xdr:colOff>14253</xdr:colOff>
      <xdr:row>100</xdr:row>
      <xdr:rowOff>557771</xdr:rowOff>
    </xdr:to>
    <xdr:cxnSp macro="">
      <xdr:nvCxnSpPr>
        <xdr:cNvPr id="310" name="Прямая соединительная линия 309"/>
        <xdr:cNvCxnSpPr/>
      </xdr:nvCxnSpPr>
      <xdr:spPr>
        <a:xfrm flipV="1">
          <a:off x="2024028" y="45913098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100</xdr:row>
      <xdr:rowOff>493816</xdr:rowOff>
    </xdr:from>
    <xdr:to>
      <xdr:col>3</xdr:col>
      <xdr:colOff>68852</xdr:colOff>
      <xdr:row>100</xdr:row>
      <xdr:rowOff>601816</xdr:rowOff>
    </xdr:to>
    <xdr:sp macro="" textlink="">
      <xdr:nvSpPr>
        <xdr:cNvPr id="311" name="Овал 310"/>
        <xdr:cNvSpPr/>
      </xdr:nvSpPr>
      <xdr:spPr>
        <a:xfrm>
          <a:off x="1970627" y="4703296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99</xdr:row>
      <xdr:rowOff>617641</xdr:rowOff>
    </xdr:from>
    <xdr:to>
      <xdr:col>3</xdr:col>
      <xdr:colOff>280814</xdr:colOff>
      <xdr:row>100</xdr:row>
      <xdr:rowOff>66316</xdr:rowOff>
    </xdr:to>
    <xdr:sp macro="" textlink="">
      <xdr:nvSpPr>
        <xdr:cNvPr id="312" name="Овал 311"/>
        <xdr:cNvSpPr/>
      </xdr:nvSpPr>
      <xdr:spPr>
        <a:xfrm>
          <a:off x="2146589" y="46461466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14253</xdr:colOff>
      <xdr:row>37</xdr:row>
      <xdr:rowOff>69273</xdr:rowOff>
    </xdr:from>
    <xdr:to>
      <xdr:col>3</xdr:col>
      <xdr:colOff>14253</xdr:colOff>
      <xdr:row>38</xdr:row>
      <xdr:rowOff>557771</xdr:rowOff>
    </xdr:to>
    <xdr:cxnSp macro="">
      <xdr:nvCxnSpPr>
        <xdr:cNvPr id="313" name="Прямая соединительная линия 312"/>
        <xdr:cNvCxnSpPr/>
      </xdr:nvCxnSpPr>
      <xdr:spPr>
        <a:xfrm flipV="1">
          <a:off x="2024028" y="20881398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38</xdr:row>
      <xdr:rowOff>493816</xdr:rowOff>
    </xdr:from>
    <xdr:to>
      <xdr:col>3</xdr:col>
      <xdr:colOff>63839</xdr:colOff>
      <xdr:row>38</xdr:row>
      <xdr:rowOff>601816</xdr:rowOff>
    </xdr:to>
    <xdr:sp macro="" textlink="">
      <xdr:nvSpPr>
        <xdr:cNvPr id="314" name="Овал 313"/>
        <xdr:cNvSpPr/>
      </xdr:nvSpPr>
      <xdr:spPr>
        <a:xfrm>
          <a:off x="1965614" y="2200126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37</xdr:row>
      <xdr:rowOff>617641</xdr:rowOff>
    </xdr:from>
    <xdr:to>
      <xdr:col>3</xdr:col>
      <xdr:colOff>280814</xdr:colOff>
      <xdr:row>38</xdr:row>
      <xdr:rowOff>66316</xdr:rowOff>
    </xdr:to>
    <xdr:sp macro="" textlink="">
      <xdr:nvSpPr>
        <xdr:cNvPr id="315" name="Овал 314"/>
        <xdr:cNvSpPr/>
      </xdr:nvSpPr>
      <xdr:spPr>
        <a:xfrm>
          <a:off x="2146589" y="21429766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362592</xdr:colOff>
      <xdr:row>172</xdr:row>
      <xdr:rowOff>515470</xdr:rowOff>
    </xdr:from>
    <xdr:to>
      <xdr:col>4</xdr:col>
      <xdr:colOff>526855</xdr:colOff>
      <xdr:row>175</xdr:row>
      <xdr:rowOff>218107</xdr:rowOff>
    </xdr:to>
    <xdr:grpSp>
      <xdr:nvGrpSpPr>
        <xdr:cNvPr id="316" name="Группа 315"/>
        <xdr:cNvGrpSpPr/>
      </xdr:nvGrpSpPr>
      <xdr:grpSpPr>
        <a:xfrm>
          <a:off x="1801925" y="78017220"/>
          <a:ext cx="1328430" cy="1798137"/>
          <a:chOff x="7111735" y="80337373"/>
          <a:chExt cx="1334477" cy="2165528"/>
        </a:xfrm>
      </xdr:grpSpPr>
      <xdr:sp macro="" textlink="">
        <xdr:nvSpPr>
          <xdr:cNvPr id="317" name="Дуга 316"/>
          <xdr:cNvSpPr/>
        </xdr:nvSpPr>
        <xdr:spPr>
          <a:xfrm rot="16200000">
            <a:off x="7242597" y="81316448"/>
            <a:ext cx="1093179" cy="1262610"/>
          </a:xfrm>
          <a:prstGeom prst="arc">
            <a:avLst>
              <a:gd name="adj1" fmla="val 16005511"/>
              <a:gd name="adj2" fmla="val 19021634"/>
            </a:avLst>
          </a:prstGeom>
          <a:ln w="5080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8" name="Дуга 317"/>
          <xdr:cNvSpPr/>
        </xdr:nvSpPr>
        <xdr:spPr>
          <a:xfrm rot="16200000" flipH="1">
            <a:off x="7279630" y="80241345"/>
            <a:ext cx="1070554" cy="1262610"/>
          </a:xfrm>
          <a:prstGeom prst="arc">
            <a:avLst>
              <a:gd name="adj1" fmla="val 16144932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9" name="Дуга 318"/>
          <xdr:cNvSpPr/>
        </xdr:nvSpPr>
        <xdr:spPr>
          <a:xfrm rot="16200000">
            <a:off x="7249924" y="81325007"/>
            <a:ext cx="1093179" cy="1262610"/>
          </a:xfrm>
          <a:prstGeom prst="arc">
            <a:avLst/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0" name="Овал 319"/>
          <xdr:cNvSpPr/>
        </xdr:nvSpPr>
        <xdr:spPr>
          <a:xfrm rot="16200000">
            <a:off x="7165038" y="81265036"/>
            <a:ext cx="287219" cy="283675"/>
          </a:xfrm>
          <a:prstGeom prst="ellips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1" name="Овал 320"/>
          <xdr:cNvSpPr/>
        </xdr:nvSpPr>
        <xdr:spPr>
          <a:xfrm rot="16200000">
            <a:off x="7111139" y="81964595"/>
            <a:ext cx="109191" cy="108000"/>
          </a:xfrm>
          <a:prstGeom prst="ellipse">
            <a:avLst/>
          </a:prstGeom>
          <a:solidFill>
            <a:schemeClr val="tx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22" name="Прямая соединительная линия 321"/>
          <xdr:cNvCxnSpPr/>
        </xdr:nvCxnSpPr>
        <xdr:spPr>
          <a:xfrm flipV="1">
            <a:off x="7165122" y="80831177"/>
            <a:ext cx="0" cy="1220888"/>
          </a:xfrm>
          <a:prstGeom prst="line">
            <a:avLst/>
          </a:prstGeom>
          <a:ln w="19050">
            <a:solidFill>
              <a:schemeClr val="tx1"/>
            </a:solidFill>
            <a:headEnd type="none" w="med" len="lg"/>
            <a:tailEnd type="non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323" name="Группа 322"/>
          <xdr:cNvGrpSpPr/>
        </xdr:nvGrpSpPr>
        <xdr:grpSpPr>
          <a:xfrm flipH="1">
            <a:off x="7179925" y="81889093"/>
            <a:ext cx="127076" cy="126839"/>
            <a:chOff x="1132242" y="1306343"/>
            <a:chExt cx="123151" cy="128030"/>
          </a:xfrm>
        </xdr:grpSpPr>
        <xdr:cxnSp macro="">
          <xdr:nvCxnSpPr>
            <xdr:cNvPr id="326" name="Прямая соединительная линия 325"/>
            <xdr:cNvCxnSpPr/>
          </xdr:nvCxnSpPr>
          <xdr:spPr>
            <a:xfrm flipH="1" flipV="1">
              <a:off x="1185595" y="1363552"/>
              <a:ext cx="69798" cy="70821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27" name="Прямоугольник 326"/>
            <xdr:cNvSpPr/>
          </xdr:nvSpPr>
          <xdr:spPr>
            <a:xfrm flipH="1">
              <a:off x="1132242" y="1306343"/>
              <a:ext cx="58104" cy="59432"/>
            </a:xfrm>
            <a:prstGeom prst="rect">
              <a:avLst/>
            </a:prstGeom>
            <a:solidFill>
              <a:schemeClr val="bg1">
                <a:lumMod val="75000"/>
              </a:schemeClr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24" name="Дуга 323"/>
          <xdr:cNvSpPr/>
        </xdr:nvSpPr>
        <xdr:spPr>
          <a:xfrm rot="16200000">
            <a:off x="7161305" y="81262175"/>
            <a:ext cx="287219" cy="283675"/>
          </a:xfrm>
          <a:prstGeom prst="arc">
            <a:avLst>
              <a:gd name="adj1" fmla="val 16154301"/>
              <a:gd name="adj2" fmla="val 8771209"/>
            </a:avLst>
          </a:prstGeom>
          <a:noFill/>
          <a:ln w="5080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25" name="Прямая соединительная линия 324"/>
          <xdr:cNvCxnSpPr/>
        </xdr:nvCxnSpPr>
        <xdr:spPr>
          <a:xfrm flipH="1">
            <a:off x="7163088" y="81404269"/>
            <a:ext cx="2034" cy="240126"/>
          </a:xfrm>
          <a:prstGeom prst="line">
            <a:avLst/>
          </a:prstGeom>
          <a:ln w="50800">
            <a:solidFill>
              <a:schemeClr val="tx1"/>
            </a:solidFill>
            <a:headEnd type="none" w="med" len="lg"/>
            <a:tailEnd type="triangl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4</xdr:col>
      <xdr:colOff>236845</xdr:colOff>
      <xdr:row>69</xdr:row>
      <xdr:rowOff>403412</xdr:rowOff>
    </xdr:from>
    <xdr:ext cx="408433" cy="608799"/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645" y="37903337"/>
          <a:ext cx="408433" cy="608799"/>
        </a:xfrm>
        <a:prstGeom prst="rect">
          <a:avLst/>
        </a:prstGeom>
      </xdr:spPr>
    </xdr:pic>
    <xdr:clientData/>
  </xdr:oneCellAnchor>
  <xdr:twoCellAnchor>
    <xdr:from>
      <xdr:col>3</xdr:col>
      <xdr:colOff>14253</xdr:colOff>
      <xdr:row>69</xdr:row>
      <xdr:rowOff>96488</xdr:rowOff>
    </xdr:from>
    <xdr:to>
      <xdr:col>3</xdr:col>
      <xdr:colOff>14253</xdr:colOff>
      <xdr:row>70</xdr:row>
      <xdr:rowOff>584986</xdr:rowOff>
    </xdr:to>
    <xdr:cxnSp macro="">
      <xdr:nvCxnSpPr>
        <xdr:cNvPr id="329" name="Прямая соединительная линия 328"/>
        <xdr:cNvCxnSpPr/>
      </xdr:nvCxnSpPr>
      <xdr:spPr>
        <a:xfrm flipV="1">
          <a:off x="2024028" y="3759641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70</xdr:row>
      <xdr:rowOff>521031</xdr:rowOff>
    </xdr:from>
    <xdr:to>
      <xdr:col>3</xdr:col>
      <xdr:colOff>68852</xdr:colOff>
      <xdr:row>70</xdr:row>
      <xdr:rowOff>629031</xdr:rowOff>
    </xdr:to>
    <xdr:sp macro="" textlink="">
      <xdr:nvSpPr>
        <xdr:cNvPr id="330" name="Овал 329"/>
        <xdr:cNvSpPr/>
      </xdr:nvSpPr>
      <xdr:spPr>
        <a:xfrm>
          <a:off x="1970627" y="3871628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69</xdr:row>
      <xdr:rowOff>644856</xdr:rowOff>
    </xdr:from>
    <xdr:to>
      <xdr:col>3</xdr:col>
      <xdr:colOff>280814</xdr:colOff>
      <xdr:row>70</xdr:row>
      <xdr:rowOff>93531</xdr:rowOff>
    </xdr:to>
    <xdr:sp macro="" textlink="">
      <xdr:nvSpPr>
        <xdr:cNvPr id="331" name="Овал 330"/>
        <xdr:cNvSpPr/>
      </xdr:nvSpPr>
      <xdr:spPr>
        <a:xfrm>
          <a:off x="2146589" y="3814478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236845</xdr:colOff>
      <xdr:row>77</xdr:row>
      <xdr:rowOff>403412</xdr:rowOff>
    </xdr:from>
    <xdr:ext cx="408433" cy="608799"/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645" y="42075287"/>
          <a:ext cx="408433" cy="608799"/>
        </a:xfrm>
        <a:prstGeom prst="rect">
          <a:avLst/>
        </a:prstGeom>
      </xdr:spPr>
    </xdr:pic>
    <xdr:clientData/>
  </xdr:oneCellAnchor>
  <xdr:twoCellAnchor>
    <xdr:from>
      <xdr:col>3</xdr:col>
      <xdr:colOff>14253</xdr:colOff>
      <xdr:row>77</xdr:row>
      <xdr:rowOff>96488</xdr:rowOff>
    </xdr:from>
    <xdr:to>
      <xdr:col>3</xdr:col>
      <xdr:colOff>14253</xdr:colOff>
      <xdr:row>78</xdr:row>
      <xdr:rowOff>584986</xdr:rowOff>
    </xdr:to>
    <xdr:cxnSp macro="">
      <xdr:nvCxnSpPr>
        <xdr:cNvPr id="333" name="Прямая соединительная линия 332"/>
        <xdr:cNvCxnSpPr/>
      </xdr:nvCxnSpPr>
      <xdr:spPr>
        <a:xfrm flipV="1">
          <a:off x="2024028" y="4176836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78</xdr:row>
      <xdr:rowOff>521031</xdr:rowOff>
    </xdr:from>
    <xdr:to>
      <xdr:col>3</xdr:col>
      <xdr:colOff>68852</xdr:colOff>
      <xdr:row>78</xdr:row>
      <xdr:rowOff>629031</xdr:rowOff>
    </xdr:to>
    <xdr:sp macro="" textlink="">
      <xdr:nvSpPr>
        <xdr:cNvPr id="334" name="Овал 333"/>
        <xdr:cNvSpPr/>
      </xdr:nvSpPr>
      <xdr:spPr>
        <a:xfrm>
          <a:off x="1970627" y="4288823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77</xdr:row>
      <xdr:rowOff>644856</xdr:rowOff>
    </xdr:from>
    <xdr:to>
      <xdr:col>3</xdr:col>
      <xdr:colOff>280814</xdr:colOff>
      <xdr:row>78</xdr:row>
      <xdr:rowOff>93531</xdr:rowOff>
    </xdr:to>
    <xdr:sp macro="" textlink="">
      <xdr:nvSpPr>
        <xdr:cNvPr id="335" name="Овал 334"/>
        <xdr:cNvSpPr/>
      </xdr:nvSpPr>
      <xdr:spPr>
        <a:xfrm>
          <a:off x="2146589" y="4231673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123265</xdr:colOff>
      <xdr:row>139</xdr:row>
      <xdr:rowOff>392207</xdr:rowOff>
    </xdr:from>
    <xdr:to>
      <xdr:col>4</xdr:col>
      <xdr:colOff>809124</xdr:colOff>
      <xdr:row>140</xdr:row>
      <xdr:rowOff>307095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065" y="61533182"/>
          <a:ext cx="685859" cy="610213"/>
        </a:xfrm>
        <a:prstGeom prst="rect">
          <a:avLst/>
        </a:prstGeom>
      </xdr:spPr>
    </xdr:pic>
    <xdr:clientData/>
  </xdr:twoCellAnchor>
  <xdr:twoCellAnchor>
    <xdr:from>
      <xdr:col>3</xdr:col>
      <xdr:colOff>10066</xdr:colOff>
      <xdr:row>34</xdr:row>
      <xdr:rowOff>33401</xdr:rowOff>
    </xdr:from>
    <xdr:to>
      <xdr:col>3</xdr:col>
      <xdr:colOff>137363</xdr:colOff>
      <xdr:row>34</xdr:row>
      <xdr:rowOff>159286</xdr:rowOff>
    </xdr:to>
    <xdr:grpSp>
      <xdr:nvGrpSpPr>
        <xdr:cNvPr id="337" name="Группа 336"/>
        <xdr:cNvGrpSpPr/>
      </xdr:nvGrpSpPr>
      <xdr:grpSpPr>
        <a:xfrm rot="5400000" flipH="1">
          <a:off x="2032189" y="18860445"/>
          <a:ext cx="125885" cy="127297"/>
          <a:chOff x="1132242" y="1306343"/>
          <a:chExt cx="123151" cy="128030"/>
        </a:xfrm>
      </xdr:grpSpPr>
      <xdr:cxnSp macro="">
        <xdr:nvCxnSpPr>
          <xdr:cNvPr id="338" name="Прямая соединительная линия 33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9" name="Прямоугольник 33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463907</xdr:colOff>
      <xdr:row>35</xdr:row>
      <xdr:rowOff>580673</xdr:rowOff>
    </xdr:from>
    <xdr:to>
      <xdr:col>3</xdr:col>
      <xdr:colOff>8767</xdr:colOff>
      <xdr:row>36</xdr:row>
      <xdr:rowOff>11141</xdr:rowOff>
    </xdr:to>
    <xdr:grpSp>
      <xdr:nvGrpSpPr>
        <xdr:cNvPr id="340" name="Группа 339"/>
        <xdr:cNvGrpSpPr/>
      </xdr:nvGrpSpPr>
      <xdr:grpSpPr>
        <a:xfrm>
          <a:off x="1903240" y="20106923"/>
          <a:ext cx="126944" cy="128968"/>
          <a:chOff x="1132242" y="1306343"/>
          <a:chExt cx="123151" cy="128030"/>
        </a:xfrm>
      </xdr:grpSpPr>
      <xdr:cxnSp macro="">
        <xdr:nvCxnSpPr>
          <xdr:cNvPr id="341" name="Прямая соединительная линия 340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2" name="Прямоугольник 341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21865</xdr:colOff>
      <xdr:row>37</xdr:row>
      <xdr:rowOff>554428</xdr:rowOff>
    </xdr:from>
    <xdr:to>
      <xdr:col>3</xdr:col>
      <xdr:colOff>149431</xdr:colOff>
      <xdr:row>37</xdr:row>
      <xdr:rowOff>681725</xdr:rowOff>
    </xdr:to>
    <xdr:grpSp>
      <xdr:nvGrpSpPr>
        <xdr:cNvPr id="343" name="Группа 342"/>
        <xdr:cNvGrpSpPr/>
      </xdr:nvGrpSpPr>
      <xdr:grpSpPr>
        <a:xfrm flipH="1">
          <a:off x="2043282" y="21477678"/>
          <a:ext cx="127566" cy="127297"/>
          <a:chOff x="1132242" y="1306343"/>
          <a:chExt cx="123151" cy="128030"/>
        </a:xfrm>
      </xdr:grpSpPr>
      <xdr:cxnSp macro="">
        <xdr:nvCxnSpPr>
          <xdr:cNvPr id="344" name="Прямая соединительная линия 34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5" name="Прямоугольник 34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17251</xdr:colOff>
      <xdr:row>101</xdr:row>
      <xdr:rowOff>572836</xdr:rowOff>
    </xdr:from>
    <xdr:to>
      <xdr:col>3</xdr:col>
      <xdr:colOff>144817</xdr:colOff>
      <xdr:row>102</xdr:row>
      <xdr:rowOff>5368</xdr:rowOff>
    </xdr:to>
    <xdr:grpSp>
      <xdr:nvGrpSpPr>
        <xdr:cNvPr id="346" name="Группа 345"/>
        <xdr:cNvGrpSpPr/>
      </xdr:nvGrpSpPr>
      <xdr:grpSpPr>
        <a:xfrm flipH="1">
          <a:off x="2038668" y="48039086"/>
          <a:ext cx="127566" cy="131032"/>
          <a:chOff x="1132242" y="1306343"/>
          <a:chExt cx="123151" cy="128030"/>
        </a:xfrm>
      </xdr:grpSpPr>
      <xdr:cxnSp macro="">
        <xdr:nvCxnSpPr>
          <xdr:cNvPr id="347" name="Прямая соединительная линия 34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8" name="Прямоугольник 34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151</xdr:row>
      <xdr:rowOff>572115</xdr:rowOff>
    </xdr:from>
    <xdr:to>
      <xdr:col>3</xdr:col>
      <xdr:colOff>127779</xdr:colOff>
      <xdr:row>152</xdr:row>
      <xdr:rowOff>5448</xdr:rowOff>
    </xdr:to>
    <xdr:grpSp>
      <xdr:nvGrpSpPr>
        <xdr:cNvPr id="349" name="Группа 348"/>
        <xdr:cNvGrpSpPr/>
      </xdr:nvGrpSpPr>
      <xdr:grpSpPr>
        <a:xfrm flipH="1">
          <a:off x="2027393" y="68993365"/>
          <a:ext cx="121803" cy="131833"/>
          <a:chOff x="1132242" y="1306343"/>
          <a:chExt cx="123151" cy="128030"/>
        </a:xfrm>
      </xdr:grpSpPr>
      <xdr:cxnSp macro="">
        <xdr:nvCxnSpPr>
          <xdr:cNvPr id="350" name="Прямая соединительная линия 34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1" name="Прямоугольник 35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161</xdr:row>
      <xdr:rowOff>572114</xdr:rowOff>
    </xdr:from>
    <xdr:to>
      <xdr:col>3</xdr:col>
      <xdr:colOff>127779</xdr:colOff>
      <xdr:row>162</xdr:row>
      <xdr:rowOff>5448</xdr:rowOff>
    </xdr:to>
    <xdr:grpSp>
      <xdr:nvGrpSpPr>
        <xdr:cNvPr id="352" name="Группа 351"/>
        <xdr:cNvGrpSpPr/>
      </xdr:nvGrpSpPr>
      <xdr:grpSpPr>
        <a:xfrm flipH="1">
          <a:off x="2027393" y="71787364"/>
          <a:ext cx="121803" cy="131834"/>
          <a:chOff x="1132242" y="1306343"/>
          <a:chExt cx="123151" cy="128030"/>
        </a:xfrm>
      </xdr:grpSpPr>
      <xdr:cxnSp macro="">
        <xdr:nvCxnSpPr>
          <xdr:cNvPr id="353" name="Прямая соединительная линия 35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4" name="Прямоугольник 35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163</xdr:row>
      <xdr:rowOff>583320</xdr:rowOff>
    </xdr:from>
    <xdr:to>
      <xdr:col>3</xdr:col>
      <xdr:colOff>127779</xdr:colOff>
      <xdr:row>164</xdr:row>
      <xdr:rowOff>16653</xdr:rowOff>
    </xdr:to>
    <xdr:grpSp>
      <xdr:nvGrpSpPr>
        <xdr:cNvPr id="355" name="Группа 354"/>
        <xdr:cNvGrpSpPr/>
      </xdr:nvGrpSpPr>
      <xdr:grpSpPr>
        <a:xfrm flipH="1">
          <a:off x="2027393" y="73195570"/>
          <a:ext cx="121803" cy="131833"/>
          <a:chOff x="1132242" y="1306343"/>
          <a:chExt cx="123151" cy="128030"/>
        </a:xfrm>
      </xdr:grpSpPr>
      <xdr:cxnSp macro="">
        <xdr:nvCxnSpPr>
          <xdr:cNvPr id="356" name="Прямая соединительная линия 35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7" name="Прямоугольник 35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5976</xdr:colOff>
      <xdr:row>167</xdr:row>
      <xdr:rowOff>594525</xdr:rowOff>
    </xdr:from>
    <xdr:to>
      <xdr:col>3</xdr:col>
      <xdr:colOff>127779</xdr:colOff>
      <xdr:row>168</xdr:row>
      <xdr:rowOff>27859</xdr:rowOff>
    </xdr:to>
    <xdr:grpSp>
      <xdr:nvGrpSpPr>
        <xdr:cNvPr id="358" name="Группа 357"/>
        <xdr:cNvGrpSpPr/>
      </xdr:nvGrpSpPr>
      <xdr:grpSpPr>
        <a:xfrm flipH="1">
          <a:off x="2027393" y="74603775"/>
          <a:ext cx="121803" cy="131834"/>
          <a:chOff x="1132242" y="1306343"/>
          <a:chExt cx="123151" cy="128030"/>
        </a:xfrm>
      </xdr:grpSpPr>
      <xdr:cxnSp macro="">
        <xdr:nvCxnSpPr>
          <xdr:cNvPr id="359" name="Прямая соединительная линия 35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0" name="Прямоугольник 35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465416</xdr:colOff>
      <xdr:row>169</xdr:row>
      <xdr:rowOff>549702</xdr:rowOff>
    </xdr:from>
    <xdr:to>
      <xdr:col>3</xdr:col>
      <xdr:colOff>4513</xdr:colOff>
      <xdr:row>169</xdr:row>
      <xdr:rowOff>677800</xdr:rowOff>
    </xdr:to>
    <xdr:grpSp>
      <xdr:nvGrpSpPr>
        <xdr:cNvPr id="361" name="Группа 360"/>
        <xdr:cNvGrpSpPr/>
      </xdr:nvGrpSpPr>
      <xdr:grpSpPr>
        <a:xfrm>
          <a:off x="1904749" y="75955952"/>
          <a:ext cx="121181" cy="128098"/>
          <a:chOff x="1132242" y="1306343"/>
          <a:chExt cx="123151" cy="128030"/>
        </a:xfrm>
      </xdr:grpSpPr>
      <xdr:cxnSp macro="">
        <xdr:nvCxnSpPr>
          <xdr:cNvPr id="362" name="Прямая соединительная линия 36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3" name="Прямоугольник 36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4930</xdr:colOff>
      <xdr:row>171</xdr:row>
      <xdr:rowOff>582912</xdr:rowOff>
    </xdr:from>
    <xdr:to>
      <xdr:col>3</xdr:col>
      <xdr:colOff>130095</xdr:colOff>
      <xdr:row>172</xdr:row>
      <xdr:rowOff>15444</xdr:rowOff>
    </xdr:to>
    <xdr:grpSp>
      <xdr:nvGrpSpPr>
        <xdr:cNvPr id="364" name="Группа 363"/>
        <xdr:cNvGrpSpPr/>
      </xdr:nvGrpSpPr>
      <xdr:grpSpPr>
        <a:xfrm flipH="1">
          <a:off x="2026347" y="77386162"/>
          <a:ext cx="125165" cy="131032"/>
          <a:chOff x="1132242" y="1306343"/>
          <a:chExt cx="123151" cy="128030"/>
        </a:xfrm>
      </xdr:grpSpPr>
      <xdr:cxnSp macro="">
        <xdr:nvCxnSpPr>
          <xdr:cNvPr id="365" name="Прямая соединительная линия 364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6" name="Прямоугольник 365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10066</xdr:colOff>
      <xdr:row>178</xdr:row>
      <xdr:rowOff>4826</xdr:rowOff>
    </xdr:from>
    <xdr:to>
      <xdr:col>3</xdr:col>
      <xdr:colOff>137363</xdr:colOff>
      <xdr:row>178</xdr:row>
      <xdr:rowOff>130711</xdr:rowOff>
    </xdr:to>
    <xdr:grpSp>
      <xdr:nvGrpSpPr>
        <xdr:cNvPr id="367" name="Группа 366"/>
        <xdr:cNvGrpSpPr/>
      </xdr:nvGrpSpPr>
      <xdr:grpSpPr>
        <a:xfrm rot="5400000" flipH="1">
          <a:off x="2032189" y="81696870"/>
          <a:ext cx="125885" cy="127297"/>
          <a:chOff x="1132242" y="1306343"/>
          <a:chExt cx="123151" cy="128030"/>
        </a:xfrm>
      </xdr:grpSpPr>
      <xdr:cxnSp macro="">
        <xdr:nvCxnSpPr>
          <xdr:cNvPr id="368" name="Прямая соединительная линия 36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9" name="Прямоугольник 36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112058</xdr:colOff>
      <xdr:row>37</xdr:row>
      <xdr:rowOff>206386</xdr:rowOff>
    </xdr:from>
    <xdr:to>
      <xdr:col>6</xdr:col>
      <xdr:colOff>589162</xdr:colOff>
      <xdr:row>38</xdr:row>
      <xdr:rowOff>593913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858" y="21018511"/>
          <a:ext cx="2201129" cy="1082852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99</xdr:row>
      <xdr:rowOff>154309</xdr:rowOff>
    </xdr:from>
    <xdr:to>
      <xdr:col>6</xdr:col>
      <xdr:colOff>616323</xdr:colOff>
      <xdr:row>100</xdr:row>
      <xdr:rowOff>480179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6829" y="45998134"/>
          <a:ext cx="2284319" cy="1021195"/>
        </a:xfrm>
        <a:prstGeom prst="rect">
          <a:avLst/>
        </a:prstGeom>
      </xdr:spPr>
    </xdr:pic>
    <xdr:clientData/>
  </xdr:twoCellAnchor>
  <xdr:twoCellAnchor>
    <xdr:from>
      <xdr:col>3</xdr:col>
      <xdr:colOff>4066</xdr:colOff>
      <xdr:row>65</xdr:row>
      <xdr:rowOff>67235</xdr:rowOff>
    </xdr:from>
    <xdr:to>
      <xdr:col>3</xdr:col>
      <xdr:colOff>4066</xdr:colOff>
      <xdr:row>66</xdr:row>
      <xdr:rowOff>555732</xdr:rowOff>
    </xdr:to>
    <xdr:cxnSp macro="">
      <xdr:nvCxnSpPr>
        <xdr:cNvPr id="372" name="Прямая соединительная линия 371"/>
        <xdr:cNvCxnSpPr/>
      </xdr:nvCxnSpPr>
      <xdr:spPr>
        <a:xfrm flipV="1">
          <a:off x="2013841" y="36176510"/>
          <a:ext cx="0" cy="118382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531690</xdr:colOff>
      <xdr:row>66</xdr:row>
      <xdr:rowOff>491777</xdr:rowOff>
    </xdr:from>
    <xdr:to>
      <xdr:col>3</xdr:col>
      <xdr:colOff>58665</xdr:colOff>
      <xdr:row>66</xdr:row>
      <xdr:rowOff>599777</xdr:rowOff>
    </xdr:to>
    <xdr:sp macro="" textlink="">
      <xdr:nvSpPr>
        <xdr:cNvPr id="373" name="Овал 372"/>
        <xdr:cNvSpPr/>
      </xdr:nvSpPr>
      <xdr:spPr>
        <a:xfrm>
          <a:off x="1960440" y="3729637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126627</xdr:colOff>
      <xdr:row>65</xdr:row>
      <xdr:rowOff>615603</xdr:rowOff>
    </xdr:from>
    <xdr:to>
      <xdr:col>3</xdr:col>
      <xdr:colOff>270627</xdr:colOff>
      <xdr:row>66</xdr:row>
      <xdr:rowOff>64277</xdr:rowOff>
    </xdr:to>
    <xdr:sp macro="" textlink="">
      <xdr:nvSpPr>
        <xdr:cNvPr id="374" name="Овал 373"/>
        <xdr:cNvSpPr/>
      </xdr:nvSpPr>
      <xdr:spPr>
        <a:xfrm>
          <a:off x="2136402" y="36724878"/>
          <a:ext cx="144000" cy="14399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244086</xdr:colOff>
      <xdr:row>65</xdr:row>
      <xdr:rowOff>164777</xdr:rowOff>
    </xdr:from>
    <xdr:to>
      <xdr:col>6</xdr:col>
      <xdr:colOff>234561</xdr:colOff>
      <xdr:row>65</xdr:row>
      <xdr:rowOff>566864</xdr:rowOff>
    </xdr:to>
    <xdr:sp macro="" textlink="">
      <xdr:nvSpPr>
        <xdr:cNvPr id="375" name="Прямоугольник 374"/>
        <xdr:cNvSpPr/>
      </xdr:nvSpPr>
      <xdr:spPr>
        <a:xfrm>
          <a:off x="2834886" y="36274052"/>
          <a:ext cx="1714500" cy="402087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ПРИГОРСКОЕ</a:t>
          </a:r>
        </a:p>
      </xdr:txBody>
    </xdr:sp>
    <xdr:clientData/>
  </xdr:twoCellAnchor>
  <xdr:twoCellAnchor>
    <xdr:from>
      <xdr:col>4</xdr:col>
      <xdr:colOff>635786</xdr:colOff>
      <xdr:row>65</xdr:row>
      <xdr:rowOff>190074</xdr:rowOff>
    </xdr:from>
    <xdr:to>
      <xdr:col>5</xdr:col>
      <xdr:colOff>427968</xdr:colOff>
      <xdr:row>65</xdr:row>
      <xdr:rowOff>541567</xdr:rowOff>
    </xdr:to>
    <xdr:cxnSp macro="">
      <xdr:nvCxnSpPr>
        <xdr:cNvPr id="376" name="Прямая соединительная линия 375"/>
        <xdr:cNvCxnSpPr/>
      </xdr:nvCxnSpPr>
      <xdr:spPr>
        <a:xfrm flipV="1">
          <a:off x="3226586" y="36299349"/>
          <a:ext cx="935182" cy="3514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7064</xdr:colOff>
      <xdr:row>65</xdr:row>
      <xdr:rowOff>570798</xdr:rowOff>
    </xdr:from>
    <xdr:to>
      <xdr:col>3</xdr:col>
      <xdr:colOff>134630</xdr:colOff>
      <xdr:row>66</xdr:row>
      <xdr:rowOff>3329</xdr:rowOff>
    </xdr:to>
    <xdr:grpSp>
      <xdr:nvGrpSpPr>
        <xdr:cNvPr id="377" name="Группа 376"/>
        <xdr:cNvGrpSpPr/>
      </xdr:nvGrpSpPr>
      <xdr:grpSpPr>
        <a:xfrm flipH="1">
          <a:off x="2028481" y="36861048"/>
          <a:ext cx="127566" cy="131031"/>
          <a:chOff x="1132242" y="1306343"/>
          <a:chExt cx="123151" cy="128030"/>
        </a:xfrm>
      </xdr:grpSpPr>
      <xdr:cxnSp macro="">
        <xdr:nvCxnSpPr>
          <xdr:cNvPr id="378" name="Прямая соединительная линия 37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9" name="Прямоугольник 37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4066</xdr:colOff>
      <xdr:row>113</xdr:row>
      <xdr:rowOff>67235</xdr:rowOff>
    </xdr:from>
    <xdr:to>
      <xdr:col>3</xdr:col>
      <xdr:colOff>4066</xdr:colOff>
      <xdr:row>114</xdr:row>
      <xdr:rowOff>555732</xdr:rowOff>
    </xdr:to>
    <xdr:cxnSp macro="">
      <xdr:nvCxnSpPr>
        <xdr:cNvPr id="380" name="Прямая соединительная линия 379"/>
        <xdr:cNvCxnSpPr/>
      </xdr:nvCxnSpPr>
      <xdr:spPr>
        <a:xfrm flipV="1">
          <a:off x="2013841" y="54254960"/>
          <a:ext cx="0" cy="1183822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526677</xdr:colOff>
      <xdr:row>114</xdr:row>
      <xdr:rowOff>491777</xdr:rowOff>
    </xdr:from>
    <xdr:to>
      <xdr:col>3</xdr:col>
      <xdr:colOff>53652</xdr:colOff>
      <xdr:row>114</xdr:row>
      <xdr:rowOff>599777</xdr:rowOff>
    </xdr:to>
    <xdr:sp macro="" textlink="">
      <xdr:nvSpPr>
        <xdr:cNvPr id="381" name="Овал 380"/>
        <xdr:cNvSpPr/>
      </xdr:nvSpPr>
      <xdr:spPr>
        <a:xfrm>
          <a:off x="1955427" y="5537482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126627</xdr:colOff>
      <xdr:row>113</xdr:row>
      <xdr:rowOff>615603</xdr:rowOff>
    </xdr:from>
    <xdr:to>
      <xdr:col>3</xdr:col>
      <xdr:colOff>270627</xdr:colOff>
      <xdr:row>114</xdr:row>
      <xdr:rowOff>64277</xdr:rowOff>
    </xdr:to>
    <xdr:sp macro="" textlink="">
      <xdr:nvSpPr>
        <xdr:cNvPr id="382" name="Овал 381"/>
        <xdr:cNvSpPr/>
      </xdr:nvSpPr>
      <xdr:spPr>
        <a:xfrm>
          <a:off x="2136402" y="54803328"/>
          <a:ext cx="144000" cy="14399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277704</xdr:colOff>
      <xdr:row>113</xdr:row>
      <xdr:rowOff>164777</xdr:rowOff>
    </xdr:from>
    <xdr:to>
      <xdr:col>6</xdr:col>
      <xdr:colOff>268179</xdr:colOff>
      <xdr:row>113</xdr:row>
      <xdr:rowOff>566864</xdr:rowOff>
    </xdr:to>
    <xdr:sp macro="" textlink="">
      <xdr:nvSpPr>
        <xdr:cNvPr id="383" name="Прямоугольник 382"/>
        <xdr:cNvSpPr/>
      </xdr:nvSpPr>
      <xdr:spPr>
        <a:xfrm>
          <a:off x="2868504" y="54352502"/>
          <a:ext cx="1714500" cy="402087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solidFill>
                <a:sysClr val="windowText" lastClr="000000"/>
              </a:solidFill>
            </a:rPr>
            <a:t>ПРИГОРСКОЕ</a:t>
          </a:r>
        </a:p>
      </xdr:txBody>
    </xdr:sp>
    <xdr:clientData/>
  </xdr:twoCellAnchor>
  <xdr:twoCellAnchor>
    <xdr:from>
      <xdr:col>4</xdr:col>
      <xdr:colOff>669404</xdr:colOff>
      <xdr:row>113</xdr:row>
      <xdr:rowOff>190074</xdr:rowOff>
    </xdr:from>
    <xdr:to>
      <xdr:col>5</xdr:col>
      <xdr:colOff>461586</xdr:colOff>
      <xdr:row>113</xdr:row>
      <xdr:rowOff>541567</xdr:rowOff>
    </xdr:to>
    <xdr:cxnSp macro="">
      <xdr:nvCxnSpPr>
        <xdr:cNvPr id="384" name="Прямая соединительная линия 383"/>
        <xdr:cNvCxnSpPr/>
      </xdr:nvCxnSpPr>
      <xdr:spPr>
        <a:xfrm flipV="1">
          <a:off x="3260204" y="54377799"/>
          <a:ext cx="935182" cy="351493"/>
        </a:xfrm>
        <a:prstGeom prst="line">
          <a:avLst/>
        </a:prstGeom>
        <a:ln w="50800" cap="rnd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7064</xdr:colOff>
      <xdr:row>113</xdr:row>
      <xdr:rowOff>570798</xdr:rowOff>
    </xdr:from>
    <xdr:to>
      <xdr:col>3</xdr:col>
      <xdr:colOff>134630</xdr:colOff>
      <xdr:row>114</xdr:row>
      <xdr:rowOff>3329</xdr:rowOff>
    </xdr:to>
    <xdr:grpSp>
      <xdr:nvGrpSpPr>
        <xdr:cNvPr id="385" name="Группа 384"/>
        <xdr:cNvGrpSpPr/>
      </xdr:nvGrpSpPr>
      <xdr:grpSpPr>
        <a:xfrm flipH="1">
          <a:off x="2028481" y="55022048"/>
          <a:ext cx="127566" cy="131031"/>
          <a:chOff x="1132242" y="1306343"/>
          <a:chExt cx="123151" cy="128030"/>
        </a:xfrm>
      </xdr:grpSpPr>
      <xdr:cxnSp macro="">
        <xdr:nvCxnSpPr>
          <xdr:cNvPr id="386" name="Прямая соединительная линия 38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7" name="Прямоугольник 38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14253</xdr:colOff>
      <xdr:row>119</xdr:row>
      <xdr:rowOff>96488</xdr:rowOff>
    </xdr:from>
    <xdr:to>
      <xdr:col>3</xdr:col>
      <xdr:colOff>14253</xdr:colOff>
      <xdr:row>120</xdr:row>
      <xdr:rowOff>584986</xdr:rowOff>
    </xdr:to>
    <xdr:cxnSp macro="">
      <xdr:nvCxnSpPr>
        <xdr:cNvPr id="388" name="Прямая соединительная линия 387"/>
        <xdr:cNvCxnSpPr/>
      </xdr:nvCxnSpPr>
      <xdr:spPr>
        <a:xfrm flipV="1">
          <a:off x="2024028" y="5567486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120</xdr:row>
      <xdr:rowOff>521031</xdr:rowOff>
    </xdr:from>
    <xdr:to>
      <xdr:col>3</xdr:col>
      <xdr:colOff>63839</xdr:colOff>
      <xdr:row>120</xdr:row>
      <xdr:rowOff>629031</xdr:rowOff>
    </xdr:to>
    <xdr:sp macro="" textlink="">
      <xdr:nvSpPr>
        <xdr:cNvPr id="389" name="Овал 388"/>
        <xdr:cNvSpPr/>
      </xdr:nvSpPr>
      <xdr:spPr>
        <a:xfrm>
          <a:off x="1965614" y="5679473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119</xdr:row>
      <xdr:rowOff>644856</xdr:rowOff>
    </xdr:from>
    <xdr:to>
      <xdr:col>3</xdr:col>
      <xdr:colOff>280814</xdr:colOff>
      <xdr:row>120</xdr:row>
      <xdr:rowOff>93531</xdr:rowOff>
    </xdr:to>
    <xdr:sp macro="" textlink="">
      <xdr:nvSpPr>
        <xdr:cNvPr id="390" name="Овал 389"/>
        <xdr:cNvSpPr/>
      </xdr:nvSpPr>
      <xdr:spPr>
        <a:xfrm>
          <a:off x="2146589" y="5622323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123265</xdr:colOff>
      <xdr:row>119</xdr:row>
      <xdr:rowOff>257736</xdr:rowOff>
    </xdr:from>
    <xdr:to>
      <xdr:col>4</xdr:col>
      <xdr:colOff>732918</xdr:colOff>
      <xdr:row>120</xdr:row>
      <xdr:rowOff>172069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065" y="55836111"/>
          <a:ext cx="609653" cy="609658"/>
        </a:xfrm>
        <a:prstGeom prst="rect">
          <a:avLst/>
        </a:prstGeom>
      </xdr:spPr>
    </xdr:pic>
    <xdr:clientData/>
  </xdr:twoCellAnchor>
  <xdr:twoCellAnchor>
    <xdr:from>
      <xdr:col>4</xdr:col>
      <xdr:colOff>159150</xdr:colOff>
      <xdr:row>120</xdr:row>
      <xdr:rowOff>224117</xdr:rowOff>
    </xdr:from>
    <xdr:to>
      <xdr:col>4</xdr:col>
      <xdr:colOff>697032</xdr:colOff>
      <xdr:row>120</xdr:row>
      <xdr:rowOff>425823</xdr:rowOff>
    </xdr:to>
    <xdr:sp macro="" textlink="">
      <xdr:nvSpPr>
        <xdr:cNvPr id="392" name="Скругленный прямоугольник 391"/>
        <xdr:cNvSpPr/>
      </xdr:nvSpPr>
      <xdr:spPr>
        <a:xfrm>
          <a:off x="2749950" y="56497817"/>
          <a:ext cx="537882" cy="201706"/>
        </a:xfrm>
        <a:prstGeom prst="round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400 </a:t>
          </a:r>
          <a:r>
            <a:rPr lang="ru-RU" sz="12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3</xdr:col>
      <xdr:colOff>14253</xdr:colOff>
      <xdr:row>131</xdr:row>
      <xdr:rowOff>96488</xdr:rowOff>
    </xdr:from>
    <xdr:to>
      <xdr:col>3</xdr:col>
      <xdr:colOff>14253</xdr:colOff>
      <xdr:row>132</xdr:row>
      <xdr:rowOff>584986</xdr:rowOff>
    </xdr:to>
    <xdr:cxnSp macro="">
      <xdr:nvCxnSpPr>
        <xdr:cNvPr id="393" name="Прямая соединительная линия 392"/>
        <xdr:cNvCxnSpPr/>
      </xdr:nvCxnSpPr>
      <xdr:spPr>
        <a:xfrm flipV="1">
          <a:off x="2024028" y="57065513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536864</xdr:colOff>
      <xdr:row>132</xdr:row>
      <xdr:rowOff>521031</xdr:rowOff>
    </xdr:from>
    <xdr:to>
      <xdr:col>3</xdr:col>
      <xdr:colOff>63839</xdr:colOff>
      <xdr:row>132</xdr:row>
      <xdr:rowOff>629031</xdr:rowOff>
    </xdr:to>
    <xdr:sp macro="" textlink="">
      <xdr:nvSpPr>
        <xdr:cNvPr id="394" name="Овал 393"/>
        <xdr:cNvSpPr/>
      </xdr:nvSpPr>
      <xdr:spPr>
        <a:xfrm>
          <a:off x="1965614" y="5818538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131</xdr:row>
      <xdr:rowOff>644856</xdr:rowOff>
    </xdr:from>
    <xdr:to>
      <xdr:col>3</xdr:col>
      <xdr:colOff>280814</xdr:colOff>
      <xdr:row>132</xdr:row>
      <xdr:rowOff>93531</xdr:rowOff>
    </xdr:to>
    <xdr:sp macro="" textlink="">
      <xdr:nvSpPr>
        <xdr:cNvPr id="395" name="Овал 394"/>
        <xdr:cNvSpPr/>
      </xdr:nvSpPr>
      <xdr:spPr>
        <a:xfrm>
          <a:off x="2146589" y="57613881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123265</xdr:colOff>
      <xdr:row>131</xdr:row>
      <xdr:rowOff>257736</xdr:rowOff>
    </xdr:from>
    <xdr:ext cx="609653" cy="609094"/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065" y="57226761"/>
          <a:ext cx="609653" cy="609094"/>
        </a:xfrm>
        <a:prstGeom prst="rect">
          <a:avLst/>
        </a:prstGeom>
      </xdr:spPr>
    </xdr:pic>
    <xdr:clientData/>
  </xdr:oneCellAnchor>
  <xdr:twoCellAnchor>
    <xdr:from>
      <xdr:col>4</xdr:col>
      <xdr:colOff>159150</xdr:colOff>
      <xdr:row>132</xdr:row>
      <xdr:rowOff>224117</xdr:rowOff>
    </xdr:from>
    <xdr:to>
      <xdr:col>4</xdr:col>
      <xdr:colOff>697032</xdr:colOff>
      <xdr:row>132</xdr:row>
      <xdr:rowOff>425823</xdr:rowOff>
    </xdr:to>
    <xdr:sp macro="" textlink="">
      <xdr:nvSpPr>
        <xdr:cNvPr id="397" name="Скругленный прямоугольник 396"/>
        <xdr:cNvSpPr/>
      </xdr:nvSpPr>
      <xdr:spPr>
        <a:xfrm>
          <a:off x="2749950" y="57888467"/>
          <a:ext cx="537882" cy="201706"/>
        </a:xfrm>
        <a:prstGeom prst="round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>
              <a:solidFill>
                <a:sysClr val="windowText" lastClr="000000"/>
              </a:solidFill>
            </a:rPr>
            <a:t>400 </a:t>
          </a:r>
          <a:r>
            <a:rPr lang="ru-RU" sz="12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3</xdr:col>
      <xdr:colOff>11206</xdr:colOff>
      <xdr:row>149</xdr:row>
      <xdr:rowOff>582706</xdr:rowOff>
    </xdr:from>
    <xdr:to>
      <xdr:col>3</xdr:col>
      <xdr:colOff>537882</xdr:colOff>
      <xdr:row>150</xdr:row>
      <xdr:rowOff>537882</xdr:rowOff>
    </xdr:to>
    <xdr:sp macro="" textlink="">
      <xdr:nvSpPr>
        <xdr:cNvPr id="398" name="Полилиния 397"/>
        <xdr:cNvSpPr/>
      </xdr:nvSpPr>
      <xdr:spPr>
        <a:xfrm>
          <a:off x="2020981" y="67286281"/>
          <a:ext cx="526676" cy="650501"/>
        </a:xfrm>
        <a:custGeom>
          <a:avLst/>
          <a:gdLst>
            <a:gd name="connsiteX0" fmla="*/ 0 w 526676"/>
            <a:gd name="connsiteY0" fmla="*/ 649941 h 649941"/>
            <a:gd name="connsiteX1" fmla="*/ 0 w 526676"/>
            <a:gd name="connsiteY1" fmla="*/ 89647 h 649941"/>
            <a:gd name="connsiteX2" fmla="*/ 526676 w 526676"/>
            <a:gd name="connsiteY2" fmla="*/ 0 h 6499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26676" h="649941">
              <a:moveTo>
                <a:pt x="0" y="649941"/>
              </a:moveTo>
              <a:lnTo>
                <a:pt x="0" y="89647"/>
              </a:lnTo>
              <a:lnTo>
                <a:pt x="526676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39</xdr:row>
      <xdr:rowOff>69272</xdr:rowOff>
    </xdr:from>
    <xdr:to>
      <xdr:col>2</xdr:col>
      <xdr:colOff>306457</xdr:colOff>
      <xdr:row>40</xdr:row>
      <xdr:rowOff>557771</xdr:rowOff>
    </xdr:to>
    <xdr:cxnSp macro="">
      <xdr:nvCxnSpPr>
        <xdr:cNvPr id="399" name="Прямая соединительная линия 398"/>
        <xdr:cNvCxnSpPr/>
      </xdr:nvCxnSpPr>
      <xdr:spPr>
        <a:xfrm flipV="1">
          <a:off x="1735207" y="22272047"/>
          <a:ext cx="0" cy="1183824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245511</xdr:colOff>
      <xdr:row>40</xdr:row>
      <xdr:rowOff>493816</xdr:rowOff>
    </xdr:from>
    <xdr:to>
      <xdr:col>2</xdr:col>
      <xdr:colOff>355192</xdr:colOff>
      <xdr:row>40</xdr:row>
      <xdr:rowOff>601816</xdr:rowOff>
    </xdr:to>
    <xdr:sp macro="" textlink="">
      <xdr:nvSpPr>
        <xdr:cNvPr id="400" name="Овал 399"/>
        <xdr:cNvSpPr/>
      </xdr:nvSpPr>
      <xdr:spPr>
        <a:xfrm>
          <a:off x="1674261" y="23391916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39</xdr:row>
      <xdr:rowOff>223345</xdr:rowOff>
    </xdr:from>
    <xdr:to>
      <xdr:col>3</xdr:col>
      <xdr:colOff>45200</xdr:colOff>
      <xdr:row>40</xdr:row>
      <xdr:rowOff>262693</xdr:rowOff>
    </xdr:to>
    <xdr:sp macro="" textlink="">
      <xdr:nvSpPr>
        <xdr:cNvPr id="401" name="Прямоугольник 400"/>
        <xdr:cNvSpPr/>
      </xdr:nvSpPr>
      <xdr:spPr>
        <a:xfrm>
          <a:off x="1735207" y="22426120"/>
          <a:ext cx="319768" cy="734673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39</xdr:row>
      <xdr:rowOff>223630</xdr:rowOff>
    </xdr:from>
    <xdr:to>
      <xdr:col>3</xdr:col>
      <xdr:colOff>323023</xdr:colOff>
      <xdr:row>39</xdr:row>
      <xdr:rowOff>223630</xdr:rowOff>
    </xdr:to>
    <xdr:cxnSp macro="">
      <xdr:nvCxnSpPr>
        <xdr:cNvPr id="402" name="Прямая соединительная линия 401"/>
        <xdr:cNvCxnSpPr/>
      </xdr:nvCxnSpPr>
      <xdr:spPr>
        <a:xfrm>
          <a:off x="1735207" y="22426405"/>
          <a:ext cx="597591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298174</xdr:colOff>
      <xdr:row>39</xdr:row>
      <xdr:rowOff>273326</xdr:rowOff>
    </xdr:from>
    <xdr:to>
      <xdr:col>2</xdr:col>
      <xdr:colOff>563217</xdr:colOff>
      <xdr:row>40</xdr:row>
      <xdr:rowOff>538369</xdr:rowOff>
    </xdr:to>
    <xdr:sp macro="" textlink="">
      <xdr:nvSpPr>
        <xdr:cNvPr id="403" name="Полилиния 402"/>
        <xdr:cNvSpPr/>
      </xdr:nvSpPr>
      <xdr:spPr>
        <a:xfrm>
          <a:off x="1726924" y="22476101"/>
          <a:ext cx="265043" cy="960368"/>
        </a:xfrm>
        <a:custGeom>
          <a:avLst/>
          <a:gdLst>
            <a:gd name="connsiteX0" fmla="*/ 0 w 265043"/>
            <a:gd name="connsiteY0" fmla="*/ 753717 h 753717"/>
            <a:gd name="connsiteX1" fmla="*/ 0 w 265043"/>
            <a:gd name="connsiteY1" fmla="*/ 438978 h 753717"/>
            <a:gd name="connsiteX2" fmla="*/ 265043 w 265043"/>
            <a:gd name="connsiteY2" fmla="*/ 438978 h 753717"/>
            <a:gd name="connsiteX3" fmla="*/ 265043 w 265043"/>
            <a:gd name="connsiteY3" fmla="*/ 0 h 753717"/>
            <a:gd name="connsiteX0" fmla="*/ 0 w 265043"/>
            <a:gd name="connsiteY0" fmla="*/ 960782 h 960782"/>
            <a:gd name="connsiteX1" fmla="*/ 0 w 265043"/>
            <a:gd name="connsiteY1" fmla="*/ 646043 h 960782"/>
            <a:gd name="connsiteX2" fmla="*/ 265043 w 265043"/>
            <a:gd name="connsiteY2" fmla="*/ 646043 h 960782"/>
            <a:gd name="connsiteX3" fmla="*/ 265043 w 265043"/>
            <a:gd name="connsiteY3" fmla="*/ 0 h 9607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5043" h="960782">
              <a:moveTo>
                <a:pt x="0" y="960782"/>
              </a:moveTo>
              <a:lnTo>
                <a:pt x="0" y="646043"/>
              </a:lnTo>
              <a:lnTo>
                <a:pt x="265043" y="646043"/>
              </a:lnTo>
              <a:lnTo>
                <a:pt x="265043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306457</xdr:colOff>
      <xdr:row>41</xdr:row>
      <xdr:rowOff>60989</xdr:rowOff>
    </xdr:from>
    <xdr:to>
      <xdr:col>2</xdr:col>
      <xdr:colOff>306457</xdr:colOff>
      <xdr:row>42</xdr:row>
      <xdr:rowOff>637761</xdr:rowOff>
    </xdr:to>
    <xdr:cxnSp macro="">
      <xdr:nvCxnSpPr>
        <xdr:cNvPr id="404" name="Прямая соединительная линия 403"/>
        <xdr:cNvCxnSpPr/>
      </xdr:nvCxnSpPr>
      <xdr:spPr>
        <a:xfrm flipV="1">
          <a:off x="1735207" y="23654414"/>
          <a:ext cx="0" cy="127209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493988</xdr:colOff>
      <xdr:row>42</xdr:row>
      <xdr:rowOff>203924</xdr:rowOff>
    </xdr:from>
    <xdr:to>
      <xdr:col>3</xdr:col>
      <xdr:colOff>23887</xdr:colOff>
      <xdr:row>42</xdr:row>
      <xdr:rowOff>311924</xdr:rowOff>
    </xdr:to>
    <xdr:sp macro="" textlink="">
      <xdr:nvSpPr>
        <xdr:cNvPr id="405" name="Овал 404"/>
        <xdr:cNvSpPr/>
      </xdr:nvSpPr>
      <xdr:spPr>
        <a:xfrm>
          <a:off x="1922738" y="24492674"/>
          <a:ext cx="11092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33523</xdr:colOff>
      <xdr:row>42</xdr:row>
      <xdr:rowOff>142296</xdr:rowOff>
    </xdr:from>
    <xdr:to>
      <xdr:col>3</xdr:col>
      <xdr:colOff>161089</xdr:colOff>
      <xdr:row>42</xdr:row>
      <xdr:rowOff>269593</xdr:rowOff>
    </xdr:to>
    <xdr:grpSp>
      <xdr:nvGrpSpPr>
        <xdr:cNvPr id="406" name="Группа 405"/>
        <xdr:cNvGrpSpPr/>
      </xdr:nvGrpSpPr>
      <xdr:grpSpPr>
        <a:xfrm flipH="1">
          <a:off x="2054940" y="24558046"/>
          <a:ext cx="127566" cy="127297"/>
          <a:chOff x="1132242" y="1306343"/>
          <a:chExt cx="123151" cy="128030"/>
        </a:xfrm>
      </xdr:grpSpPr>
      <xdr:cxnSp macro="">
        <xdr:nvCxnSpPr>
          <xdr:cNvPr id="407" name="Прямая соединительная линия 40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8" name="Прямоугольник 40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306457</xdr:colOff>
      <xdr:row>41</xdr:row>
      <xdr:rowOff>488673</xdr:rowOff>
    </xdr:from>
    <xdr:to>
      <xdr:col>3</xdr:col>
      <xdr:colOff>323023</xdr:colOff>
      <xdr:row>41</xdr:row>
      <xdr:rowOff>488673</xdr:rowOff>
    </xdr:to>
    <xdr:cxnSp macro="">
      <xdr:nvCxnSpPr>
        <xdr:cNvPr id="409" name="Прямая соединительная линия 408"/>
        <xdr:cNvCxnSpPr/>
      </xdr:nvCxnSpPr>
      <xdr:spPr>
        <a:xfrm>
          <a:off x="1735207" y="24082098"/>
          <a:ext cx="597591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306456</xdr:colOff>
      <xdr:row>41</xdr:row>
      <xdr:rowOff>24848</xdr:rowOff>
    </xdr:from>
    <xdr:to>
      <xdr:col>2</xdr:col>
      <xdr:colOff>554934</xdr:colOff>
      <xdr:row>42</xdr:row>
      <xdr:rowOff>265043</xdr:rowOff>
    </xdr:to>
    <xdr:sp macro="" textlink="">
      <xdr:nvSpPr>
        <xdr:cNvPr id="410" name="Полилиния 409"/>
        <xdr:cNvSpPr/>
      </xdr:nvSpPr>
      <xdr:spPr>
        <a:xfrm>
          <a:off x="1735206" y="23618273"/>
          <a:ext cx="248478" cy="935520"/>
        </a:xfrm>
        <a:custGeom>
          <a:avLst/>
          <a:gdLst>
            <a:gd name="connsiteX0" fmla="*/ 248478 w 248478"/>
            <a:gd name="connsiteY0" fmla="*/ 646043 h 646043"/>
            <a:gd name="connsiteX1" fmla="*/ 248478 w 248478"/>
            <a:gd name="connsiteY1" fmla="*/ 173935 h 646043"/>
            <a:gd name="connsiteX2" fmla="*/ 0 w 248478"/>
            <a:gd name="connsiteY2" fmla="*/ 173935 h 646043"/>
            <a:gd name="connsiteX3" fmla="*/ 0 w 248478"/>
            <a:gd name="connsiteY3" fmla="*/ 0 h 646043"/>
            <a:gd name="connsiteX0" fmla="*/ 248478 w 248478"/>
            <a:gd name="connsiteY0" fmla="*/ 935934 h 935934"/>
            <a:gd name="connsiteX1" fmla="*/ 248478 w 248478"/>
            <a:gd name="connsiteY1" fmla="*/ 463826 h 935934"/>
            <a:gd name="connsiteX2" fmla="*/ 0 w 248478"/>
            <a:gd name="connsiteY2" fmla="*/ 463826 h 935934"/>
            <a:gd name="connsiteX3" fmla="*/ 0 w 248478"/>
            <a:gd name="connsiteY3" fmla="*/ 0 h 935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8478" h="935934">
              <a:moveTo>
                <a:pt x="248478" y="935934"/>
              </a:moveTo>
              <a:lnTo>
                <a:pt x="248478" y="463826"/>
              </a:lnTo>
              <a:lnTo>
                <a:pt x="0" y="463826"/>
              </a:lnTo>
              <a:lnTo>
                <a:pt x="0" y="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466397</xdr:colOff>
      <xdr:row>62</xdr:row>
      <xdr:rowOff>0</xdr:rowOff>
    </xdr:from>
    <xdr:to>
      <xdr:col>3</xdr:col>
      <xdr:colOff>118242</xdr:colOff>
      <xdr:row>62</xdr:row>
      <xdr:rowOff>0</xdr:rowOff>
    </xdr:to>
    <xdr:cxnSp macro="">
      <xdr:nvCxnSpPr>
        <xdr:cNvPr id="411" name="Прямая соединительная линия 410"/>
        <xdr:cNvCxnSpPr/>
      </xdr:nvCxnSpPr>
      <xdr:spPr>
        <a:xfrm>
          <a:off x="1895147" y="34023300"/>
          <a:ext cx="232870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479535</xdr:colOff>
      <xdr:row>72</xdr:row>
      <xdr:rowOff>1</xdr:rowOff>
    </xdr:from>
    <xdr:to>
      <xdr:col>3</xdr:col>
      <xdr:colOff>118242</xdr:colOff>
      <xdr:row>72</xdr:row>
      <xdr:rowOff>1</xdr:rowOff>
    </xdr:to>
    <xdr:cxnSp macro="">
      <xdr:nvCxnSpPr>
        <xdr:cNvPr id="412" name="Прямая соединительная линия 411"/>
        <xdr:cNvCxnSpPr/>
      </xdr:nvCxnSpPr>
      <xdr:spPr>
        <a:xfrm>
          <a:off x="1908285" y="39585901"/>
          <a:ext cx="219732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479535</xdr:colOff>
      <xdr:row>76</xdr:row>
      <xdr:rowOff>11207</xdr:rowOff>
    </xdr:from>
    <xdr:to>
      <xdr:col>3</xdr:col>
      <xdr:colOff>111673</xdr:colOff>
      <xdr:row>76</xdr:row>
      <xdr:rowOff>11207</xdr:rowOff>
    </xdr:to>
    <xdr:cxnSp macro="">
      <xdr:nvCxnSpPr>
        <xdr:cNvPr id="413" name="Прямая соединительная линия 412"/>
        <xdr:cNvCxnSpPr/>
      </xdr:nvCxnSpPr>
      <xdr:spPr>
        <a:xfrm>
          <a:off x="1908285" y="40987757"/>
          <a:ext cx="21316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499242</xdr:colOff>
      <xdr:row>88</xdr:row>
      <xdr:rowOff>2</xdr:rowOff>
    </xdr:from>
    <xdr:to>
      <xdr:col>3</xdr:col>
      <xdr:colOff>111673</xdr:colOff>
      <xdr:row>88</xdr:row>
      <xdr:rowOff>2</xdr:rowOff>
    </xdr:to>
    <xdr:cxnSp macro="">
      <xdr:nvCxnSpPr>
        <xdr:cNvPr id="414" name="Прямая соединительная линия 413"/>
        <xdr:cNvCxnSpPr/>
      </xdr:nvCxnSpPr>
      <xdr:spPr>
        <a:xfrm>
          <a:off x="1927992" y="45148502"/>
          <a:ext cx="193456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58770</xdr:colOff>
      <xdr:row>154</xdr:row>
      <xdr:rowOff>482899</xdr:rowOff>
    </xdr:from>
    <xdr:to>
      <xdr:col>3</xdr:col>
      <xdr:colOff>168451</xdr:colOff>
      <xdr:row>154</xdr:row>
      <xdr:rowOff>590899</xdr:rowOff>
    </xdr:to>
    <xdr:sp macro="" textlink="">
      <xdr:nvSpPr>
        <xdr:cNvPr id="415" name="Овал 414"/>
        <xdr:cNvSpPr/>
      </xdr:nvSpPr>
      <xdr:spPr>
        <a:xfrm>
          <a:off x="2068545" y="70663099"/>
          <a:ext cx="10968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110497</xdr:colOff>
      <xdr:row>153</xdr:row>
      <xdr:rowOff>107422</xdr:rowOff>
    </xdr:from>
    <xdr:to>
      <xdr:col>3</xdr:col>
      <xdr:colOff>110497</xdr:colOff>
      <xdr:row>154</xdr:row>
      <xdr:rowOff>561677</xdr:rowOff>
    </xdr:to>
    <xdr:cxnSp macro="">
      <xdr:nvCxnSpPr>
        <xdr:cNvPr id="416" name="Прямая соединительная линия 415"/>
        <xdr:cNvCxnSpPr/>
      </xdr:nvCxnSpPr>
      <xdr:spPr>
        <a:xfrm flipV="1">
          <a:off x="2120272" y="69592297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443951</xdr:colOff>
      <xdr:row>153</xdr:row>
      <xdr:rowOff>107422</xdr:rowOff>
    </xdr:from>
    <xdr:to>
      <xdr:col>2</xdr:col>
      <xdr:colOff>443951</xdr:colOff>
      <xdr:row>154</xdr:row>
      <xdr:rowOff>561677</xdr:rowOff>
    </xdr:to>
    <xdr:cxnSp macro="">
      <xdr:nvCxnSpPr>
        <xdr:cNvPr id="417" name="Прямая соединительная линия 416"/>
        <xdr:cNvCxnSpPr/>
      </xdr:nvCxnSpPr>
      <xdr:spPr>
        <a:xfrm>
          <a:off x="1872701" y="69592297"/>
          <a:ext cx="0" cy="114958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497878</xdr:colOff>
      <xdr:row>154</xdr:row>
      <xdr:rowOff>101814</xdr:rowOff>
    </xdr:from>
    <xdr:to>
      <xdr:col>3</xdr:col>
      <xdr:colOff>66965</xdr:colOff>
      <xdr:row>154</xdr:row>
      <xdr:rowOff>245815</xdr:rowOff>
    </xdr:to>
    <xdr:sp macro="" textlink="">
      <xdr:nvSpPr>
        <xdr:cNvPr id="418" name="Овал 417"/>
        <xdr:cNvSpPr/>
      </xdr:nvSpPr>
      <xdr:spPr>
        <a:xfrm>
          <a:off x="1926628" y="70282014"/>
          <a:ext cx="150112" cy="14400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446690</xdr:colOff>
      <xdr:row>154</xdr:row>
      <xdr:rowOff>5973</xdr:rowOff>
    </xdr:from>
    <xdr:to>
      <xdr:col>3</xdr:col>
      <xdr:colOff>118242</xdr:colOff>
      <xdr:row>154</xdr:row>
      <xdr:rowOff>5973</xdr:rowOff>
    </xdr:to>
    <xdr:cxnSp macro="">
      <xdr:nvCxnSpPr>
        <xdr:cNvPr id="419" name="Прямая соединительная линия 418"/>
        <xdr:cNvCxnSpPr>
          <a:stCxn id="420" idx="2"/>
          <a:endCxn id="420" idx="1"/>
        </xdr:cNvCxnSpPr>
      </xdr:nvCxnSpPr>
      <xdr:spPr>
        <a:xfrm>
          <a:off x="1875440" y="70186173"/>
          <a:ext cx="252577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446690</xdr:colOff>
      <xdr:row>154</xdr:row>
      <xdr:rowOff>5973</xdr:rowOff>
    </xdr:from>
    <xdr:to>
      <xdr:col>3</xdr:col>
      <xdr:colOff>118242</xdr:colOff>
      <xdr:row>154</xdr:row>
      <xdr:rowOff>577473</xdr:rowOff>
    </xdr:to>
    <xdr:sp macro="" textlink="">
      <xdr:nvSpPr>
        <xdr:cNvPr id="420" name="Полилиния 419"/>
        <xdr:cNvSpPr/>
      </xdr:nvSpPr>
      <xdr:spPr>
        <a:xfrm>
          <a:off x="1875440" y="70186173"/>
          <a:ext cx="252577" cy="571500"/>
        </a:xfrm>
        <a:custGeom>
          <a:avLst/>
          <a:gdLst>
            <a:gd name="connsiteX0" fmla="*/ 328449 w 328449"/>
            <a:gd name="connsiteY0" fmla="*/ 532087 h 571500"/>
            <a:gd name="connsiteX1" fmla="*/ 328449 w 328449"/>
            <a:gd name="connsiteY1" fmla="*/ 0 h 571500"/>
            <a:gd name="connsiteX2" fmla="*/ 0 w 328449"/>
            <a:gd name="connsiteY2" fmla="*/ 0 h 571500"/>
            <a:gd name="connsiteX3" fmla="*/ 0 w 328449"/>
            <a:gd name="connsiteY3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8449" h="571500">
              <a:moveTo>
                <a:pt x="328449" y="532087"/>
              </a:moveTo>
              <a:lnTo>
                <a:pt x="328449" y="0"/>
              </a:lnTo>
              <a:lnTo>
                <a:pt x="0" y="0"/>
              </a:lnTo>
              <a:lnTo>
                <a:pt x="0" y="57150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499243</xdr:colOff>
      <xdr:row>88</xdr:row>
      <xdr:rowOff>2</xdr:rowOff>
    </xdr:from>
    <xdr:to>
      <xdr:col>3</xdr:col>
      <xdr:colOff>111674</xdr:colOff>
      <xdr:row>88</xdr:row>
      <xdr:rowOff>571502</xdr:rowOff>
    </xdr:to>
    <xdr:sp macro="" textlink="">
      <xdr:nvSpPr>
        <xdr:cNvPr id="421" name="Полилиния 420"/>
        <xdr:cNvSpPr/>
      </xdr:nvSpPr>
      <xdr:spPr>
        <a:xfrm>
          <a:off x="1927993" y="45148502"/>
          <a:ext cx="193456" cy="571500"/>
        </a:xfrm>
        <a:custGeom>
          <a:avLst/>
          <a:gdLst>
            <a:gd name="connsiteX0" fmla="*/ 328449 w 328449"/>
            <a:gd name="connsiteY0" fmla="*/ 532087 h 571500"/>
            <a:gd name="connsiteX1" fmla="*/ 328449 w 328449"/>
            <a:gd name="connsiteY1" fmla="*/ 0 h 571500"/>
            <a:gd name="connsiteX2" fmla="*/ 0 w 328449"/>
            <a:gd name="connsiteY2" fmla="*/ 0 h 571500"/>
            <a:gd name="connsiteX3" fmla="*/ 0 w 328449"/>
            <a:gd name="connsiteY3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8449" h="571500">
              <a:moveTo>
                <a:pt x="328449" y="532087"/>
              </a:moveTo>
              <a:lnTo>
                <a:pt x="328449" y="0"/>
              </a:lnTo>
              <a:lnTo>
                <a:pt x="0" y="0"/>
              </a:lnTo>
              <a:lnTo>
                <a:pt x="0" y="571500"/>
              </a:lnTo>
            </a:path>
          </a:pathLst>
        </a:custGeom>
        <a:noFill/>
        <a:ln w="5080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120466</xdr:colOff>
      <xdr:row>154</xdr:row>
      <xdr:rowOff>45030</xdr:rowOff>
    </xdr:from>
    <xdr:to>
      <xdr:col>3</xdr:col>
      <xdr:colOff>245631</xdr:colOff>
      <xdr:row>154</xdr:row>
      <xdr:rowOff>172327</xdr:rowOff>
    </xdr:to>
    <xdr:grpSp>
      <xdr:nvGrpSpPr>
        <xdr:cNvPr id="422" name="Группа 421"/>
        <xdr:cNvGrpSpPr/>
      </xdr:nvGrpSpPr>
      <xdr:grpSpPr>
        <a:xfrm flipH="1">
          <a:off x="2141883" y="70561780"/>
          <a:ext cx="125165" cy="127297"/>
          <a:chOff x="1132242" y="1306343"/>
          <a:chExt cx="123151" cy="128030"/>
        </a:xfrm>
      </xdr:grpSpPr>
      <xdr:cxnSp macro="">
        <xdr:nvCxnSpPr>
          <xdr:cNvPr id="423" name="Прямая соединительная линия 42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4" name="Прямоугольник 42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7866</xdr:colOff>
      <xdr:row>23</xdr:row>
      <xdr:rowOff>564256</xdr:rowOff>
    </xdr:from>
    <xdr:to>
      <xdr:col>3</xdr:col>
      <xdr:colOff>133751</xdr:colOff>
      <xdr:row>23</xdr:row>
      <xdr:rowOff>691553</xdr:rowOff>
    </xdr:to>
    <xdr:grpSp>
      <xdr:nvGrpSpPr>
        <xdr:cNvPr id="425" name="Группа 424"/>
        <xdr:cNvGrpSpPr/>
      </xdr:nvGrpSpPr>
      <xdr:grpSpPr>
        <a:xfrm flipH="1">
          <a:off x="2029283" y="11708506"/>
          <a:ext cx="125885" cy="127297"/>
          <a:chOff x="1132242" y="1306343"/>
          <a:chExt cx="123151" cy="128030"/>
        </a:xfrm>
      </xdr:grpSpPr>
      <xdr:cxnSp macro="">
        <xdr:nvCxnSpPr>
          <xdr:cNvPr id="426" name="Прямая соединительная линия 42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7" name="Прямоугольник 42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171107</xdr:colOff>
      <xdr:row>40</xdr:row>
      <xdr:rowOff>86159</xdr:rowOff>
    </xdr:from>
    <xdr:to>
      <xdr:col>2</xdr:col>
      <xdr:colOff>298673</xdr:colOff>
      <xdr:row>40</xdr:row>
      <xdr:rowOff>216217</xdr:rowOff>
    </xdr:to>
    <xdr:grpSp>
      <xdr:nvGrpSpPr>
        <xdr:cNvPr id="428" name="Группа 427"/>
        <xdr:cNvGrpSpPr/>
      </xdr:nvGrpSpPr>
      <xdr:grpSpPr>
        <a:xfrm>
          <a:off x="1610440" y="23104909"/>
          <a:ext cx="127566" cy="130058"/>
          <a:chOff x="1132242" y="1306343"/>
          <a:chExt cx="123151" cy="128030"/>
        </a:xfrm>
      </xdr:grpSpPr>
      <xdr:cxnSp macro="">
        <xdr:nvCxnSpPr>
          <xdr:cNvPr id="429" name="Прямая соединительная линия 42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0" name="Прямоугольник 42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448235</xdr:colOff>
      <xdr:row>135</xdr:row>
      <xdr:rowOff>67235</xdr:rowOff>
    </xdr:from>
    <xdr:to>
      <xdr:col>6</xdr:col>
      <xdr:colOff>145676</xdr:colOff>
      <xdr:row>136</xdr:row>
      <xdr:rowOff>616323</xdr:rowOff>
    </xdr:to>
    <xdr:sp macro="" textlink="">
      <xdr:nvSpPr>
        <xdr:cNvPr id="431" name="TextBox 430"/>
        <xdr:cNvSpPr txBox="1"/>
      </xdr:nvSpPr>
      <xdr:spPr>
        <a:xfrm>
          <a:off x="3039035" y="59817560"/>
          <a:ext cx="1421466" cy="1244413"/>
        </a:xfrm>
        <a:prstGeom prst="rect">
          <a:avLst/>
        </a:prstGeom>
        <a:solidFill>
          <a:schemeClr val="lt1"/>
        </a:solidFill>
        <a:ln w="349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СПАСИБО</a:t>
          </a:r>
          <a:br>
            <a:rPr lang="ru-RU" sz="1800" b="1"/>
          </a:br>
          <a:r>
            <a:rPr lang="ru-RU" sz="1800" b="1"/>
            <a:t>ЗА ЧИСТЫЕ</a:t>
          </a:r>
          <a:r>
            <a:rPr lang="ru-RU" sz="1800" b="1" baseline="0"/>
            <a:t/>
          </a:r>
          <a:br>
            <a:rPr lang="ru-RU" sz="1800" b="1" baseline="0"/>
          </a:br>
          <a:r>
            <a:rPr lang="ru-RU" sz="1800" b="1" baseline="0"/>
            <a:t>ОБОЧИНЫ</a:t>
          </a:r>
          <a:endParaRPr lang="ru-RU" sz="1800" b="1"/>
        </a:p>
      </xdr:txBody>
    </xdr:sp>
    <xdr:clientData/>
  </xdr:twoCellAnchor>
  <xdr:twoCellAnchor>
    <xdr:from>
      <xdr:col>4</xdr:col>
      <xdr:colOff>403412</xdr:colOff>
      <xdr:row>17</xdr:row>
      <xdr:rowOff>268941</xdr:rowOff>
    </xdr:from>
    <xdr:to>
      <xdr:col>6</xdr:col>
      <xdr:colOff>263820</xdr:colOff>
      <xdr:row>17</xdr:row>
      <xdr:rowOff>500071</xdr:rowOff>
    </xdr:to>
    <xdr:sp macro="" textlink="">
      <xdr:nvSpPr>
        <xdr:cNvPr id="432" name="Прямоугольник 431"/>
        <xdr:cNvSpPr/>
      </xdr:nvSpPr>
      <xdr:spPr>
        <a:xfrm>
          <a:off x="2994212" y="7174566"/>
          <a:ext cx="1584433" cy="23113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000" b="1">
              <a:solidFill>
                <a:sysClr val="windowText" lastClr="000000"/>
              </a:solidFill>
            </a:rPr>
            <a:t>пр. МАРШАЛА КОНЕВА </a:t>
          </a:r>
          <a:endParaRPr lang="ru-RU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82741</xdr:colOff>
      <xdr:row>17</xdr:row>
      <xdr:rowOff>309361</xdr:rowOff>
    </xdr:from>
    <xdr:to>
      <xdr:col>6</xdr:col>
      <xdr:colOff>236606</xdr:colOff>
      <xdr:row>17</xdr:row>
      <xdr:rowOff>459248</xdr:rowOff>
    </xdr:to>
    <xdr:sp macro="" textlink="">
      <xdr:nvSpPr>
        <xdr:cNvPr id="433" name="Стрелка вправо 432"/>
        <xdr:cNvSpPr/>
      </xdr:nvSpPr>
      <xdr:spPr>
        <a:xfrm>
          <a:off x="4397566" y="7214986"/>
          <a:ext cx="153865" cy="149887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156881</xdr:colOff>
      <xdr:row>19</xdr:row>
      <xdr:rowOff>537883</xdr:rowOff>
    </xdr:from>
    <xdr:to>
      <xdr:col>5</xdr:col>
      <xdr:colOff>370558</xdr:colOff>
      <xdr:row>20</xdr:row>
      <xdr:rowOff>131398</xdr:rowOff>
    </xdr:to>
    <xdr:sp macro="" textlink="">
      <xdr:nvSpPr>
        <xdr:cNvPr id="434" name="Прямоугольник 433"/>
        <xdr:cNvSpPr/>
      </xdr:nvSpPr>
      <xdr:spPr>
        <a:xfrm>
          <a:off x="2747681" y="8834158"/>
          <a:ext cx="1356677" cy="288840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200" b="1">
              <a:solidFill>
                <a:sysClr val="windowText" lastClr="000000"/>
              </a:solidFill>
            </a:rPr>
            <a:t>ул. КРУПСКОЙ</a:t>
          </a:r>
          <a:endParaRPr lang="ru-RU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163102</xdr:colOff>
      <xdr:row>19</xdr:row>
      <xdr:rowOff>597354</xdr:rowOff>
    </xdr:from>
    <xdr:to>
      <xdr:col>5</xdr:col>
      <xdr:colOff>316967</xdr:colOff>
      <xdr:row>20</xdr:row>
      <xdr:rowOff>52477</xdr:rowOff>
    </xdr:to>
    <xdr:sp macro="" textlink="">
      <xdr:nvSpPr>
        <xdr:cNvPr id="435" name="Стрелка вправо 434"/>
        <xdr:cNvSpPr/>
      </xdr:nvSpPr>
      <xdr:spPr>
        <a:xfrm>
          <a:off x="3896902" y="8893629"/>
          <a:ext cx="153865" cy="150448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454851</xdr:colOff>
      <xdr:row>17</xdr:row>
      <xdr:rowOff>545981</xdr:rowOff>
    </xdr:from>
    <xdr:to>
      <xdr:col>3</xdr:col>
      <xdr:colOff>1614</xdr:colOff>
      <xdr:row>17</xdr:row>
      <xdr:rowOff>670191</xdr:rowOff>
    </xdr:to>
    <xdr:grpSp>
      <xdr:nvGrpSpPr>
        <xdr:cNvPr id="436" name="Группа 435"/>
        <xdr:cNvGrpSpPr/>
      </xdr:nvGrpSpPr>
      <xdr:grpSpPr>
        <a:xfrm rot="16200000" flipH="1">
          <a:off x="1896503" y="7496912"/>
          <a:ext cx="124210" cy="128847"/>
          <a:chOff x="1132242" y="1306343"/>
          <a:chExt cx="123151" cy="128030"/>
        </a:xfrm>
      </xdr:grpSpPr>
      <xdr:cxnSp macro="">
        <xdr:nvCxnSpPr>
          <xdr:cNvPr id="437" name="Прямая соединительная линия 43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8" name="Прямоугольник 43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14253</xdr:colOff>
      <xdr:row>85</xdr:row>
      <xdr:rowOff>74076</xdr:rowOff>
    </xdr:from>
    <xdr:to>
      <xdr:col>3</xdr:col>
      <xdr:colOff>14253</xdr:colOff>
      <xdr:row>86</xdr:row>
      <xdr:rowOff>562574</xdr:rowOff>
    </xdr:to>
    <xdr:cxnSp macro="">
      <xdr:nvCxnSpPr>
        <xdr:cNvPr id="439" name="Прямая соединительная линия 438"/>
        <xdr:cNvCxnSpPr/>
      </xdr:nvCxnSpPr>
      <xdr:spPr>
        <a:xfrm flipV="1">
          <a:off x="2024028" y="43136601"/>
          <a:ext cx="0" cy="1183823"/>
        </a:xfrm>
        <a:prstGeom prst="line">
          <a:avLst/>
        </a:prstGeom>
        <a:ln w="5080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541877</xdr:colOff>
      <xdr:row>86</xdr:row>
      <xdr:rowOff>498619</xdr:rowOff>
    </xdr:from>
    <xdr:to>
      <xdr:col>3</xdr:col>
      <xdr:colOff>68852</xdr:colOff>
      <xdr:row>86</xdr:row>
      <xdr:rowOff>606619</xdr:rowOff>
    </xdr:to>
    <xdr:sp macro="" textlink="">
      <xdr:nvSpPr>
        <xdr:cNvPr id="440" name="Овал 439"/>
        <xdr:cNvSpPr/>
      </xdr:nvSpPr>
      <xdr:spPr>
        <a:xfrm>
          <a:off x="1970627" y="44256469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136814</xdr:colOff>
      <xdr:row>85</xdr:row>
      <xdr:rowOff>622444</xdr:rowOff>
    </xdr:from>
    <xdr:to>
      <xdr:col>3</xdr:col>
      <xdr:colOff>280814</xdr:colOff>
      <xdr:row>86</xdr:row>
      <xdr:rowOff>71119</xdr:rowOff>
    </xdr:to>
    <xdr:sp macro="" textlink="">
      <xdr:nvSpPr>
        <xdr:cNvPr id="441" name="Овал 440"/>
        <xdr:cNvSpPr/>
      </xdr:nvSpPr>
      <xdr:spPr>
        <a:xfrm>
          <a:off x="2146589" y="43684969"/>
          <a:ext cx="144000" cy="144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179294</xdr:colOff>
      <xdr:row>85</xdr:row>
      <xdr:rowOff>179294</xdr:rowOff>
    </xdr:from>
    <xdr:to>
      <xdr:col>6</xdr:col>
      <xdr:colOff>212911</xdr:colOff>
      <xdr:row>86</xdr:row>
      <xdr:rowOff>500744</xdr:rowOff>
    </xdr:to>
    <xdr:grpSp>
      <xdr:nvGrpSpPr>
        <xdr:cNvPr id="442" name="Группа 441"/>
        <xdr:cNvGrpSpPr/>
      </xdr:nvGrpSpPr>
      <xdr:grpSpPr>
        <a:xfrm>
          <a:off x="2782794" y="43454544"/>
          <a:ext cx="1758700" cy="1019950"/>
          <a:chOff x="2763468" y="43240577"/>
          <a:chExt cx="1756400" cy="1017189"/>
        </a:xfrm>
      </xdr:grpSpPr>
      <xdr:sp macro="" textlink="">
        <xdr:nvSpPr>
          <xdr:cNvPr id="443" name="Прямоугольник 442"/>
          <xdr:cNvSpPr/>
        </xdr:nvSpPr>
        <xdr:spPr>
          <a:xfrm>
            <a:off x="2763468" y="43240577"/>
            <a:ext cx="1756400" cy="639347"/>
          </a:xfrm>
          <a:prstGeom prst="rect">
            <a:avLst/>
          </a:prstGeom>
          <a:solidFill>
            <a:schemeClr val="tx2">
              <a:lumMod val="60000"/>
              <a:lumOff val="40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ru-RU" sz="1600" b="1"/>
              <a:t>          БУБНОВО</a:t>
            </a:r>
            <a:br>
              <a:rPr lang="ru-RU" sz="1600" b="1"/>
            </a:br>
            <a:r>
              <a:rPr lang="ru-RU" sz="1600" b="1"/>
              <a:t>          РАЗДОРОВО</a:t>
            </a:r>
          </a:p>
        </xdr:txBody>
      </xdr:sp>
      <xdr:sp macro="" textlink="">
        <xdr:nvSpPr>
          <xdr:cNvPr id="444" name="Прямоугольник 443"/>
          <xdr:cNvSpPr/>
        </xdr:nvSpPr>
        <xdr:spPr>
          <a:xfrm>
            <a:off x="2763468" y="43849161"/>
            <a:ext cx="1756400" cy="408605"/>
          </a:xfrm>
          <a:prstGeom prst="rect">
            <a:avLst/>
          </a:prstGeom>
          <a:solidFill>
            <a:srgbClr val="FFC0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ru-RU" sz="900" b="1">
                <a:solidFill>
                  <a:sysClr val="windowText" lastClr="000000"/>
                </a:solidFill>
              </a:rPr>
              <a:t>ЗАО    </a:t>
            </a:r>
            <a:r>
              <a:rPr lang="ru-RU" sz="900" b="1">
                <a:solidFill>
                  <a:srgbClr val="FFC000"/>
                </a:solidFill>
              </a:rPr>
              <a:t>.</a:t>
            </a:r>
          </a:p>
          <a:p>
            <a:pPr algn="r"/>
            <a:r>
              <a:rPr lang="ru-RU" sz="1000" b="1">
                <a:solidFill>
                  <a:sysClr val="windowText" lastClr="000000"/>
                </a:solidFill>
              </a:rPr>
              <a:t>"БАУТЕК"</a:t>
            </a:r>
          </a:p>
        </xdr:txBody>
      </xdr:sp>
      <xdr:grpSp>
        <xdr:nvGrpSpPr>
          <xdr:cNvPr id="445" name="Группа 444"/>
          <xdr:cNvGrpSpPr/>
        </xdr:nvGrpSpPr>
        <xdr:grpSpPr>
          <a:xfrm>
            <a:off x="2919488" y="43383177"/>
            <a:ext cx="203056" cy="400607"/>
            <a:chOff x="4499359" y="41932400"/>
            <a:chExt cx="271096" cy="402143"/>
          </a:xfrm>
        </xdr:grpSpPr>
        <xdr:cxnSp macro="">
          <xdr:nvCxnSpPr>
            <xdr:cNvPr id="452" name="Прямая соединительная линия 451"/>
            <xdr:cNvCxnSpPr>
              <a:endCxn id="453" idx="2"/>
            </xdr:cNvCxnSpPr>
          </xdr:nvCxnSpPr>
          <xdr:spPr>
            <a:xfrm flipV="1">
              <a:off x="4770455" y="42067948"/>
              <a:ext cx="0" cy="255709"/>
            </a:xfrm>
            <a:prstGeom prst="line">
              <a:avLst/>
            </a:prstGeom>
            <a:ln w="60325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53" name="Дуга 452"/>
            <xdr:cNvSpPr/>
          </xdr:nvSpPr>
          <xdr:spPr>
            <a:xfrm>
              <a:off x="4499359" y="41932400"/>
              <a:ext cx="271096" cy="271096"/>
            </a:xfrm>
            <a:prstGeom prst="arc">
              <a:avLst>
                <a:gd name="adj1" fmla="val 10704517"/>
                <a:gd name="adj2" fmla="val 0"/>
              </a:avLst>
            </a:prstGeom>
            <a:ln w="60325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cxnSp macro="">
          <xdr:nvCxnSpPr>
            <xdr:cNvPr id="454" name="Прямая соединительная линия 453"/>
            <xdr:cNvCxnSpPr>
              <a:stCxn id="453" idx="0"/>
            </xdr:cNvCxnSpPr>
          </xdr:nvCxnSpPr>
          <xdr:spPr>
            <a:xfrm>
              <a:off x="4499411" y="42071712"/>
              <a:ext cx="0" cy="262831"/>
            </a:xfrm>
            <a:prstGeom prst="line">
              <a:avLst/>
            </a:prstGeom>
            <a:ln w="60325">
              <a:solidFill>
                <a:schemeClr val="bg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46" name="Группа 445"/>
          <xdr:cNvGrpSpPr/>
        </xdr:nvGrpSpPr>
        <xdr:grpSpPr>
          <a:xfrm>
            <a:off x="2919487" y="43926063"/>
            <a:ext cx="161643" cy="277221"/>
            <a:chOff x="4499359" y="41932400"/>
            <a:chExt cx="271096" cy="402143"/>
          </a:xfrm>
        </xdr:grpSpPr>
        <xdr:cxnSp macro="">
          <xdr:nvCxnSpPr>
            <xdr:cNvPr id="449" name="Прямая соединительная линия 448"/>
            <xdr:cNvCxnSpPr>
              <a:endCxn id="450" idx="2"/>
            </xdr:cNvCxnSpPr>
          </xdr:nvCxnSpPr>
          <xdr:spPr>
            <a:xfrm flipV="1">
              <a:off x="4770455" y="42067948"/>
              <a:ext cx="0" cy="255709"/>
            </a:xfrm>
            <a:prstGeom prst="line">
              <a:avLst/>
            </a:prstGeom>
            <a:ln w="508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50" name="Дуга 449"/>
            <xdr:cNvSpPr/>
          </xdr:nvSpPr>
          <xdr:spPr>
            <a:xfrm>
              <a:off x="4499359" y="41932400"/>
              <a:ext cx="271096" cy="271096"/>
            </a:xfrm>
            <a:prstGeom prst="arc">
              <a:avLst>
                <a:gd name="adj1" fmla="val 10704517"/>
                <a:gd name="adj2" fmla="val 0"/>
              </a:avLst>
            </a:prstGeom>
            <a:ln w="508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cxnSp macro="">
          <xdr:nvCxnSpPr>
            <xdr:cNvPr id="451" name="Прямая соединительная линия 450"/>
            <xdr:cNvCxnSpPr>
              <a:stCxn id="450" idx="0"/>
            </xdr:cNvCxnSpPr>
          </xdr:nvCxnSpPr>
          <xdr:spPr>
            <a:xfrm>
              <a:off x="4499411" y="42071712"/>
              <a:ext cx="0" cy="262831"/>
            </a:xfrm>
            <a:prstGeom prst="line">
              <a:avLst/>
            </a:prstGeom>
            <a:ln w="50800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47" name="Прямоугольник 446"/>
          <xdr:cNvSpPr/>
        </xdr:nvSpPr>
        <xdr:spPr>
          <a:xfrm>
            <a:off x="3169652" y="43917889"/>
            <a:ext cx="694901" cy="293358"/>
          </a:xfrm>
          <a:prstGeom prst="rect">
            <a:avLst/>
          </a:prstGeom>
          <a:solidFill>
            <a:schemeClr val="bg1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448" name="Рисунок 447" descr="ÐÐ°ÑÑÐ¸Ð½ÐºÐ¸ Ð¿Ð¾ Ð·Ð°Ð¿ÑÐ¾ÑÑ bautek logo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28170" y="43908974"/>
            <a:ext cx="592495" cy="33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700972</xdr:colOff>
      <xdr:row>186</xdr:row>
      <xdr:rowOff>165872</xdr:rowOff>
    </xdr:from>
    <xdr:to>
      <xdr:col>2</xdr:col>
      <xdr:colOff>9672</xdr:colOff>
      <xdr:row>186</xdr:row>
      <xdr:rowOff>873502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972" y="89119847"/>
          <a:ext cx="737450" cy="707630"/>
        </a:xfrm>
        <a:prstGeom prst="rect">
          <a:avLst/>
        </a:prstGeom>
      </xdr:spPr>
    </xdr:pic>
    <xdr:clientData/>
  </xdr:twoCellAnchor>
  <xdr:twoCellAnchor editAs="oneCell">
    <xdr:from>
      <xdr:col>5</xdr:col>
      <xdr:colOff>195887</xdr:colOff>
      <xdr:row>186</xdr:row>
      <xdr:rowOff>165872</xdr:rowOff>
    </xdr:from>
    <xdr:to>
      <xdr:col>6</xdr:col>
      <xdr:colOff>326535</xdr:colOff>
      <xdr:row>186</xdr:row>
      <xdr:rowOff>873502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687" y="89119847"/>
          <a:ext cx="711673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440918</xdr:colOff>
      <xdr:row>186</xdr:row>
      <xdr:rowOff>165872</xdr:rowOff>
    </xdr:from>
    <xdr:to>
      <xdr:col>4</xdr:col>
      <xdr:colOff>519378</xdr:colOff>
      <xdr:row>186</xdr:row>
      <xdr:rowOff>873502</xdr:rowOff>
    </xdr:to>
    <xdr:pic>
      <xdr:nvPicPr>
        <xdr:cNvPr id="457" name="Рисунок 456" descr="https://a.d-cd.net/e3650c6s-960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693" y="89119847"/>
          <a:ext cx="659485" cy="70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229629</xdr:colOff>
      <xdr:row>186</xdr:row>
      <xdr:rowOff>1093349</xdr:rowOff>
    </xdr:from>
    <xdr:to>
      <xdr:col>4</xdr:col>
      <xdr:colOff>239321</xdr:colOff>
      <xdr:row>187</xdr:row>
      <xdr:rowOff>413050</xdr:rowOff>
    </xdr:to>
    <xdr:pic>
      <xdr:nvPicPr>
        <xdr:cNvPr id="458" name="Рисунок 457" descr="logo kka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9404" y="90047324"/>
          <a:ext cx="590717" cy="7103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353786</xdr:colOff>
      <xdr:row>186</xdr:row>
      <xdr:rowOff>1093349</xdr:rowOff>
    </xdr:from>
    <xdr:to>
      <xdr:col>2</xdr:col>
      <xdr:colOff>196113</xdr:colOff>
      <xdr:row>187</xdr:row>
      <xdr:rowOff>413050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90047324"/>
          <a:ext cx="1271077" cy="7103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747105</xdr:colOff>
      <xdr:row>186</xdr:row>
      <xdr:rowOff>1093349</xdr:rowOff>
    </xdr:from>
    <xdr:to>
      <xdr:col>6</xdr:col>
      <xdr:colOff>641055</xdr:colOff>
      <xdr:row>187</xdr:row>
      <xdr:rowOff>413050</xdr:rowOff>
    </xdr:to>
    <xdr:pic>
      <xdr:nvPicPr>
        <xdr:cNvPr id="460" name="Рисунок 459" descr="856a6cds-9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7905" y="90047324"/>
          <a:ext cx="1617975" cy="7103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242728</xdr:colOff>
      <xdr:row>185</xdr:row>
      <xdr:rowOff>231321</xdr:rowOff>
    </xdr:from>
    <xdr:to>
      <xdr:col>5</xdr:col>
      <xdr:colOff>122740</xdr:colOff>
      <xdr:row>185</xdr:row>
      <xdr:rowOff>1297894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478" y="87794646"/>
          <a:ext cx="2185062" cy="106657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805089</xdr:colOff>
      <xdr:row>13</xdr:row>
      <xdr:rowOff>171055</xdr:rowOff>
    </xdr:from>
    <xdr:to>
      <xdr:col>4</xdr:col>
      <xdr:colOff>119955</xdr:colOff>
      <xdr:row>13</xdr:row>
      <xdr:rowOff>1431055</xdr:rowOff>
    </xdr:to>
    <xdr:sp macro="" textlink="">
      <xdr:nvSpPr>
        <xdr:cNvPr id="2" name="Полилиния 1"/>
        <xdr:cNvSpPr/>
      </xdr:nvSpPr>
      <xdr:spPr>
        <a:xfrm>
          <a:off x="2478176" y="8006403"/>
          <a:ext cx="225953" cy="1260000"/>
        </a:xfrm>
        <a:custGeom>
          <a:avLst/>
          <a:gdLst>
            <a:gd name="connsiteX0" fmla="*/ 224166 w 224166"/>
            <a:gd name="connsiteY0" fmla="*/ 1150327 h 1150327"/>
            <a:gd name="connsiteX1" fmla="*/ 158223 w 224166"/>
            <a:gd name="connsiteY1" fmla="*/ 725365 h 1150327"/>
            <a:gd name="connsiteX2" fmla="*/ 19012 w 224166"/>
            <a:gd name="connsiteY2" fmla="*/ 439615 h 1150327"/>
            <a:gd name="connsiteX3" fmla="*/ 4358 w 224166"/>
            <a:gd name="connsiteY3" fmla="*/ 0 h 11503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4166" h="1150327">
              <a:moveTo>
                <a:pt x="224166" y="1150327"/>
              </a:moveTo>
              <a:cubicBezTo>
                <a:pt x="208290" y="997072"/>
                <a:pt x="192415" y="843817"/>
                <a:pt x="158223" y="725365"/>
              </a:cubicBezTo>
              <a:cubicBezTo>
                <a:pt x="124031" y="606913"/>
                <a:pt x="44656" y="560509"/>
                <a:pt x="19012" y="439615"/>
              </a:cubicBezTo>
              <a:cubicBezTo>
                <a:pt x="-6632" y="318721"/>
                <a:pt x="-527" y="70827"/>
                <a:pt x="435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47943</xdr:colOff>
      <xdr:row>13</xdr:row>
      <xdr:rowOff>940523</xdr:rowOff>
    </xdr:from>
    <xdr:to>
      <xdr:col>4</xdr:col>
      <xdr:colOff>654326</xdr:colOff>
      <xdr:row>13</xdr:row>
      <xdr:rowOff>940523</xdr:rowOff>
    </xdr:to>
    <xdr:cxnSp macro="">
      <xdr:nvCxnSpPr>
        <xdr:cNvPr id="3" name="Прямая соединительная линия 2"/>
        <xdr:cNvCxnSpPr/>
      </xdr:nvCxnSpPr>
      <xdr:spPr>
        <a:xfrm>
          <a:off x="2638743" y="8778237"/>
          <a:ext cx="606383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240196</xdr:colOff>
      <xdr:row>13</xdr:row>
      <xdr:rowOff>858262</xdr:rowOff>
    </xdr:from>
    <xdr:to>
      <xdr:col>4</xdr:col>
      <xdr:colOff>3252</xdr:colOff>
      <xdr:row>13</xdr:row>
      <xdr:rowOff>858262</xdr:rowOff>
    </xdr:to>
    <xdr:cxnSp macro="">
      <xdr:nvCxnSpPr>
        <xdr:cNvPr id="4" name="Прямая соединительная линия 3"/>
        <xdr:cNvCxnSpPr/>
      </xdr:nvCxnSpPr>
      <xdr:spPr>
        <a:xfrm flipH="1">
          <a:off x="1913283" y="8693610"/>
          <a:ext cx="674143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231913</xdr:colOff>
      <xdr:row>13</xdr:row>
      <xdr:rowOff>686811</xdr:rowOff>
    </xdr:from>
    <xdr:to>
      <xdr:col>3</xdr:col>
      <xdr:colOff>823548</xdr:colOff>
      <xdr:row>13</xdr:row>
      <xdr:rowOff>686811</xdr:rowOff>
    </xdr:to>
    <xdr:cxnSp macro="">
      <xdr:nvCxnSpPr>
        <xdr:cNvPr id="5" name="Прямая соединительная линия 4"/>
        <xdr:cNvCxnSpPr/>
      </xdr:nvCxnSpPr>
      <xdr:spPr>
        <a:xfrm flipH="1">
          <a:off x="1905000" y="8522159"/>
          <a:ext cx="591635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865433</xdr:colOff>
      <xdr:row>9</xdr:row>
      <xdr:rowOff>1362830</xdr:rowOff>
    </xdr:from>
    <xdr:to>
      <xdr:col>4</xdr:col>
      <xdr:colOff>57377</xdr:colOff>
      <xdr:row>9</xdr:row>
      <xdr:rowOff>1470830</xdr:rowOff>
    </xdr:to>
    <xdr:sp macro="" textlink="">
      <xdr:nvSpPr>
        <xdr:cNvPr id="18" name="Овал 17"/>
        <xdr:cNvSpPr>
          <a:spLocks noChangeAspect="1"/>
        </xdr:cNvSpPr>
      </xdr:nvSpPr>
      <xdr:spPr>
        <a:xfrm>
          <a:off x="2538520" y="2605221"/>
          <a:ext cx="10303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5861</xdr:colOff>
      <xdr:row>9</xdr:row>
      <xdr:rowOff>158750</xdr:rowOff>
    </xdr:from>
    <xdr:to>
      <xdr:col>4</xdr:col>
      <xdr:colOff>5861</xdr:colOff>
      <xdr:row>9</xdr:row>
      <xdr:rowOff>1419225</xdr:rowOff>
    </xdr:to>
    <xdr:cxnSp macro="">
      <xdr:nvCxnSpPr>
        <xdr:cNvPr id="19" name="Прямая соединительная линия 18"/>
        <xdr:cNvCxnSpPr/>
      </xdr:nvCxnSpPr>
      <xdr:spPr>
        <a:xfrm flipV="1">
          <a:off x="2590035" y="1401141"/>
          <a:ext cx="0" cy="1260475"/>
        </a:xfrm>
        <a:prstGeom prst="line">
          <a:avLst/>
        </a:prstGeom>
        <a:ln w="34925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913515</xdr:colOff>
      <xdr:row>9</xdr:row>
      <xdr:rowOff>611241</xdr:rowOff>
    </xdr:from>
    <xdr:to>
      <xdr:col>4</xdr:col>
      <xdr:colOff>450292</xdr:colOff>
      <xdr:row>9</xdr:row>
      <xdr:rowOff>611241</xdr:rowOff>
    </xdr:to>
    <xdr:cxnSp macro="">
      <xdr:nvCxnSpPr>
        <xdr:cNvPr id="27" name="Прямая соединительная линия 26"/>
        <xdr:cNvCxnSpPr/>
      </xdr:nvCxnSpPr>
      <xdr:spPr>
        <a:xfrm flipH="1">
          <a:off x="2589915" y="1859016"/>
          <a:ext cx="451177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9683</xdr:colOff>
      <xdr:row>9</xdr:row>
      <xdr:rowOff>938458</xdr:rowOff>
    </xdr:from>
    <xdr:to>
      <xdr:col>4</xdr:col>
      <xdr:colOff>143649</xdr:colOff>
      <xdr:row>9</xdr:row>
      <xdr:rowOff>1064769</xdr:rowOff>
    </xdr:to>
    <xdr:grpSp>
      <xdr:nvGrpSpPr>
        <xdr:cNvPr id="28" name="Группа 27"/>
        <xdr:cNvGrpSpPr/>
      </xdr:nvGrpSpPr>
      <xdr:grpSpPr>
        <a:xfrm flipH="1">
          <a:off x="2600483" y="2186233"/>
          <a:ext cx="133966" cy="126311"/>
          <a:chOff x="1132242" y="1306343"/>
          <a:chExt cx="123151" cy="128030"/>
        </a:xfrm>
      </xdr:grpSpPr>
      <xdr:cxnSp macro="">
        <xdr:nvCxnSpPr>
          <xdr:cNvPr id="29" name="Прямая соединительная линия 2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Прямоугольник 2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334797</xdr:colOff>
      <xdr:row>9</xdr:row>
      <xdr:rowOff>864984</xdr:rowOff>
    </xdr:from>
    <xdr:to>
      <xdr:col>4</xdr:col>
      <xdr:colOff>579362</xdr:colOff>
      <xdr:row>9</xdr:row>
      <xdr:rowOff>1224984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97" y="2112759"/>
          <a:ext cx="244565" cy="360000"/>
        </a:xfrm>
        <a:prstGeom prst="rect">
          <a:avLst/>
        </a:prstGeom>
      </xdr:spPr>
    </xdr:pic>
    <xdr:clientData/>
  </xdr:twoCellAnchor>
  <xdr:twoCellAnchor>
    <xdr:from>
      <xdr:col>4</xdr:col>
      <xdr:colOff>13095</xdr:colOff>
      <xdr:row>10</xdr:row>
      <xdr:rowOff>254231</xdr:rowOff>
    </xdr:from>
    <xdr:to>
      <xdr:col>4</xdr:col>
      <xdr:colOff>374360</xdr:colOff>
      <xdr:row>10</xdr:row>
      <xdr:rowOff>1385264</xdr:rowOff>
    </xdr:to>
    <xdr:sp macro="" textlink="">
      <xdr:nvSpPr>
        <xdr:cNvPr id="33" name="Полилиния 32"/>
        <xdr:cNvSpPr/>
      </xdr:nvSpPr>
      <xdr:spPr>
        <a:xfrm>
          <a:off x="2599499" y="3148366"/>
          <a:ext cx="361265" cy="1131033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34925">
          <a:solidFill>
            <a:schemeClr val="tx1"/>
          </a:solidFill>
          <a:headEnd type="none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820732</xdr:colOff>
      <xdr:row>10</xdr:row>
      <xdr:rowOff>250988</xdr:rowOff>
    </xdr:from>
    <xdr:to>
      <xdr:col>4</xdr:col>
      <xdr:colOff>2208</xdr:colOff>
      <xdr:row>10</xdr:row>
      <xdr:rowOff>1401593</xdr:rowOff>
    </xdr:to>
    <xdr:sp macro="" textlink="">
      <xdr:nvSpPr>
        <xdr:cNvPr id="34" name="Полилиния 33"/>
        <xdr:cNvSpPr/>
      </xdr:nvSpPr>
      <xdr:spPr>
        <a:xfrm flipH="1">
          <a:off x="2491270" y="3145123"/>
          <a:ext cx="97342" cy="1150605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19050">
          <a:solidFill>
            <a:schemeClr val="tx1"/>
          </a:solidFill>
          <a:headEnd type="none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703500</xdr:colOff>
      <xdr:row>10</xdr:row>
      <xdr:rowOff>250988</xdr:rowOff>
    </xdr:from>
    <xdr:to>
      <xdr:col>4</xdr:col>
      <xdr:colOff>2207</xdr:colOff>
      <xdr:row>10</xdr:row>
      <xdr:rowOff>1445136</xdr:rowOff>
    </xdr:to>
    <xdr:sp macro="" textlink="">
      <xdr:nvSpPr>
        <xdr:cNvPr id="35" name="Полилиния 34"/>
        <xdr:cNvSpPr/>
      </xdr:nvSpPr>
      <xdr:spPr>
        <a:xfrm flipH="1">
          <a:off x="2374038" y="3145123"/>
          <a:ext cx="214573" cy="1194148"/>
        </a:xfrm>
        <a:custGeom>
          <a:avLst/>
          <a:gdLst>
            <a:gd name="connsiteX0" fmla="*/ 0 w 295275"/>
            <a:gd name="connsiteY0" fmla="*/ 1133475 h 1133475"/>
            <a:gd name="connsiteX1" fmla="*/ 104775 w 295275"/>
            <a:gd name="connsiteY1" fmla="*/ 504825 h 1133475"/>
            <a:gd name="connsiteX2" fmla="*/ 295275 w 295275"/>
            <a:gd name="connsiteY2" fmla="*/ 0 h 1133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" h="1133475">
              <a:moveTo>
                <a:pt x="0" y="1133475"/>
              </a:moveTo>
              <a:cubicBezTo>
                <a:pt x="27781" y="913606"/>
                <a:pt x="55563" y="693737"/>
                <a:pt x="104775" y="504825"/>
              </a:cubicBezTo>
              <a:cubicBezTo>
                <a:pt x="153988" y="315912"/>
                <a:pt x="255588" y="88900"/>
                <a:pt x="295275" y="0"/>
              </a:cubicBezTo>
            </a:path>
          </a:pathLst>
        </a:custGeom>
        <a:noFill/>
        <a:ln w="19050">
          <a:solidFill>
            <a:schemeClr val="tx1"/>
          </a:solidFill>
          <a:headEnd type="none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908029</xdr:colOff>
      <xdr:row>10</xdr:row>
      <xdr:rowOff>1266256</xdr:rowOff>
    </xdr:from>
    <xdr:to>
      <xdr:col>4</xdr:col>
      <xdr:colOff>557533</xdr:colOff>
      <xdr:row>10</xdr:row>
      <xdr:rowOff>1405235</xdr:rowOff>
    </xdr:to>
    <xdr:cxnSp macro="">
      <xdr:nvCxnSpPr>
        <xdr:cNvPr id="36" name="Прямая соединительная линия 35"/>
        <xdr:cNvCxnSpPr/>
      </xdr:nvCxnSpPr>
      <xdr:spPr>
        <a:xfrm flipH="1">
          <a:off x="2578567" y="4160391"/>
          <a:ext cx="565370" cy="138979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586271</xdr:colOff>
      <xdr:row>10</xdr:row>
      <xdr:rowOff>402412</xdr:rowOff>
    </xdr:from>
    <xdr:to>
      <xdr:col>3</xdr:col>
      <xdr:colOff>909706</xdr:colOff>
      <xdr:row>10</xdr:row>
      <xdr:rowOff>1400234</xdr:rowOff>
    </xdr:to>
    <xdr:cxnSp macro="">
      <xdr:nvCxnSpPr>
        <xdr:cNvPr id="37" name="Прямая соединительная линия 36"/>
        <xdr:cNvCxnSpPr/>
      </xdr:nvCxnSpPr>
      <xdr:spPr>
        <a:xfrm flipH="1" flipV="1">
          <a:off x="2256809" y="3296547"/>
          <a:ext cx="323435" cy="997822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8909</xdr:colOff>
      <xdr:row>10</xdr:row>
      <xdr:rowOff>1417796</xdr:rowOff>
    </xdr:from>
    <xdr:to>
      <xdr:col>4</xdr:col>
      <xdr:colOff>528226</xdr:colOff>
      <xdr:row>10</xdr:row>
      <xdr:rowOff>1486063</xdr:rowOff>
    </xdr:to>
    <xdr:cxnSp macro="">
      <xdr:nvCxnSpPr>
        <xdr:cNvPr id="38" name="Прямая соединительная линия 37"/>
        <xdr:cNvCxnSpPr/>
      </xdr:nvCxnSpPr>
      <xdr:spPr>
        <a:xfrm flipH="1" flipV="1">
          <a:off x="2595313" y="4311931"/>
          <a:ext cx="519317" cy="68267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21337</xdr:colOff>
      <xdr:row>12</xdr:row>
      <xdr:rowOff>169966</xdr:rowOff>
    </xdr:from>
    <xdr:to>
      <xdr:col>4</xdr:col>
      <xdr:colOff>21337</xdr:colOff>
      <xdr:row>12</xdr:row>
      <xdr:rowOff>1429966</xdr:rowOff>
    </xdr:to>
    <xdr:cxnSp macro="">
      <xdr:nvCxnSpPr>
        <xdr:cNvPr id="40" name="Прямая соединительная линия 39"/>
        <xdr:cNvCxnSpPr/>
      </xdr:nvCxnSpPr>
      <xdr:spPr>
        <a:xfrm flipV="1">
          <a:off x="2608126" y="6381269"/>
          <a:ext cx="0" cy="126000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</xdr:row>
      <xdr:rowOff>816009</xdr:rowOff>
    </xdr:from>
    <xdr:to>
      <xdr:col>4</xdr:col>
      <xdr:colOff>602775</xdr:colOff>
      <xdr:row>12</xdr:row>
      <xdr:rowOff>816009</xdr:rowOff>
    </xdr:to>
    <xdr:cxnSp macro="">
      <xdr:nvCxnSpPr>
        <xdr:cNvPr id="41" name="Прямая соединительная линия 40"/>
        <xdr:cNvCxnSpPr/>
      </xdr:nvCxnSpPr>
      <xdr:spPr>
        <a:xfrm>
          <a:off x="1933575" y="7007259"/>
          <a:ext cx="126000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111563</xdr:colOff>
      <xdr:row>12</xdr:row>
      <xdr:rowOff>896133</xdr:rowOff>
    </xdr:from>
    <xdr:to>
      <xdr:col>4</xdr:col>
      <xdr:colOff>219563</xdr:colOff>
      <xdr:row>12</xdr:row>
      <xdr:rowOff>1004133</xdr:rowOff>
    </xdr:to>
    <xdr:sp macro="" textlink="">
      <xdr:nvSpPr>
        <xdr:cNvPr id="42" name="Овал 41"/>
        <xdr:cNvSpPr>
          <a:spLocks noChangeAspect="1"/>
        </xdr:cNvSpPr>
      </xdr:nvSpPr>
      <xdr:spPr>
        <a:xfrm>
          <a:off x="2702363" y="708738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26590</xdr:colOff>
      <xdr:row>10</xdr:row>
      <xdr:rowOff>233028</xdr:rowOff>
    </xdr:from>
    <xdr:to>
      <xdr:col>6</xdr:col>
      <xdr:colOff>641941</xdr:colOff>
      <xdr:row>10</xdr:row>
      <xdr:rowOff>843241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6898" y="3127163"/>
          <a:ext cx="615351" cy="610213"/>
        </a:xfrm>
        <a:prstGeom prst="rect">
          <a:avLst/>
        </a:prstGeom>
      </xdr:spPr>
    </xdr:pic>
    <xdr:clientData/>
  </xdr:twoCellAnchor>
  <xdr:twoCellAnchor>
    <xdr:from>
      <xdr:col>4</xdr:col>
      <xdr:colOff>15276</xdr:colOff>
      <xdr:row>10</xdr:row>
      <xdr:rowOff>441439</xdr:rowOff>
    </xdr:from>
    <xdr:to>
      <xdr:col>4</xdr:col>
      <xdr:colOff>123276</xdr:colOff>
      <xdr:row>10</xdr:row>
      <xdr:rowOff>549439</xdr:rowOff>
    </xdr:to>
    <xdr:sp macro="" textlink="">
      <xdr:nvSpPr>
        <xdr:cNvPr id="72" name="Овал 71"/>
        <xdr:cNvSpPr>
          <a:spLocks noChangeAspect="1"/>
        </xdr:cNvSpPr>
      </xdr:nvSpPr>
      <xdr:spPr>
        <a:xfrm>
          <a:off x="2606076" y="3337039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3321</xdr:colOff>
      <xdr:row>12</xdr:row>
      <xdr:rowOff>698241</xdr:rowOff>
    </xdr:from>
    <xdr:to>
      <xdr:col>4</xdr:col>
      <xdr:colOff>134543</xdr:colOff>
      <xdr:row>12</xdr:row>
      <xdr:rowOff>820016</xdr:rowOff>
    </xdr:to>
    <xdr:grpSp>
      <xdr:nvGrpSpPr>
        <xdr:cNvPr id="73" name="Группа 72"/>
        <xdr:cNvGrpSpPr/>
      </xdr:nvGrpSpPr>
      <xdr:grpSpPr>
        <a:xfrm rot="10800000" flipV="1">
          <a:off x="2594121" y="6889491"/>
          <a:ext cx="131222" cy="121775"/>
          <a:chOff x="1132242" y="1306343"/>
          <a:chExt cx="123151" cy="128030"/>
        </a:xfrm>
      </xdr:grpSpPr>
      <xdr:cxnSp macro="">
        <xdr:nvCxnSpPr>
          <xdr:cNvPr id="74" name="Прямая соединительная линия 7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" name="Прямоугольник 7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866821</xdr:colOff>
      <xdr:row>13</xdr:row>
      <xdr:rowOff>1010995</xdr:rowOff>
    </xdr:from>
    <xdr:to>
      <xdr:col>4</xdr:col>
      <xdr:colOff>83131</xdr:colOff>
      <xdr:row>13</xdr:row>
      <xdr:rowOff>1133756</xdr:rowOff>
    </xdr:to>
    <xdr:grpSp>
      <xdr:nvGrpSpPr>
        <xdr:cNvPr id="79" name="Группа 78"/>
        <xdr:cNvGrpSpPr/>
      </xdr:nvGrpSpPr>
      <xdr:grpSpPr>
        <a:xfrm>
          <a:off x="2543221" y="8850070"/>
          <a:ext cx="130710" cy="122761"/>
          <a:chOff x="1132242" y="1306343"/>
          <a:chExt cx="123151" cy="128030"/>
        </a:xfrm>
      </xdr:grpSpPr>
      <xdr:cxnSp macro="">
        <xdr:nvCxnSpPr>
          <xdr:cNvPr id="80" name="Прямая соединительная линия 7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1" name="Прямоугольник 8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193495</xdr:colOff>
      <xdr:row>9</xdr:row>
      <xdr:rowOff>380609</xdr:rowOff>
    </xdr:from>
    <xdr:to>
      <xdr:col>4</xdr:col>
      <xdr:colOff>317474</xdr:colOff>
      <xdr:row>9</xdr:row>
      <xdr:rowOff>829834</xdr:rowOff>
    </xdr:to>
    <xdr:grpSp>
      <xdr:nvGrpSpPr>
        <xdr:cNvPr id="89" name="Группа 88"/>
        <xdr:cNvGrpSpPr>
          <a:grpSpLocks noChangeAspect="1"/>
        </xdr:cNvGrpSpPr>
      </xdr:nvGrpSpPr>
      <xdr:grpSpPr>
        <a:xfrm>
          <a:off x="2784295" y="1628384"/>
          <a:ext cx="123979" cy="449225"/>
          <a:chOff x="2780284" y="1633039"/>
          <a:chExt cx="123979" cy="449225"/>
        </a:xfrm>
      </xdr:grpSpPr>
      <xdr:grpSp>
        <xdr:nvGrpSpPr>
          <xdr:cNvPr id="85" name="Группа 84"/>
          <xdr:cNvGrpSpPr/>
        </xdr:nvGrpSpPr>
        <xdr:grpSpPr>
          <a:xfrm>
            <a:off x="2780284" y="1633039"/>
            <a:ext cx="123979" cy="166483"/>
            <a:chOff x="3819511" y="1748342"/>
            <a:chExt cx="123979" cy="166483"/>
          </a:xfrm>
        </xdr:grpSpPr>
        <xdr:sp macro="" textlink="">
          <xdr:nvSpPr>
            <xdr:cNvPr id="25" name="Овал 24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 rot="5400000" flipH="1">
              <a:off x="3871490" y="1748342"/>
              <a:ext cx="72000" cy="72000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26" name="Прямая со стрелкой 25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rot="5400000">
              <a:off x="3802103" y="1825417"/>
              <a:ext cx="106816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86" name="Группа 85"/>
          <xdr:cNvGrpSpPr/>
        </xdr:nvGrpSpPr>
        <xdr:grpSpPr>
          <a:xfrm flipV="1">
            <a:off x="2780284" y="1915781"/>
            <a:ext cx="123979" cy="166483"/>
            <a:chOff x="3819511" y="1748342"/>
            <a:chExt cx="123979" cy="166483"/>
          </a:xfrm>
        </xdr:grpSpPr>
        <xdr:sp macro="" textlink="">
          <xdr:nvSpPr>
            <xdr:cNvPr id="87" name="Овал 86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 rot="5400000" flipH="1">
              <a:off x="3871490" y="1748342"/>
              <a:ext cx="72000" cy="72000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88" name="Прямая со стрелкой 87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rot="5400000">
              <a:off x="3802103" y="1825417"/>
              <a:ext cx="106816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861769</xdr:colOff>
      <xdr:row>10</xdr:row>
      <xdr:rowOff>1397057</xdr:rowOff>
    </xdr:from>
    <xdr:to>
      <xdr:col>4</xdr:col>
      <xdr:colOff>58682</xdr:colOff>
      <xdr:row>10</xdr:row>
      <xdr:rowOff>1505057</xdr:rowOff>
    </xdr:to>
    <xdr:sp macro="" textlink="">
      <xdr:nvSpPr>
        <xdr:cNvPr id="90" name="Овал 89"/>
        <xdr:cNvSpPr>
          <a:spLocks noChangeAspect="1"/>
        </xdr:cNvSpPr>
      </xdr:nvSpPr>
      <xdr:spPr>
        <a:xfrm>
          <a:off x="2534856" y="4287687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7485</xdr:colOff>
      <xdr:row>10</xdr:row>
      <xdr:rowOff>1290150</xdr:rowOff>
    </xdr:from>
    <xdr:to>
      <xdr:col>4</xdr:col>
      <xdr:colOff>141451</xdr:colOff>
      <xdr:row>10</xdr:row>
      <xdr:rowOff>1416461</xdr:rowOff>
    </xdr:to>
    <xdr:grpSp>
      <xdr:nvGrpSpPr>
        <xdr:cNvPr id="91" name="Группа 90"/>
        <xdr:cNvGrpSpPr/>
      </xdr:nvGrpSpPr>
      <xdr:grpSpPr>
        <a:xfrm flipH="1">
          <a:off x="2598285" y="4185750"/>
          <a:ext cx="133966" cy="126311"/>
          <a:chOff x="1132242" y="1306343"/>
          <a:chExt cx="123151" cy="128030"/>
        </a:xfrm>
      </xdr:grpSpPr>
      <xdr:cxnSp macro="">
        <xdr:nvCxnSpPr>
          <xdr:cNvPr id="92" name="Прямая соединительная линия 9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3" name="Прямоугольник 9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2</xdr:col>
      <xdr:colOff>476250</xdr:colOff>
      <xdr:row>11</xdr:row>
      <xdr:rowOff>571500</xdr:rowOff>
    </xdr:from>
    <xdr:to>
      <xdr:col>5</xdr:col>
      <xdr:colOff>141079</xdr:colOff>
      <xdr:row>12</xdr:row>
      <xdr:rowOff>254004</xdr:rowOff>
    </xdr:to>
    <xdr:grpSp>
      <xdr:nvGrpSpPr>
        <xdr:cNvPr id="103" name="Группа 102"/>
        <xdr:cNvGrpSpPr/>
      </xdr:nvGrpSpPr>
      <xdr:grpSpPr>
        <a:xfrm>
          <a:off x="1504950" y="5114925"/>
          <a:ext cx="2141329" cy="1330329"/>
          <a:chOff x="1503293" y="5110370"/>
          <a:chExt cx="2133047" cy="1330743"/>
        </a:xfrm>
      </xdr:grpSpPr>
      <xdr:sp macro="" textlink="">
        <xdr:nvSpPr>
          <xdr:cNvPr id="95" name="Дуга 94"/>
          <xdr:cNvSpPr/>
        </xdr:nvSpPr>
        <xdr:spPr>
          <a:xfrm flipH="1">
            <a:off x="2566140" y="5173739"/>
            <a:ext cx="1070200" cy="1267374"/>
          </a:xfrm>
          <a:prstGeom prst="arc">
            <a:avLst>
              <a:gd name="adj1" fmla="val 16175007"/>
              <a:gd name="adj2" fmla="val 0"/>
            </a:avLst>
          </a:prstGeom>
          <a:ln w="34925">
            <a:solidFill>
              <a:schemeClr val="tx1"/>
            </a:solidFill>
            <a:headEnd type="triangl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6" name="Дуга 95"/>
          <xdr:cNvSpPr/>
        </xdr:nvSpPr>
        <xdr:spPr>
          <a:xfrm>
            <a:off x="1503293" y="5155275"/>
            <a:ext cx="1061063" cy="1267374"/>
          </a:xfrm>
          <a:prstGeom prst="arc">
            <a:avLst>
              <a:gd name="adj1" fmla="val 16602765"/>
              <a:gd name="adj2" fmla="val 0"/>
            </a:avLst>
          </a:prstGeom>
          <a:ln w="19050">
            <a:solidFill>
              <a:schemeClr val="tx1"/>
            </a:solidFill>
            <a:headEnd type="none" w="med" len="lg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7" name="Овал 96"/>
          <xdr:cNvSpPr/>
        </xdr:nvSpPr>
        <xdr:spPr>
          <a:xfrm>
            <a:off x="2409581" y="5111889"/>
            <a:ext cx="328323" cy="325550"/>
          </a:xfrm>
          <a:prstGeom prst="ellipse">
            <a:avLst/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8" name="Овал 97"/>
          <xdr:cNvSpPr>
            <a:spLocks noChangeAspect="1"/>
          </xdr:cNvSpPr>
        </xdr:nvSpPr>
        <xdr:spPr>
          <a:xfrm>
            <a:off x="2520713" y="5718440"/>
            <a:ext cx="104744" cy="107735"/>
          </a:xfrm>
          <a:prstGeom prst="ellipse">
            <a:avLst/>
          </a:prstGeom>
          <a:solidFill>
            <a:schemeClr val="tx1"/>
          </a:solidFill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grpSp>
        <xdr:nvGrpSpPr>
          <xdr:cNvPr id="99" name="Группа 98"/>
          <xdr:cNvGrpSpPr/>
        </xdr:nvGrpSpPr>
        <xdr:grpSpPr>
          <a:xfrm flipH="1">
            <a:off x="2567641" y="5635611"/>
            <a:ext cx="127066" cy="127784"/>
            <a:chOff x="1132242" y="1306343"/>
            <a:chExt cx="123151" cy="128030"/>
          </a:xfrm>
        </xdr:grpSpPr>
        <xdr:cxnSp macro="">
          <xdr:nvCxnSpPr>
            <xdr:cNvPr id="101" name="Прямая соединительная линия 100"/>
            <xdr:cNvCxnSpPr/>
          </xdr:nvCxnSpPr>
          <xdr:spPr>
            <a:xfrm flipH="1" flipV="1">
              <a:off x="1185595" y="1363552"/>
              <a:ext cx="69798" cy="70821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2" name="Прямоугольник 101"/>
            <xdr:cNvSpPr/>
          </xdr:nvSpPr>
          <xdr:spPr>
            <a:xfrm flipH="1">
              <a:off x="1132242" y="1306343"/>
              <a:ext cx="58104" cy="59432"/>
            </a:xfrm>
            <a:prstGeom prst="rect">
              <a:avLst/>
            </a:prstGeom>
            <a:solidFill>
              <a:schemeClr val="bg1">
                <a:lumMod val="75000"/>
              </a:schemeClr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cxnSp macro="">
        <xdr:nvCxnSpPr>
          <xdr:cNvPr id="100" name="Прямая соединительная линия 99"/>
          <xdr:cNvCxnSpPr/>
        </xdr:nvCxnSpPr>
        <xdr:spPr>
          <a:xfrm>
            <a:off x="2097026" y="5110370"/>
            <a:ext cx="1039654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107674</xdr:colOff>
      <xdr:row>12</xdr:row>
      <xdr:rowOff>187601</xdr:rowOff>
    </xdr:from>
    <xdr:to>
      <xdr:col>6</xdr:col>
      <xdr:colOff>540230</xdr:colOff>
      <xdr:row>12</xdr:row>
      <xdr:rowOff>799601</xdr:rowOff>
    </xdr:to>
    <xdr:grpSp>
      <xdr:nvGrpSpPr>
        <xdr:cNvPr id="104" name="Группа 103"/>
        <xdr:cNvGrpSpPr>
          <a:grpSpLocks noChangeAspect="1"/>
        </xdr:cNvGrpSpPr>
      </xdr:nvGrpSpPr>
      <xdr:grpSpPr>
        <a:xfrm flipH="1">
          <a:off x="4327249" y="6378851"/>
          <a:ext cx="432556" cy="612000"/>
          <a:chOff x="2614271" y="8502585"/>
          <a:chExt cx="716548" cy="1013807"/>
        </a:xfrm>
      </xdr:grpSpPr>
      <xdr:grpSp>
        <xdr:nvGrpSpPr>
          <xdr:cNvPr id="105" name="Группа 104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110" name="Прямоугольник 109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1" name="Овал 110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2" name="Овал 111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3" name="Овал 112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106" name="Группа 105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107" name="Прямоугольник 106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08" name="Стрелка вправо 107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09" name="Овал 108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880811</xdr:colOff>
      <xdr:row>12</xdr:row>
      <xdr:rowOff>1390650</xdr:rowOff>
    </xdr:from>
    <xdr:to>
      <xdr:col>4</xdr:col>
      <xdr:colOff>74258</xdr:colOff>
      <xdr:row>12</xdr:row>
      <xdr:rowOff>1498650</xdr:rowOff>
    </xdr:to>
    <xdr:sp macro="" textlink="">
      <xdr:nvSpPr>
        <xdr:cNvPr id="115" name="Овал 114"/>
        <xdr:cNvSpPr>
          <a:spLocks noChangeAspect="1"/>
        </xdr:cNvSpPr>
      </xdr:nvSpPr>
      <xdr:spPr>
        <a:xfrm>
          <a:off x="2555206" y="7601953"/>
          <a:ext cx="10584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186106</xdr:colOff>
      <xdr:row>13</xdr:row>
      <xdr:rowOff>1086635</xdr:rowOff>
    </xdr:from>
    <xdr:to>
      <xdr:col>4</xdr:col>
      <xdr:colOff>294106</xdr:colOff>
      <xdr:row>13</xdr:row>
      <xdr:rowOff>1194635</xdr:rowOff>
    </xdr:to>
    <xdr:sp macro="" textlink="">
      <xdr:nvSpPr>
        <xdr:cNvPr id="120" name="Овал 119"/>
        <xdr:cNvSpPr>
          <a:spLocks noChangeAspect="1"/>
        </xdr:cNvSpPr>
      </xdr:nvSpPr>
      <xdr:spPr>
        <a:xfrm>
          <a:off x="2770280" y="8921983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72885</xdr:colOff>
      <xdr:row>13</xdr:row>
      <xdr:rowOff>1407215</xdr:rowOff>
    </xdr:from>
    <xdr:to>
      <xdr:col>4</xdr:col>
      <xdr:colOff>180885</xdr:colOff>
      <xdr:row>13</xdr:row>
      <xdr:rowOff>1515215</xdr:rowOff>
    </xdr:to>
    <xdr:sp macro="" textlink="">
      <xdr:nvSpPr>
        <xdr:cNvPr id="121" name="Овал 120"/>
        <xdr:cNvSpPr>
          <a:spLocks noChangeAspect="1"/>
        </xdr:cNvSpPr>
      </xdr:nvSpPr>
      <xdr:spPr>
        <a:xfrm>
          <a:off x="2663685" y="9246290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107674</xdr:colOff>
      <xdr:row>13</xdr:row>
      <xdr:rowOff>187601</xdr:rowOff>
    </xdr:from>
    <xdr:to>
      <xdr:col>6</xdr:col>
      <xdr:colOff>540230</xdr:colOff>
      <xdr:row>13</xdr:row>
      <xdr:rowOff>799601</xdr:rowOff>
    </xdr:to>
    <xdr:grpSp>
      <xdr:nvGrpSpPr>
        <xdr:cNvPr id="125" name="Группа 124"/>
        <xdr:cNvGrpSpPr>
          <a:grpSpLocks noChangeAspect="1"/>
        </xdr:cNvGrpSpPr>
      </xdr:nvGrpSpPr>
      <xdr:grpSpPr>
        <a:xfrm flipH="1">
          <a:off x="4327249" y="8026676"/>
          <a:ext cx="432556" cy="612000"/>
          <a:chOff x="2614271" y="8502585"/>
          <a:chExt cx="716548" cy="1013807"/>
        </a:xfrm>
      </xdr:grpSpPr>
      <xdr:grpSp>
        <xdr:nvGrpSpPr>
          <xdr:cNvPr id="126" name="Группа 125"/>
          <xdr:cNvGrpSpPr/>
        </xdr:nvGrpSpPr>
        <xdr:grpSpPr>
          <a:xfrm>
            <a:off x="2971800" y="8502585"/>
            <a:ext cx="359019" cy="1013807"/>
            <a:chOff x="2974731" y="8507714"/>
            <a:chExt cx="359019" cy="1014540"/>
          </a:xfrm>
        </xdr:grpSpPr>
        <xdr:sp macro="" textlink="">
          <xdr:nvSpPr>
            <xdr:cNvPr id="131" name="Прямоугольник 130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2974731" y="8507714"/>
              <a:ext cx="359019" cy="101454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32" name="Овал 131">
              <a:extLst>
                <a:ext uri="{FF2B5EF4-FFF2-40B4-BE49-F238E27FC236}">
                  <a16:creationId xmlns:a16="http://schemas.microsoft.com/office/drawing/2014/main" id="{00000000-0008-0000-0600-000047000000}"/>
                </a:ext>
              </a:extLst>
            </xdr:cNvPr>
            <xdr:cNvSpPr/>
          </xdr:nvSpPr>
          <xdr:spPr>
            <a:xfrm flipH="1">
              <a:off x="3026098" y="8563261"/>
              <a:ext cx="256285" cy="249524"/>
            </a:xfrm>
            <a:prstGeom prst="ellipse">
              <a:avLst/>
            </a:prstGeom>
            <a:solidFill>
              <a:srgbClr val="FF00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33" name="Овал 132">
              <a:extLst>
                <a:ext uri="{FF2B5EF4-FFF2-40B4-BE49-F238E27FC236}">
                  <a16:creationId xmlns:a16="http://schemas.microsoft.com/office/drawing/2014/main" id="{00000000-0008-0000-0600-000048000000}"/>
                </a:ext>
              </a:extLst>
            </xdr:cNvPr>
            <xdr:cNvSpPr/>
          </xdr:nvSpPr>
          <xdr:spPr>
            <a:xfrm flipH="1">
              <a:off x="3026098" y="8890224"/>
              <a:ext cx="256285" cy="249524"/>
            </a:xfrm>
            <a:prstGeom prst="ellipse">
              <a:avLst/>
            </a:prstGeom>
            <a:solidFill>
              <a:srgbClr val="FFFF0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34" name="Овал 133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3026098" y="9217187"/>
              <a:ext cx="256285" cy="249524"/>
            </a:xfrm>
            <a:prstGeom prst="ellipse">
              <a:avLst/>
            </a:prstGeom>
            <a:solidFill>
              <a:srgbClr val="00B050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grpSp>
        <xdr:nvGrpSpPr>
          <xdr:cNvPr id="127" name="Группа 126"/>
          <xdr:cNvGrpSpPr/>
        </xdr:nvGrpSpPr>
        <xdr:grpSpPr>
          <a:xfrm>
            <a:off x="2614271" y="9156392"/>
            <a:ext cx="359019" cy="360000"/>
            <a:chOff x="4484078" y="9232460"/>
            <a:chExt cx="359019" cy="360000"/>
          </a:xfrm>
        </xdr:grpSpPr>
        <xdr:sp macro="" textlink="">
          <xdr:nvSpPr>
            <xdr:cNvPr id="128" name="Прямоугольник 127">
              <a:extLst>
                <a:ext uri="{FF2B5EF4-FFF2-40B4-BE49-F238E27FC236}">
                  <a16:creationId xmlns:a16="http://schemas.microsoft.com/office/drawing/2014/main" id="{00000000-0008-0000-0600-000046000000}"/>
                </a:ext>
              </a:extLst>
            </xdr:cNvPr>
            <xdr:cNvSpPr/>
          </xdr:nvSpPr>
          <xdr:spPr>
            <a:xfrm flipH="1">
              <a:off x="4484078" y="9232460"/>
              <a:ext cx="359019" cy="360000"/>
            </a:xfrm>
            <a:prstGeom prst="rect">
              <a:avLst/>
            </a:prstGeom>
            <a:solidFill>
              <a:schemeClr val="tx1"/>
            </a:solidFill>
            <a:ln w="31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9" name="Стрелка вправо 128"/>
            <xdr:cNvSpPr/>
          </xdr:nvSpPr>
          <xdr:spPr>
            <a:xfrm flipH="1">
              <a:off x="4557347" y="9306220"/>
              <a:ext cx="212481" cy="212481"/>
            </a:xfrm>
            <a:prstGeom prst="rightArrow">
              <a:avLst/>
            </a:prstGeom>
            <a:solidFill>
              <a:srgbClr val="00B050"/>
            </a:solidFill>
            <a:ln w="19050">
              <a:noFill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30" name="Овал 129">
              <a:extLst>
                <a:ext uri="{FF2B5EF4-FFF2-40B4-BE49-F238E27FC236}">
                  <a16:creationId xmlns:a16="http://schemas.microsoft.com/office/drawing/2014/main" id="{00000000-0008-0000-0600-000049000000}"/>
                </a:ext>
              </a:extLst>
            </xdr:cNvPr>
            <xdr:cNvSpPr/>
          </xdr:nvSpPr>
          <xdr:spPr>
            <a:xfrm flipH="1">
              <a:off x="4535445" y="9287698"/>
              <a:ext cx="256285" cy="249524"/>
            </a:xfrm>
            <a:prstGeom prst="ellipse">
              <a:avLst/>
            </a:prstGeom>
            <a:noFill/>
            <a:ln w="12700">
              <a:solidFill>
                <a:srgbClr val="00B05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3</xdr:col>
      <xdr:colOff>866636</xdr:colOff>
      <xdr:row>14</xdr:row>
      <xdr:rowOff>1362830</xdr:rowOff>
    </xdr:from>
    <xdr:to>
      <xdr:col>4</xdr:col>
      <xdr:colOff>60083</xdr:colOff>
      <xdr:row>14</xdr:row>
      <xdr:rowOff>1470830</xdr:rowOff>
    </xdr:to>
    <xdr:sp macro="" textlink="">
      <xdr:nvSpPr>
        <xdr:cNvPr id="135" name="Овал 134"/>
        <xdr:cNvSpPr>
          <a:spLocks noChangeAspect="1"/>
        </xdr:cNvSpPr>
      </xdr:nvSpPr>
      <xdr:spPr>
        <a:xfrm>
          <a:off x="2541192" y="10887830"/>
          <a:ext cx="10754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6313</xdr:colOff>
      <xdr:row>14</xdr:row>
      <xdr:rowOff>158750</xdr:rowOff>
    </xdr:from>
    <xdr:to>
      <xdr:col>4</xdr:col>
      <xdr:colOff>6313</xdr:colOff>
      <xdr:row>14</xdr:row>
      <xdr:rowOff>1419225</xdr:rowOff>
    </xdr:to>
    <xdr:cxnSp macro="">
      <xdr:nvCxnSpPr>
        <xdr:cNvPr id="136" name="Прямая соединительная линия 135"/>
        <xdr:cNvCxnSpPr/>
      </xdr:nvCxnSpPr>
      <xdr:spPr>
        <a:xfrm flipV="1">
          <a:off x="2594962" y="9683750"/>
          <a:ext cx="0" cy="1260475"/>
        </a:xfrm>
        <a:prstGeom prst="line">
          <a:avLst/>
        </a:prstGeom>
        <a:ln w="34925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913515</xdr:colOff>
      <xdr:row>14</xdr:row>
      <xdr:rowOff>611241</xdr:rowOff>
    </xdr:from>
    <xdr:to>
      <xdr:col>4</xdr:col>
      <xdr:colOff>450292</xdr:colOff>
      <xdr:row>14</xdr:row>
      <xdr:rowOff>611241</xdr:rowOff>
    </xdr:to>
    <xdr:cxnSp macro="">
      <xdr:nvCxnSpPr>
        <xdr:cNvPr id="137" name="Прямая соединительная линия 136"/>
        <xdr:cNvCxnSpPr/>
      </xdr:nvCxnSpPr>
      <xdr:spPr>
        <a:xfrm flipH="1">
          <a:off x="2600801" y="1863098"/>
          <a:ext cx="448455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9683</xdr:colOff>
      <xdr:row>14</xdr:row>
      <xdr:rowOff>938458</xdr:rowOff>
    </xdr:from>
    <xdr:to>
      <xdr:col>4</xdr:col>
      <xdr:colOff>143649</xdr:colOff>
      <xdr:row>14</xdr:row>
      <xdr:rowOff>1064769</xdr:rowOff>
    </xdr:to>
    <xdr:grpSp>
      <xdr:nvGrpSpPr>
        <xdr:cNvPr id="138" name="Группа 137"/>
        <xdr:cNvGrpSpPr/>
      </xdr:nvGrpSpPr>
      <xdr:grpSpPr>
        <a:xfrm flipH="1">
          <a:off x="2600483" y="10425358"/>
          <a:ext cx="133966" cy="126311"/>
          <a:chOff x="1132242" y="1306343"/>
          <a:chExt cx="123151" cy="128030"/>
        </a:xfrm>
      </xdr:grpSpPr>
      <xdr:cxnSp macro="">
        <xdr:nvCxnSpPr>
          <xdr:cNvPr id="139" name="Прямая соединительная линия 138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0" name="Прямоугольник 139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oneCellAnchor>
    <xdr:from>
      <xdr:col>4</xdr:col>
      <xdr:colOff>334797</xdr:colOff>
      <xdr:row>14</xdr:row>
      <xdr:rowOff>864984</xdr:rowOff>
    </xdr:from>
    <xdr:ext cx="244565" cy="36000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61" y="2116841"/>
          <a:ext cx="244565" cy="360000"/>
        </a:xfrm>
        <a:prstGeom prst="rect">
          <a:avLst/>
        </a:prstGeom>
      </xdr:spPr>
    </xdr:pic>
    <xdr:clientData/>
  </xdr:oneCellAnchor>
  <xdr:twoCellAnchor>
    <xdr:from>
      <xdr:col>4</xdr:col>
      <xdr:colOff>193495</xdr:colOff>
      <xdr:row>14</xdr:row>
      <xdr:rowOff>380609</xdr:rowOff>
    </xdr:from>
    <xdr:to>
      <xdr:col>4</xdr:col>
      <xdr:colOff>317474</xdr:colOff>
      <xdr:row>14</xdr:row>
      <xdr:rowOff>829834</xdr:rowOff>
    </xdr:to>
    <xdr:grpSp>
      <xdr:nvGrpSpPr>
        <xdr:cNvPr id="142" name="Группа 141"/>
        <xdr:cNvGrpSpPr>
          <a:grpSpLocks noChangeAspect="1"/>
        </xdr:cNvGrpSpPr>
      </xdr:nvGrpSpPr>
      <xdr:grpSpPr>
        <a:xfrm>
          <a:off x="2784295" y="9867509"/>
          <a:ext cx="123979" cy="449225"/>
          <a:chOff x="2780284" y="1633039"/>
          <a:chExt cx="123979" cy="449225"/>
        </a:xfrm>
      </xdr:grpSpPr>
      <xdr:grpSp>
        <xdr:nvGrpSpPr>
          <xdr:cNvPr id="143" name="Группа 142"/>
          <xdr:cNvGrpSpPr/>
        </xdr:nvGrpSpPr>
        <xdr:grpSpPr>
          <a:xfrm>
            <a:off x="2780284" y="1633039"/>
            <a:ext cx="123979" cy="166483"/>
            <a:chOff x="3819511" y="1748342"/>
            <a:chExt cx="123979" cy="166483"/>
          </a:xfrm>
        </xdr:grpSpPr>
        <xdr:sp macro="" textlink="">
          <xdr:nvSpPr>
            <xdr:cNvPr id="147" name="Овал 146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 rot="5400000" flipH="1">
              <a:off x="3871490" y="1748342"/>
              <a:ext cx="72000" cy="72000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148" name="Прямая со стрелкой 147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rot="5400000">
              <a:off x="3802103" y="1825417"/>
              <a:ext cx="106816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144" name="Группа 143"/>
          <xdr:cNvGrpSpPr/>
        </xdr:nvGrpSpPr>
        <xdr:grpSpPr>
          <a:xfrm flipV="1">
            <a:off x="2780284" y="1915781"/>
            <a:ext cx="123979" cy="166483"/>
            <a:chOff x="3819511" y="1748342"/>
            <a:chExt cx="123979" cy="166483"/>
          </a:xfrm>
        </xdr:grpSpPr>
        <xdr:sp macro="" textlink="">
          <xdr:nvSpPr>
            <xdr:cNvPr id="145" name="Овал 144">
              <a:extLst>
                <a:ext uri="{FF2B5EF4-FFF2-40B4-BE49-F238E27FC236}">
                  <a16:creationId xmlns:a16="http://schemas.microsoft.com/office/drawing/2014/main" id="{00000000-0008-0000-0600-000040000000}"/>
                </a:ext>
              </a:extLst>
            </xdr:cNvPr>
            <xdr:cNvSpPr/>
          </xdr:nvSpPr>
          <xdr:spPr>
            <a:xfrm rot="5400000" flipH="1">
              <a:off x="3871490" y="1748342"/>
              <a:ext cx="72000" cy="72000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  <a:prstDash val="solid"/>
              <a:tailEnd type="none" w="med" len="lg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clip" horzOverflow="clip" vert="horz" wrap="square" lIns="0" tIns="0" rIns="0" bIns="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 algn="ctr"/>
              <a:endParaRPr lang="ru-RU" sz="1000" b="1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cxnSp macro="">
          <xdr:nvCxnSpPr>
            <xdr:cNvPr id="146" name="Прямая со стрелкой 145">
              <a:extLst>
                <a:ext uri="{FF2B5EF4-FFF2-40B4-BE49-F238E27FC236}">
                  <a16:creationId xmlns:a16="http://schemas.microsoft.com/office/drawing/2014/main" id="{00000000-0008-0000-0600-000041000000}"/>
                </a:ext>
              </a:extLst>
            </xdr:cNvPr>
            <xdr:cNvCxnSpPr/>
          </xdr:nvCxnSpPr>
          <xdr:spPr>
            <a:xfrm rot="5400000">
              <a:off x="3802103" y="1825417"/>
              <a:ext cx="106816" cy="72000"/>
            </a:xfrm>
            <a:prstGeom prst="straightConnector1">
              <a:avLst/>
            </a:prstGeom>
            <a:ln w="19050">
              <a:tailEnd type="none" w="med" len="lg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13138</xdr:colOff>
      <xdr:row>12</xdr:row>
      <xdr:rowOff>814551</xdr:rowOff>
    </xdr:from>
    <xdr:to>
      <xdr:col>4</xdr:col>
      <xdr:colOff>617483</xdr:colOff>
      <xdr:row>12</xdr:row>
      <xdr:rowOff>1432034</xdr:rowOff>
    </xdr:to>
    <xdr:sp macro="" textlink="">
      <xdr:nvSpPr>
        <xdr:cNvPr id="6" name="Полилиния 5"/>
        <xdr:cNvSpPr/>
      </xdr:nvSpPr>
      <xdr:spPr>
        <a:xfrm>
          <a:off x="2607879" y="7002517"/>
          <a:ext cx="604345" cy="617483"/>
        </a:xfrm>
        <a:custGeom>
          <a:avLst/>
          <a:gdLst>
            <a:gd name="connsiteX0" fmla="*/ 0 w 604345"/>
            <a:gd name="connsiteY0" fmla="*/ 617483 h 617483"/>
            <a:gd name="connsiteX1" fmla="*/ 0 w 604345"/>
            <a:gd name="connsiteY1" fmla="*/ 0 h 617483"/>
            <a:gd name="connsiteX2" fmla="*/ 604345 w 604345"/>
            <a:gd name="connsiteY2" fmla="*/ 0 h 6174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04345" h="617483">
              <a:moveTo>
                <a:pt x="0" y="617483"/>
              </a:moveTo>
              <a:lnTo>
                <a:pt x="0" y="0"/>
              </a:lnTo>
              <a:lnTo>
                <a:pt x="60434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47915</xdr:colOff>
      <xdr:row>13</xdr:row>
      <xdr:rowOff>936355</xdr:rowOff>
    </xdr:from>
    <xdr:to>
      <xdr:col>4</xdr:col>
      <xdr:colOff>705258</xdr:colOff>
      <xdr:row>13</xdr:row>
      <xdr:rowOff>1429627</xdr:rowOff>
    </xdr:to>
    <xdr:sp macro="" textlink="">
      <xdr:nvSpPr>
        <xdr:cNvPr id="94" name="Полилиния 93"/>
        <xdr:cNvSpPr/>
      </xdr:nvSpPr>
      <xdr:spPr>
        <a:xfrm>
          <a:off x="2638715" y="8775430"/>
          <a:ext cx="657343" cy="493272"/>
        </a:xfrm>
        <a:custGeom>
          <a:avLst/>
          <a:gdLst>
            <a:gd name="connsiteX0" fmla="*/ 224166 w 224166"/>
            <a:gd name="connsiteY0" fmla="*/ 1150327 h 1150327"/>
            <a:gd name="connsiteX1" fmla="*/ 158223 w 224166"/>
            <a:gd name="connsiteY1" fmla="*/ 725365 h 1150327"/>
            <a:gd name="connsiteX2" fmla="*/ 19012 w 224166"/>
            <a:gd name="connsiteY2" fmla="*/ 439615 h 1150327"/>
            <a:gd name="connsiteX3" fmla="*/ 4358 w 224166"/>
            <a:gd name="connsiteY3" fmla="*/ 0 h 1150327"/>
            <a:gd name="connsiteX0" fmla="*/ 205921 w 606261"/>
            <a:gd name="connsiteY0" fmla="*/ 808487 h 808487"/>
            <a:gd name="connsiteX1" fmla="*/ 139978 w 606261"/>
            <a:gd name="connsiteY1" fmla="*/ 383525 h 808487"/>
            <a:gd name="connsiteX2" fmla="*/ 767 w 606261"/>
            <a:gd name="connsiteY2" fmla="*/ 97775 h 808487"/>
            <a:gd name="connsiteX3" fmla="*/ 606261 w 606261"/>
            <a:gd name="connsiteY3" fmla="*/ 0 h 808487"/>
            <a:gd name="connsiteX0" fmla="*/ 205154 w 205154"/>
            <a:gd name="connsiteY0" fmla="*/ 710712 h 710712"/>
            <a:gd name="connsiteX1" fmla="*/ 139211 w 205154"/>
            <a:gd name="connsiteY1" fmla="*/ 285750 h 710712"/>
            <a:gd name="connsiteX2" fmla="*/ 0 w 205154"/>
            <a:gd name="connsiteY2" fmla="*/ 0 h 710712"/>
            <a:gd name="connsiteX0" fmla="*/ 65943 w 65943"/>
            <a:gd name="connsiteY0" fmla="*/ 424962 h 424962"/>
            <a:gd name="connsiteX1" fmla="*/ 0 w 65943"/>
            <a:gd name="connsiteY1" fmla="*/ 0 h 424962"/>
            <a:gd name="connsiteX0" fmla="*/ 85323 w 85323"/>
            <a:gd name="connsiteY0" fmla="*/ 508923 h 508923"/>
            <a:gd name="connsiteX1" fmla="*/ 0 w 85323"/>
            <a:gd name="connsiteY1" fmla="*/ 0 h 508923"/>
            <a:gd name="connsiteX0" fmla="*/ 85323 w 85323"/>
            <a:gd name="connsiteY0" fmla="*/ 508923 h 508923"/>
            <a:gd name="connsiteX1" fmla="*/ 13560 w 85323"/>
            <a:gd name="connsiteY1" fmla="*/ 58586 h 508923"/>
            <a:gd name="connsiteX2" fmla="*/ 0 w 85323"/>
            <a:gd name="connsiteY2" fmla="*/ 0 h 508923"/>
            <a:gd name="connsiteX0" fmla="*/ 71763 w 489909"/>
            <a:gd name="connsiteY0" fmla="*/ 526610 h 526610"/>
            <a:gd name="connsiteX1" fmla="*/ 0 w 489909"/>
            <a:gd name="connsiteY1" fmla="*/ 76273 h 526610"/>
            <a:gd name="connsiteX2" fmla="*/ 488120 w 489909"/>
            <a:gd name="connsiteY2" fmla="*/ 0 h 526610"/>
            <a:gd name="connsiteX0" fmla="*/ 71763 w 488120"/>
            <a:gd name="connsiteY0" fmla="*/ 526610 h 526610"/>
            <a:gd name="connsiteX1" fmla="*/ 0 w 488120"/>
            <a:gd name="connsiteY1" fmla="*/ 76273 h 526610"/>
            <a:gd name="connsiteX2" fmla="*/ 488120 w 488120"/>
            <a:gd name="connsiteY2" fmla="*/ 0 h 526610"/>
            <a:gd name="connsiteX0" fmla="*/ 71763 w 592900"/>
            <a:gd name="connsiteY0" fmla="*/ 450337 h 450337"/>
            <a:gd name="connsiteX1" fmla="*/ 0 w 592900"/>
            <a:gd name="connsiteY1" fmla="*/ 0 h 450337"/>
            <a:gd name="connsiteX2" fmla="*/ 592900 w 592900"/>
            <a:gd name="connsiteY2" fmla="*/ 370 h 450337"/>
            <a:gd name="connsiteX0" fmla="*/ 71763 w 592900"/>
            <a:gd name="connsiteY0" fmla="*/ 450337 h 450337"/>
            <a:gd name="connsiteX1" fmla="*/ 0 w 592900"/>
            <a:gd name="connsiteY1" fmla="*/ 0 h 450337"/>
            <a:gd name="connsiteX2" fmla="*/ 592900 w 592900"/>
            <a:gd name="connsiteY2" fmla="*/ 370 h 450337"/>
            <a:gd name="connsiteX0" fmla="*/ 71763 w 592900"/>
            <a:gd name="connsiteY0" fmla="*/ 450337 h 450337"/>
            <a:gd name="connsiteX1" fmla="*/ 0 w 592900"/>
            <a:gd name="connsiteY1" fmla="*/ 0 h 450337"/>
            <a:gd name="connsiteX2" fmla="*/ 592900 w 592900"/>
            <a:gd name="connsiteY2" fmla="*/ 370 h 450337"/>
            <a:gd name="connsiteX0" fmla="*/ 71763 w 592900"/>
            <a:gd name="connsiteY0" fmla="*/ 450337 h 450337"/>
            <a:gd name="connsiteX1" fmla="*/ 0 w 592900"/>
            <a:gd name="connsiteY1" fmla="*/ 0 h 450337"/>
            <a:gd name="connsiteX2" fmla="*/ 592900 w 592900"/>
            <a:gd name="connsiteY2" fmla="*/ 370 h 450337"/>
            <a:gd name="connsiteX0" fmla="*/ 71763 w 592900"/>
            <a:gd name="connsiteY0" fmla="*/ 450337 h 450337"/>
            <a:gd name="connsiteX1" fmla="*/ 0 w 592900"/>
            <a:gd name="connsiteY1" fmla="*/ 0 h 450337"/>
            <a:gd name="connsiteX2" fmla="*/ 592900 w 592900"/>
            <a:gd name="connsiteY2" fmla="*/ 370 h 450337"/>
            <a:gd name="connsiteX0" fmla="*/ 71763 w 626353"/>
            <a:gd name="connsiteY0" fmla="*/ 450337 h 450337"/>
            <a:gd name="connsiteX1" fmla="*/ 0 w 626353"/>
            <a:gd name="connsiteY1" fmla="*/ 0 h 450337"/>
            <a:gd name="connsiteX2" fmla="*/ 626353 w 626353"/>
            <a:gd name="connsiteY2" fmla="*/ 370 h 450337"/>
            <a:gd name="connsiteX0" fmla="*/ 71763 w 646425"/>
            <a:gd name="connsiteY0" fmla="*/ 450337 h 450337"/>
            <a:gd name="connsiteX1" fmla="*/ 0 w 646425"/>
            <a:gd name="connsiteY1" fmla="*/ 0 h 450337"/>
            <a:gd name="connsiteX2" fmla="*/ 646425 w 646425"/>
            <a:gd name="connsiteY2" fmla="*/ 370 h 450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46425" h="450337">
              <a:moveTo>
                <a:pt x="71763" y="450337"/>
              </a:moveTo>
              <a:cubicBezTo>
                <a:pt x="51187" y="284696"/>
                <a:pt x="43992" y="156323"/>
                <a:pt x="0" y="0"/>
              </a:cubicBezTo>
              <a:lnTo>
                <a:pt x="646425" y="37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685800</xdr:colOff>
      <xdr:row>11</xdr:row>
      <xdr:rowOff>313824</xdr:rowOff>
    </xdr:from>
    <xdr:to>
      <xdr:col>3</xdr:col>
      <xdr:colOff>781050</xdr:colOff>
      <xdr:row>11</xdr:row>
      <xdr:rowOff>571000</xdr:rowOff>
    </xdr:to>
    <xdr:cxnSp macro="">
      <xdr:nvCxnSpPr>
        <xdr:cNvPr id="114" name="Прямая соединительная линия 113"/>
        <xdr:cNvCxnSpPr/>
      </xdr:nvCxnSpPr>
      <xdr:spPr>
        <a:xfrm flipH="1" flipV="1">
          <a:off x="2360195" y="4875798"/>
          <a:ext cx="95250" cy="257176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11</xdr:row>
      <xdr:rowOff>742950</xdr:rowOff>
    </xdr:from>
    <xdr:to>
      <xdr:col>4</xdr:col>
      <xdr:colOff>257175</xdr:colOff>
      <xdr:row>11</xdr:row>
      <xdr:rowOff>1047750</xdr:rowOff>
    </xdr:to>
    <xdr:cxnSp macro="">
      <xdr:nvCxnSpPr>
        <xdr:cNvPr id="116" name="Прямая соединительная линия 115"/>
        <xdr:cNvCxnSpPr/>
      </xdr:nvCxnSpPr>
      <xdr:spPr>
        <a:xfrm flipH="1" flipV="1">
          <a:off x="2819400" y="5286375"/>
          <a:ext cx="28575" cy="30480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266700</xdr:colOff>
      <xdr:row>0</xdr:row>
      <xdr:rowOff>142875</xdr:rowOff>
    </xdr:from>
    <xdr:to>
      <xdr:col>2</xdr:col>
      <xdr:colOff>382094</xdr:colOff>
      <xdr:row>3</xdr:row>
      <xdr:rowOff>99782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42875"/>
          <a:ext cx="1144094" cy="61413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20</xdr:row>
      <xdr:rowOff>95250</xdr:rowOff>
    </xdr:from>
    <xdr:to>
      <xdr:col>0</xdr:col>
      <xdr:colOff>6048720</xdr:colOff>
      <xdr:row>34</xdr:row>
      <xdr:rowOff>28204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5314950"/>
          <a:ext cx="5924895" cy="2599954"/>
        </a:xfrm>
        <a:prstGeom prst="rect">
          <a:avLst/>
        </a:prstGeom>
      </xdr:spPr>
    </xdr:pic>
    <xdr:clientData/>
  </xdr:twoCellAnchor>
  <xdr:twoCellAnchor>
    <xdr:from>
      <xdr:col>0</xdr:col>
      <xdr:colOff>1473188</xdr:colOff>
      <xdr:row>22</xdr:row>
      <xdr:rowOff>184194</xdr:rowOff>
    </xdr:from>
    <xdr:to>
      <xdr:col>0</xdr:col>
      <xdr:colOff>1631878</xdr:colOff>
      <xdr:row>24</xdr:row>
      <xdr:rowOff>83329</xdr:rowOff>
    </xdr:to>
    <xdr:sp macro="" textlink="">
      <xdr:nvSpPr>
        <xdr:cNvPr id="6" name="Прямоугольник 5"/>
        <xdr:cNvSpPr/>
      </xdr:nvSpPr>
      <xdr:spPr>
        <a:xfrm rot="-1800000">
          <a:off x="1473188" y="5975394"/>
          <a:ext cx="158690" cy="28013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1523079</xdr:colOff>
      <xdr:row>24</xdr:row>
      <xdr:rowOff>11905</xdr:rowOff>
    </xdr:from>
    <xdr:to>
      <xdr:col>0</xdr:col>
      <xdr:colOff>1854286</xdr:colOff>
      <xdr:row>25</xdr:row>
      <xdr:rowOff>150898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79" y="6184105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1470422</xdr:colOff>
      <xdr:row>24</xdr:row>
      <xdr:rowOff>41672</xdr:rowOff>
    </xdr:from>
    <xdr:to>
      <xdr:col>0</xdr:col>
      <xdr:colOff>3237309</xdr:colOff>
      <xdr:row>31</xdr:row>
      <xdr:rowOff>128587</xdr:rowOff>
    </xdr:to>
    <xdr:sp macro="" textlink="">
      <xdr:nvSpPr>
        <xdr:cNvPr id="7" name="Полилиния 6"/>
        <xdr:cNvSpPr/>
      </xdr:nvSpPr>
      <xdr:spPr>
        <a:xfrm>
          <a:off x="1470422" y="6024563"/>
          <a:ext cx="1766887" cy="1420415"/>
        </a:xfrm>
        <a:custGeom>
          <a:avLst/>
          <a:gdLst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504825 w 1981200"/>
            <a:gd name="connsiteY2" fmla="*/ 676275 h 2171700"/>
            <a:gd name="connsiteX3" fmla="*/ 0 w 1981200"/>
            <a:gd name="connsiteY3" fmla="*/ 0 h 2171700"/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844153 w 1981200"/>
            <a:gd name="connsiteY2" fmla="*/ 1872853 h 2171700"/>
            <a:gd name="connsiteX3" fmla="*/ 0 w 1981200"/>
            <a:gd name="connsiteY3" fmla="*/ 0 h 2171700"/>
            <a:gd name="connsiteX0" fmla="*/ 2449427 w 2449427"/>
            <a:gd name="connsiteY0" fmla="*/ 2171700 h 2171700"/>
            <a:gd name="connsiteX1" fmla="*/ 1354052 w 2449427"/>
            <a:gd name="connsiteY1" fmla="*/ 1152525 h 2171700"/>
            <a:gd name="connsiteX2" fmla="*/ 1312380 w 2449427"/>
            <a:gd name="connsiteY2" fmla="*/ 1872853 h 2171700"/>
            <a:gd name="connsiteX3" fmla="*/ 21742 w 2449427"/>
            <a:gd name="connsiteY3" fmla="*/ 1238249 h 2171700"/>
            <a:gd name="connsiteX4" fmla="*/ 468227 w 2449427"/>
            <a:gd name="connsiteY4" fmla="*/ 0 h 2171700"/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844153 w 1981200"/>
            <a:gd name="connsiteY2" fmla="*/ 1872853 h 2171700"/>
            <a:gd name="connsiteX3" fmla="*/ 309562 w 1981200"/>
            <a:gd name="connsiteY3" fmla="*/ 988217 h 2171700"/>
            <a:gd name="connsiteX4" fmla="*/ 0 w 1981200"/>
            <a:gd name="connsiteY4" fmla="*/ 0 h 2171700"/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844153 w 1981200"/>
            <a:gd name="connsiteY2" fmla="*/ 1872853 h 2171700"/>
            <a:gd name="connsiteX3" fmla="*/ 0 w 1981200"/>
            <a:gd name="connsiteY3" fmla="*/ 0 h 2171700"/>
            <a:gd name="connsiteX0" fmla="*/ 1981200 w 1981200"/>
            <a:gd name="connsiteY0" fmla="*/ 1153716 h 1153716"/>
            <a:gd name="connsiteX1" fmla="*/ 885825 w 1981200"/>
            <a:gd name="connsiteY1" fmla="*/ 134541 h 1153716"/>
            <a:gd name="connsiteX2" fmla="*/ 844153 w 1981200"/>
            <a:gd name="connsiteY2" fmla="*/ 854869 h 1153716"/>
            <a:gd name="connsiteX3" fmla="*/ 0 w 1981200"/>
            <a:gd name="connsiteY3" fmla="*/ 0 h 1153716"/>
            <a:gd name="connsiteX0" fmla="*/ 1897856 w 1897856"/>
            <a:gd name="connsiteY0" fmla="*/ 1719262 h 1719262"/>
            <a:gd name="connsiteX1" fmla="*/ 802481 w 1897856"/>
            <a:gd name="connsiteY1" fmla="*/ 700087 h 1719262"/>
            <a:gd name="connsiteX2" fmla="*/ 760809 w 1897856"/>
            <a:gd name="connsiteY2" fmla="*/ 1420415 h 1719262"/>
            <a:gd name="connsiteX3" fmla="*/ 0 w 1897856"/>
            <a:gd name="connsiteY3" fmla="*/ 0 h 1719262"/>
            <a:gd name="connsiteX0" fmla="*/ 1897856 w 1897856"/>
            <a:gd name="connsiteY0" fmla="*/ 1719262 h 1719262"/>
            <a:gd name="connsiteX1" fmla="*/ 760809 w 1897856"/>
            <a:gd name="connsiteY1" fmla="*/ 1420415 h 1719262"/>
            <a:gd name="connsiteX2" fmla="*/ 0 w 1897856"/>
            <a:gd name="connsiteY2" fmla="*/ 0 h 1719262"/>
            <a:gd name="connsiteX0" fmla="*/ 1766887 w 1766887"/>
            <a:gd name="connsiteY0" fmla="*/ 969168 h 1420415"/>
            <a:gd name="connsiteX1" fmla="*/ 760809 w 1766887"/>
            <a:gd name="connsiteY1" fmla="*/ 1420415 h 1420415"/>
            <a:gd name="connsiteX2" fmla="*/ 0 w 1766887"/>
            <a:gd name="connsiteY2" fmla="*/ 0 h 14204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66887" h="1420415">
              <a:moveTo>
                <a:pt x="1766887" y="969168"/>
              </a:moveTo>
              <a:lnTo>
                <a:pt x="760809" y="1420415"/>
              </a:lnTo>
              <a:cubicBezTo>
                <a:pt x="613172" y="1228328"/>
                <a:pt x="175865" y="390178"/>
                <a:pt x="0" y="0"/>
              </a:cubicBezTo>
            </a:path>
          </a:pathLst>
        </a:custGeom>
        <a:noFill/>
        <a:ln w="28575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18</xdr:row>
      <xdr:rowOff>104775</xdr:rowOff>
    </xdr:from>
    <xdr:to>
      <xdr:col>0</xdr:col>
      <xdr:colOff>5878151</xdr:colOff>
      <xdr:row>45</xdr:row>
      <xdr:rowOff>161009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322818"/>
          <a:ext cx="5821001" cy="5199734"/>
        </a:xfrm>
        <a:prstGeom prst="rect">
          <a:avLst/>
        </a:prstGeom>
      </xdr:spPr>
    </xdr:pic>
    <xdr:clientData/>
  </xdr:twoCellAnchor>
  <xdr:twoCellAnchor>
    <xdr:from>
      <xdr:col>0</xdr:col>
      <xdr:colOff>285972</xdr:colOff>
      <xdr:row>37</xdr:row>
      <xdr:rowOff>28914</xdr:rowOff>
    </xdr:from>
    <xdr:to>
      <xdr:col>0</xdr:col>
      <xdr:colOff>465240</xdr:colOff>
      <xdr:row>38</xdr:row>
      <xdr:rowOff>130896</xdr:rowOff>
    </xdr:to>
    <xdr:sp macro="" textlink="">
      <xdr:nvSpPr>
        <xdr:cNvPr id="4" name="Прямоугольник 3"/>
        <xdr:cNvSpPr/>
      </xdr:nvSpPr>
      <xdr:spPr>
        <a:xfrm rot="600000">
          <a:off x="285972" y="8565695"/>
          <a:ext cx="179268" cy="292482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433552</xdr:colOff>
      <xdr:row>35</xdr:row>
      <xdr:rowOff>118241</xdr:rowOff>
    </xdr:from>
    <xdr:to>
      <xdr:col>0</xdr:col>
      <xdr:colOff>764759</xdr:colOff>
      <xdr:row>37</xdr:row>
      <xdr:rowOff>66734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52" y="8007569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510886</xdr:colOff>
      <xdr:row>18</xdr:row>
      <xdr:rowOff>136579</xdr:rowOff>
    </xdr:from>
    <xdr:to>
      <xdr:col>0</xdr:col>
      <xdr:colOff>5663045</xdr:colOff>
      <xdr:row>45</xdr:row>
      <xdr:rowOff>132104</xdr:rowOff>
    </xdr:to>
    <xdr:sp macro="" textlink="">
      <xdr:nvSpPr>
        <xdr:cNvPr id="8" name="Полилиния 7"/>
        <xdr:cNvSpPr/>
      </xdr:nvSpPr>
      <xdr:spPr>
        <a:xfrm>
          <a:off x="510886" y="4786511"/>
          <a:ext cx="5152159" cy="5139025"/>
        </a:xfrm>
        <a:custGeom>
          <a:avLst/>
          <a:gdLst>
            <a:gd name="connsiteX0" fmla="*/ 5152159 w 5152159"/>
            <a:gd name="connsiteY0" fmla="*/ 4825080 h 5139025"/>
            <a:gd name="connsiteX1" fmla="*/ 4996296 w 5152159"/>
            <a:gd name="connsiteY1" fmla="*/ 4937648 h 5139025"/>
            <a:gd name="connsiteX2" fmla="*/ 4537364 w 5152159"/>
            <a:gd name="connsiteY2" fmla="*/ 5128148 h 5139025"/>
            <a:gd name="connsiteX3" fmla="*/ 4242955 w 5152159"/>
            <a:gd name="connsiteY3" fmla="*/ 4582625 h 5139025"/>
            <a:gd name="connsiteX4" fmla="*/ 3991841 w 5152159"/>
            <a:gd name="connsiteY4" fmla="*/ 4132353 h 5139025"/>
            <a:gd name="connsiteX5" fmla="*/ 3697432 w 5152159"/>
            <a:gd name="connsiteY5" fmla="*/ 3214489 h 5139025"/>
            <a:gd name="connsiteX6" fmla="*/ 3861955 w 5152159"/>
            <a:gd name="connsiteY6" fmla="*/ 2365898 h 5139025"/>
            <a:gd name="connsiteX7" fmla="*/ 3905250 w 5152159"/>
            <a:gd name="connsiteY7" fmla="*/ 2313944 h 5139025"/>
            <a:gd name="connsiteX8" fmla="*/ 3602182 w 5152159"/>
            <a:gd name="connsiteY8" fmla="*/ 2010875 h 5139025"/>
            <a:gd name="connsiteX9" fmla="*/ 2822864 w 5152159"/>
            <a:gd name="connsiteY9" fmla="*/ 1534625 h 5139025"/>
            <a:gd name="connsiteX10" fmla="*/ 1827069 w 5152159"/>
            <a:gd name="connsiteY10" fmla="*/ 1006421 h 5139025"/>
            <a:gd name="connsiteX11" fmla="*/ 779319 w 5152159"/>
            <a:gd name="connsiteY11" fmla="*/ 1966 h 5139025"/>
            <a:gd name="connsiteX12" fmla="*/ 606137 w 5152159"/>
            <a:gd name="connsiteY12" fmla="*/ 841898 h 5139025"/>
            <a:gd name="connsiteX13" fmla="*/ 0 w 5152159"/>
            <a:gd name="connsiteY13" fmla="*/ 3656103 h 51390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5152159" h="5139025">
              <a:moveTo>
                <a:pt x="5152159" y="4825080"/>
              </a:moveTo>
              <a:cubicBezTo>
                <a:pt x="5125460" y="4856108"/>
                <a:pt x="5098762" y="4887137"/>
                <a:pt x="4996296" y="4937648"/>
              </a:cubicBezTo>
              <a:cubicBezTo>
                <a:pt x="4893830" y="4988159"/>
                <a:pt x="4662921" y="5187319"/>
                <a:pt x="4537364" y="5128148"/>
              </a:cubicBezTo>
              <a:cubicBezTo>
                <a:pt x="4411807" y="5068978"/>
                <a:pt x="4333875" y="4748591"/>
                <a:pt x="4242955" y="4582625"/>
              </a:cubicBezTo>
              <a:cubicBezTo>
                <a:pt x="4152035" y="4416659"/>
                <a:pt x="4082761" y="4360376"/>
                <a:pt x="3991841" y="4132353"/>
              </a:cubicBezTo>
              <a:cubicBezTo>
                <a:pt x="3900920" y="3904330"/>
                <a:pt x="3719080" y="3508898"/>
                <a:pt x="3697432" y="3214489"/>
              </a:cubicBezTo>
              <a:cubicBezTo>
                <a:pt x="3675784" y="2920080"/>
                <a:pt x="3827319" y="2515989"/>
                <a:pt x="3861955" y="2365898"/>
              </a:cubicBezTo>
              <a:cubicBezTo>
                <a:pt x="3896591" y="2215807"/>
                <a:pt x="3948545" y="2373114"/>
                <a:pt x="3905250" y="2313944"/>
              </a:cubicBezTo>
              <a:cubicBezTo>
                <a:pt x="3861954" y="2254773"/>
                <a:pt x="3782580" y="2140761"/>
                <a:pt x="3602182" y="2010875"/>
              </a:cubicBezTo>
              <a:cubicBezTo>
                <a:pt x="3421784" y="1880989"/>
                <a:pt x="3118716" y="1702034"/>
                <a:pt x="2822864" y="1534625"/>
              </a:cubicBezTo>
              <a:cubicBezTo>
                <a:pt x="2527012" y="1367216"/>
                <a:pt x="2167660" y="1261864"/>
                <a:pt x="1827069" y="1006421"/>
              </a:cubicBezTo>
              <a:cubicBezTo>
                <a:pt x="1486478" y="750978"/>
                <a:pt x="982808" y="29386"/>
                <a:pt x="779319" y="1966"/>
              </a:cubicBezTo>
              <a:cubicBezTo>
                <a:pt x="575830" y="-25454"/>
                <a:pt x="736023" y="232875"/>
                <a:pt x="606137" y="841898"/>
              </a:cubicBezTo>
              <a:cubicBezTo>
                <a:pt x="476251" y="1450921"/>
                <a:pt x="134216" y="3107694"/>
                <a:pt x="0" y="3656103"/>
              </a:cubicBez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118241</xdr:colOff>
      <xdr:row>35</xdr:row>
      <xdr:rowOff>59760</xdr:rowOff>
    </xdr:from>
    <xdr:to>
      <xdr:col>0</xdr:col>
      <xdr:colOff>449441</xdr:colOff>
      <xdr:row>37</xdr:row>
      <xdr:rowOff>10875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41" y="8215541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17</xdr:row>
      <xdr:rowOff>304799</xdr:rowOff>
    </xdr:from>
    <xdr:to>
      <xdr:col>0</xdr:col>
      <xdr:colOff>4800600</xdr:colOff>
      <xdr:row>40</xdr:row>
      <xdr:rowOff>168995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4838699"/>
          <a:ext cx="3924300" cy="4369521"/>
        </a:xfrm>
        <a:prstGeom prst="rect">
          <a:avLst/>
        </a:prstGeom>
      </xdr:spPr>
    </xdr:pic>
    <xdr:clientData/>
  </xdr:twoCellAnchor>
  <xdr:twoCellAnchor>
    <xdr:from>
      <xdr:col>0</xdr:col>
      <xdr:colOff>2510882</xdr:colOff>
      <xdr:row>34</xdr:row>
      <xdr:rowOff>85924</xdr:rowOff>
    </xdr:from>
    <xdr:to>
      <xdr:col>0</xdr:col>
      <xdr:colOff>2705998</xdr:colOff>
      <xdr:row>36</xdr:row>
      <xdr:rowOff>14999</xdr:rowOff>
    </xdr:to>
    <xdr:sp macro="" textlink="">
      <xdr:nvSpPr>
        <xdr:cNvPr id="3" name="Прямоугольник 2"/>
        <xdr:cNvSpPr/>
      </xdr:nvSpPr>
      <xdr:spPr>
        <a:xfrm rot="1800000">
          <a:off x="2510882" y="7982149"/>
          <a:ext cx="195116" cy="31007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2267992</xdr:colOff>
      <xdr:row>35</xdr:row>
      <xdr:rowOff>82452</xdr:rowOff>
    </xdr:from>
    <xdr:to>
      <xdr:col>0</xdr:col>
      <xdr:colOff>2599192</xdr:colOff>
      <xdr:row>37</xdr:row>
      <xdr:rowOff>33567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992" y="8169177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1066800</xdr:colOff>
      <xdr:row>32</xdr:row>
      <xdr:rowOff>47625</xdr:rowOff>
    </xdr:from>
    <xdr:to>
      <xdr:col>0</xdr:col>
      <xdr:colOff>2038350</xdr:colOff>
      <xdr:row>34</xdr:row>
      <xdr:rowOff>0</xdr:rowOff>
    </xdr:to>
    <xdr:sp macro="" textlink="">
      <xdr:nvSpPr>
        <xdr:cNvPr id="7" name="TextBox 6"/>
        <xdr:cNvSpPr txBox="1"/>
      </xdr:nvSpPr>
      <xdr:spPr>
        <a:xfrm>
          <a:off x="1066800" y="7562850"/>
          <a:ext cx="97155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1 проезд</a:t>
          </a:r>
        </a:p>
      </xdr:txBody>
    </xdr:sp>
    <xdr:clientData/>
  </xdr:twoCellAnchor>
  <xdr:twoCellAnchor>
    <xdr:from>
      <xdr:col>0</xdr:col>
      <xdr:colOff>2667000</xdr:colOff>
      <xdr:row>36</xdr:row>
      <xdr:rowOff>104775</xdr:rowOff>
    </xdr:from>
    <xdr:to>
      <xdr:col>0</xdr:col>
      <xdr:colOff>3638550</xdr:colOff>
      <xdr:row>40</xdr:row>
      <xdr:rowOff>47625</xdr:rowOff>
    </xdr:to>
    <xdr:sp macro="" textlink="">
      <xdr:nvSpPr>
        <xdr:cNvPr id="8" name="TextBox 7"/>
        <xdr:cNvSpPr txBox="1"/>
      </xdr:nvSpPr>
      <xdr:spPr>
        <a:xfrm>
          <a:off x="2667000" y="8382000"/>
          <a:ext cx="97155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2 проезд (через 15 мин)</a:t>
          </a:r>
        </a:p>
      </xdr:txBody>
    </xdr:sp>
    <xdr:clientData/>
  </xdr:twoCellAnchor>
  <xdr:twoCellAnchor>
    <xdr:from>
      <xdr:col>0</xdr:col>
      <xdr:colOff>1847850</xdr:colOff>
      <xdr:row>30</xdr:row>
      <xdr:rowOff>19050</xdr:rowOff>
    </xdr:from>
    <xdr:to>
      <xdr:col>0</xdr:col>
      <xdr:colOff>2257425</xdr:colOff>
      <xdr:row>38</xdr:row>
      <xdr:rowOff>152400</xdr:rowOff>
    </xdr:to>
    <xdr:sp macro="" textlink="">
      <xdr:nvSpPr>
        <xdr:cNvPr id="10" name="Полилиния 9"/>
        <xdr:cNvSpPr/>
      </xdr:nvSpPr>
      <xdr:spPr>
        <a:xfrm>
          <a:off x="1847850" y="7334250"/>
          <a:ext cx="409575" cy="1657350"/>
        </a:xfrm>
        <a:custGeom>
          <a:avLst/>
          <a:gdLst>
            <a:gd name="connsiteX0" fmla="*/ 0 w 409575"/>
            <a:gd name="connsiteY0" fmla="*/ 1657350 h 1657350"/>
            <a:gd name="connsiteX1" fmla="*/ 209550 w 409575"/>
            <a:gd name="connsiteY1" fmla="*/ 1276350 h 1657350"/>
            <a:gd name="connsiteX2" fmla="*/ 409575 w 409575"/>
            <a:gd name="connsiteY2" fmla="*/ 0 h 1657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09575" h="1657350">
              <a:moveTo>
                <a:pt x="0" y="1657350"/>
              </a:moveTo>
              <a:cubicBezTo>
                <a:pt x="70643" y="1604962"/>
                <a:pt x="141287" y="1552575"/>
                <a:pt x="209550" y="1276350"/>
              </a:cubicBezTo>
              <a:cubicBezTo>
                <a:pt x="277813" y="1000125"/>
                <a:pt x="343694" y="500062"/>
                <a:pt x="409575" y="0"/>
              </a:cubicBezTo>
            </a:path>
          </a:pathLst>
        </a:custGeom>
        <a:noFill/>
        <a:ln w="31750">
          <a:solidFill>
            <a:srgbClr val="FFFF00"/>
          </a:solidFill>
          <a:prstDash val="sys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1990725</xdr:colOff>
      <xdr:row>31</xdr:row>
      <xdr:rowOff>9525</xdr:rowOff>
    </xdr:from>
    <xdr:to>
      <xdr:col>0</xdr:col>
      <xdr:colOff>2914650</xdr:colOff>
      <xdr:row>38</xdr:row>
      <xdr:rowOff>180975</xdr:rowOff>
    </xdr:to>
    <xdr:sp macro="" textlink="">
      <xdr:nvSpPr>
        <xdr:cNvPr id="11" name="Полилиния 10"/>
        <xdr:cNvSpPr/>
      </xdr:nvSpPr>
      <xdr:spPr>
        <a:xfrm>
          <a:off x="1990725" y="7515225"/>
          <a:ext cx="923925" cy="1504950"/>
        </a:xfrm>
        <a:custGeom>
          <a:avLst/>
          <a:gdLst>
            <a:gd name="connsiteX0" fmla="*/ 0 w 923925"/>
            <a:gd name="connsiteY0" fmla="*/ 1504950 h 1504950"/>
            <a:gd name="connsiteX1" fmla="*/ 352425 w 923925"/>
            <a:gd name="connsiteY1" fmla="*/ 904875 h 1504950"/>
            <a:gd name="connsiteX2" fmla="*/ 923925 w 923925"/>
            <a:gd name="connsiteY2" fmla="*/ 0 h 1504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23925" h="1504950">
              <a:moveTo>
                <a:pt x="0" y="1504950"/>
              </a:moveTo>
              <a:cubicBezTo>
                <a:pt x="99218" y="1330325"/>
                <a:pt x="198437" y="1155700"/>
                <a:pt x="352425" y="904875"/>
              </a:cubicBezTo>
              <a:cubicBezTo>
                <a:pt x="506413" y="654050"/>
                <a:pt x="715169" y="327025"/>
                <a:pt x="923925" y="0"/>
              </a:cubicBezTo>
            </a:path>
          </a:pathLst>
        </a:custGeom>
        <a:noFill/>
        <a:ln w="31750">
          <a:solidFill>
            <a:srgbClr val="FFFF00"/>
          </a:solidFill>
          <a:prstDash val="sysDash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17</xdr:row>
      <xdr:rowOff>161925</xdr:rowOff>
    </xdr:from>
    <xdr:to>
      <xdr:col>0</xdr:col>
      <xdr:colOff>5228660</xdr:colOff>
      <xdr:row>35</xdr:row>
      <xdr:rowOff>161497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4219575"/>
          <a:ext cx="4523810" cy="34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3095625</xdr:colOff>
      <xdr:row>20</xdr:row>
      <xdr:rowOff>95250</xdr:rowOff>
    </xdr:from>
    <xdr:to>
      <xdr:col>0</xdr:col>
      <xdr:colOff>3452694</xdr:colOff>
      <xdr:row>22</xdr:row>
      <xdr:rowOff>74250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724400"/>
          <a:ext cx="35706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3571875</xdr:colOff>
      <xdr:row>23</xdr:row>
      <xdr:rowOff>66675</xdr:rowOff>
    </xdr:from>
    <xdr:to>
      <xdr:col>0</xdr:col>
      <xdr:colOff>3928944</xdr:colOff>
      <xdr:row>25</xdr:row>
      <xdr:rowOff>45675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5267325"/>
          <a:ext cx="357069" cy="360000"/>
        </a:xfrm>
        <a:prstGeom prst="rect">
          <a:avLst/>
        </a:prstGeom>
      </xdr:spPr>
    </xdr:pic>
    <xdr:clientData/>
  </xdr:twoCellAnchor>
  <xdr:twoCellAnchor>
    <xdr:from>
      <xdr:col>0</xdr:col>
      <xdr:colOff>3095625</xdr:colOff>
      <xdr:row>19</xdr:row>
      <xdr:rowOff>95250</xdr:rowOff>
    </xdr:from>
    <xdr:to>
      <xdr:col>0</xdr:col>
      <xdr:colOff>4048125</xdr:colOff>
      <xdr:row>24</xdr:row>
      <xdr:rowOff>47625</xdr:rowOff>
    </xdr:to>
    <xdr:cxnSp macro="">
      <xdr:nvCxnSpPr>
        <xdr:cNvPr id="7" name="Прямая со стрелкой 6"/>
        <xdr:cNvCxnSpPr/>
      </xdr:nvCxnSpPr>
      <xdr:spPr>
        <a:xfrm flipH="1">
          <a:off x="3095625" y="4533900"/>
          <a:ext cx="952500" cy="904875"/>
        </a:xfrm>
        <a:prstGeom prst="straightConnector1">
          <a:avLst/>
        </a:prstGeom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3228975</xdr:colOff>
      <xdr:row>20</xdr:row>
      <xdr:rowOff>38100</xdr:rowOff>
    </xdr:from>
    <xdr:to>
      <xdr:col>0</xdr:col>
      <xdr:colOff>4181475</xdr:colOff>
      <xdr:row>24</xdr:row>
      <xdr:rowOff>180975</xdr:rowOff>
    </xdr:to>
    <xdr:cxnSp macro="">
      <xdr:nvCxnSpPr>
        <xdr:cNvPr id="8" name="Прямая со стрелкой 7"/>
        <xdr:cNvCxnSpPr/>
      </xdr:nvCxnSpPr>
      <xdr:spPr>
        <a:xfrm flipV="1">
          <a:off x="3228975" y="4667250"/>
          <a:ext cx="952500" cy="904875"/>
        </a:xfrm>
        <a:prstGeom prst="straightConnector1">
          <a:avLst/>
        </a:prstGeom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3505200</xdr:colOff>
      <xdr:row>19</xdr:row>
      <xdr:rowOff>28575</xdr:rowOff>
    </xdr:from>
    <xdr:to>
      <xdr:col>0</xdr:col>
      <xdr:colOff>3857625</xdr:colOff>
      <xdr:row>21</xdr:row>
      <xdr:rowOff>9525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4467225"/>
          <a:ext cx="3524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3181350</xdr:colOff>
      <xdr:row>24</xdr:row>
      <xdr:rowOff>152400</xdr:rowOff>
    </xdr:from>
    <xdr:to>
      <xdr:col>0</xdr:col>
      <xdr:colOff>3533775</xdr:colOff>
      <xdr:row>26</xdr:row>
      <xdr:rowOff>133350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5543550"/>
          <a:ext cx="3524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114299</xdr:rowOff>
    </xdr:from>
    <xdr:to>
      <xdr:col>0</xdr:col>
      <xdr:colOff>5840124</xdr:colOff>
      <xdr:row>36</xdr:row>
      <xdr:rowOff>142384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499"/>
          <a:ext cx="5840124" cy="3457085"/>
        </a:xfrm>
        <a:prstGeom prst="rect">
          <a:avLst/>
        </a:prstGeom>
      </xdr:spPr>
    </xdr:pic>
    <xdr:clientData/>
  </xdr:twoCellAnchor>
  <xdr:twoCellAnchor>
    <xdr:from>
      <xdr:col>0</xdr:col>
      <xdr:colOff>2047063</xdr:colOff>
      <xdr:row>26</xdr:row>
      <xdr:rowOff>96357</xdr:rowOff>
    </xdr:from>
    <xdr:to>
      <xdr:col>0</xdr:col>
      <xdr:colOff>2391108</xdr:colOff>
      <xdr:row>27</xdr:row>
      <xdr:rowOff>69937</xdr:rowOff>
    </xdr:to>
    <xdr:sp macro="" textlink="">
      <xdr:nvSpPr>
        <xdr:cNvPr id="3" name="Прямоугольник 2"/>
        <xdr:cNvSpPr/>
      </xdr:nvSpPr>
      <xdr:spPr>
        <a:xfrm rot="-4200000">
          <a:off x="2137046" y="6559574"/>
          <a:ext cx="164080" cy="34404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1742154</xdr:colOff>
      <xdr:row>25</xdr:row>
      <xdr:rowOff>126205</xdr:rowOff>
    </xdr:from>
    <xdr:to>
      <xdr:col>0</xdr:col>
      <xdr:colOff>2073361</xdr:colOff>
      <xdr:row>27</xdr:row>
      <xdr:rowOff>74698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154" y="6488905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1113691</xdr:colOff>
      <xdr:row>24</xdr:row>
      <xdr:rowOff>87923</xdr:rowOff>
    </xdr:from>
    <xdr:to>
      <xdr:col>0</xdr:col>
      <xdr:colOff>2791557</xdr:colOff>
      <xdr:row>26</xdr:row>
      <xdr:rowOff>175846</xdr:rowOff>
    </xdr:to>
    <xdr:cxnSp macro="">
      <xdr:nvCxnSpPr>
        <xdr:cNvPr id="9" name="Прямая со стрелкой 8"/>
        <xdr:cNvCxnSpPr/>
      </xdr:nvCxnSpPr>
      <xdr:spPr>
        <a:xfrm>
          <a:off x="1113691" y="6257192"/>
          <a:ext cx="1677866" cy="468923"/>
        </a:xfrm>
        <a:prstGeom prst="straightConnector1">
          <a:avLst/>
        </a:prstGeom>
        <a:ln w="31750">
          <a:solidFill>
            <a:srgbClr val="FFFF00"/>
          </a:solidFill>
          <a:prstDash val="sysDot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770283</xdr:colOff>
      <xdr:row>18</xdr:row>
      <xdr:rowOff>22477</xdr:rowOff>
    </xdr:from>
    <xdr:to>
      <xdr:col>0</xdr:col>
      <xdr:colOff>5360760</xdr:colOff>
      <xdr:row>42</xdr:row>
      <xdr:rowOff>19481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283" y="5138763"/>
          <a:ext cx="4590477" cy="4569004"/>
        </a:xfrm>
        <a:prstGeom prst="rect">
          <a:avLst/>
        </a:prstGeom>
      </xdr:spPr>
    </xdr:pic>
    <xdr:clientData/>
  </xdr:twoCellAnchor>
  <xdr:twoCellAnchor>
    <xdr:from>
      <xdr:col>0</xdr:col>
      <xdr:colOff>3215400</xdr:colOff>
      <xdr:row>28</xdr:row>
      <xdr:rowOff>133878</xdr:rowOff>
    </xdr:from>
    <xdr:to>
      <xdr:col>0</xdr:col>
      <xdr:colOff>3525475</xdr:colOff>
      <xdr:row>29</xdr:row>
      <xdr:rowOff>138494</xdr:rowOff>
    </xdr:to>
    <xdr:sp macro="" textlink="">
      <xdr:nvSpPr>
        <xdr:cNvPr id="3" name="Прямоугольник 2"/>
        <xdr:cNvSpPr/>
      </xdr:nvSpPr>
      <xdr:spPr>
        <a:xfrm rot="2700000">
          <a:off x="3272880" y="7086798"/>
          <a:ext cx="195116" cy="31007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3087142</xdr:colOff>
      <xdr:row>29</xdr:row>
      <xdr:rowOff>168177</xdr:rowOff>
    </xdr:from>
    <xdr:to>
      <xdr:col>0</xdr:col>
      <xdr:colOff>3418342</xdr:colOff>
      <xdr:row>31</xdr:row>
      <xdr:rowOff>119292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142" y="7369077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2839235</xdr:colOff>
      <xdr:row>28</xdr:row>
      <xdr:rowOff>162312</xdr:rowOff>
    </xdr:from>
    <xdr:to>
      <xdr:col>0</xdr:col>
      <xdr:colOff>3170442</xdr:colOff>
      <xdr:row>30</xdr:row>
      <xdr:rowOff>110805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9235" y="7172712"/>
          <a:ext cx="331207" cy="32949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0</xdr:col>
      <xdr:colOff>2039826</xdr:colOff>
      <xdr:row>26</xdr:row>
      <xdr:rowOff>42609</xdr:rowOff>
    </xdr:from>
    <xdr:to>
      <xdr:col>0</xdr:col>
      <xdr:colOff>5209761</xdr:colOff>
      <xdr:row>34</xdr:row>
      <xdr:rowOff>142728</xdr:rowOff>
    </xdr:to>
    <xdr:sp macro="" textlink="">
      <xdr:nvSpPr>
        <xdr:cNvPr id="8" name="Полилиния 7"/>
        <xdr:cNvSpPr/>
      </xdr:nvSpPr>
      <xdr:spPr>
        <a:xfrm>
          <a:off x="2039826" y="6682895"/>
          <a:ext cx="3169935" cy="1624119"/>
        </a:xfrm>
        <a:custGeom>
          <a:avLst/>
          <a:gdLst>
            <a:gd name="connsiteX0" fmla="*/ 3169935 w 3169935"/>
            <a:gd name="connsiteY0" fmla="*/ 202315 h 1624119"/>
            <a:gd name="connsiteX1" fmla="*/ 304152 w 3169935"/>
            <a:gd name="connsiteY1" fmla="*/ 86358 h 1624119"/>
            <a:gd name="connsiteX2" fmla="*/ 63957 w 3169935"/>
            <a:gd name="connsiteY2" fmla="*/ 1320467 h 1624119"/>
            <a:gd name="connsiteX3" fmla="*/ 130217 w 3169935"/>
            <a:gd name="connsiteY3" fmla="*/ 1602076 h 1624119"/>
            <a:gd name="connsiteX4" fmla="*/ 842522 w 3169935"/>
            <a:gd name="connsiteY4" fmla="*/ 898054 h 1624119"/>
            <a:gd name="connsiteX5" fmla="*/ 1488565 w 3169935"/>
            <a:gd name="connsiteY5" fmla="*/ 326554 h 1624119"/>
            <a:gd name="connsiteX6" fmla="*/ 3029131 w 3169935"/>
            <a:gd name="connsiteY6" fmla="*/ 359685 h 1624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169935" h="1624119">
              <a:moveTo>
                <a:pt x="3169935" y="202315"/>
              </a:moveTo>
              <a:cubicBezTo>
                <a:pt x="1995875" y="51157"/>
                <a:pt x="821815" y="-100001"/>
                <a:pt x="304152" y="86358"/>
              </a:cubicBezTo>
              <a:cubicBezTo>
                <a:pt x="-213511" y="272717"/>
                <a:pt x="92946" y="1067847"/>
                <a:pt x="63957" y="1320467"/>
              </a:cubicBezTo>
              <a:cubicBezTo>
                <a:pt x="34968" y="1573087"/>
                <a:pt x="456" y="1672478"/>
                <a:pt x="130217" y="1602076"/>
              </a:cubicBezTo>
              <a:cubicBezTo>
                <a:pt x="259978" y="1531674"/>
                <a:pt x="616131" y="1110641"/>
                <a:pt x="842522" y="898054"/>
              </a:cubicBezTo>
              <a:cubicBezTo>
                <a:pt x="1068913" y="685467"/>
                <a:pt x="1124130" y="416282"/>
                <a:pt x="1488565" y="326554"/>
              </a:cubicBezTo>
              <a:cubicBezTo>
                <a:pt x="1853000" y="236826"/>
                <a:pt x="2441065" y="298255"/>
                <a:pt x="3029131" y="359685"/>
              </a:cubicBezTo>
            </a:path>
          </a:pathLst>
        </a:custGeom>
        <a:noFill/>
        <a:ln w="317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0</xdr:row>
      <xdr:rowOff>66675</xdr:rowOff>
    </xdr:from>
    <xdr:to>
      <xdr:col>9</xdr:col>
      <xdr:colOff>547688</xdr:colOff>
      <xdr:row>0</xdr:row>
      <xdr:rowOff>575695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66675"/>
          <a:ext cx="1033463" cy="5090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18</xdr:row>
      <xdr:rowOff>76200</xdr:rowOff>
    </xdr:from>
    <xdr:to>
      <xdr:col>0</xdr:col>
      <xdr:colOff>5809559</xdr:colOff>
      <xdr:row>40</xdr:row>
      <xdr:rowOff>66153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362575"/>
          <a:ext cx="5533334" cy="4180953"/>
        </a:xfrm>
        <a:prstGeom prst="rect">
          <a:avLst/>
        </a:prstGeom>
      </xdr:spPr>
    </xdr:pic>
    <xdr:clientData/>
  </xdr:twoCellAnchor>
  <xdr:twoCellAnchor>
    <xdr:from>
      <xdr:col>0</xdr:col>
      <xdr:colOff>3853906</xdr:colOff>
      <xdr:row>28</xdr:row>
      <xdr:rowOff>162123</xdr:rowOff>
    </xdr:from>
    <xdr:to>
      <xdr:col>0</xdr:col>
      <xdr:colOff>4049022</xdr:colOff>
      <xdr:row>30</xdr:row>
      <xdr:rowOff>91198</xdr:rowOff>
    </xdr:to>
    <xdr:sp macro="" textlink="">
      <xdr:nvSpPr>
        <xdr:cNvPr id="3" name="Прямоугольник 2"/>
        <xdr:cNvSpPr/>
      </xdr:nvSpPr>
      <xdr:spPr>
        <a:xfrm rot="-2700000">
          <a:off x="3853906" y="7162998"/>
          <a:ext cx="195116" cy="310075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3572917</xdr:colOff>
      <xdr:row>27</xdr:row>
      <xdr:rowOff>149127</xdr:rowOff>
    </xdr:from>
    <xdr:to>
      <xdr:col>0</xdr:col>
      <xdr:colOff>3904117</xdr:colOff>
      <xdr:row>29</xdr:row>
      <xdr:rowOff>100242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917" y="6959502"/>
          <a:ext cx="331200" cy="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1914525</xdr:colOff>
      <xdr:row>19</xdr:row>
      <xdr:rowOff>133350</xdr:rowOff>
    </xdr:from>
    <xdr:to>
      <xdr:col>0</xdr:col>
      <xdr:colOff>3771900</xdr:colOff>
      <xdr:row>24</xdr:row>
      <xdr:rowOff>164919</xdr:rowOff>
    </xdr:to>
    <xdr:sp macro="" textlink="">
      <xdr:nvSpPr>
        <xdr:cNvPr id="8" name="Полилиния 7"/>
        <xdr:cNvSpPr/>
      </xdr:nvSpPr>
      <xdr:spPr>
        <a:xfrm>
          <a:off x="1914525" y="5610225"/>
          <a:ext cx="1857375" cy="984069"/>
        </a:xfrm>
        <a:custGeom>
          <a:avLst/>
          <a:gdLst>
            <a:gd name="connsiteX0" fmla="*/ 0 w 1857375"/>
            <a:gd name="connsiteY0" fmla="*/ 276225 h 984069"/>
            <a:gd name="connsiteX1" fmla="*/ 800100 w 1857375"/>
            <a:gd name="connsiteY1" fmla="*/ 866775 h 984069"/>
            <a:gd name="connsiteX2" fmla="*/ 1362075 w 1857375"/>
            <a:gd name="connsiteY2" fmla="*/ 904875 h 984069"/>
            <a:gd name="connsiteX3" fmla="*/ 1857375 w 1857375"/>
            <a:gd name="connsiteY3" fmla="*/ 0 h 9840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57375" h="984069">
              <a:moveTo>
                <a:pt x="0" y="276225"/>
              </a:moveTo>
              <a:cubicBezTo>
                <a:pt x="286544" y="519112"/>
                <a:pt x="573088" y="762000"/>
                <a:pt x="800100" y="866775"/>
              </a:cubicBezTo>
              <a:cubicBezTo>
                <a:pt x="1027112" y="971550"/>
                <a:pt x="1185863" y="1049337"/>
                <a:pt x="1362075" y="904875"/>
              </a:cubicBezTo>
              <a:cubicBezTo>
                <a:pt x="1538287" y="760413"/>
                <a:pt x="1697831" y="380206"/>
                <a:pt x="1857375" y="0"/>
              </a:cubicBezTo>
            </a:path>
          </a:pathLst>
        </a:custGeom>
        <a:noFill/>
        <a:ln w="28575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1677866</xdr:colOff>
      <xdr:row>28</xdr:row>
      <xdr:rowOff>149270</xdr:rowOff>
    </xdr:from>
    <xdr:to>
      <xdr:col>0</xdr:col>
      <xdr:colOff>4200525</xdr:colOff>
      <xdr:row>34</xdr:row>
      <xdr:rowOff>53367</xdr:rowOff>
    </xdr:to>
    <xdr:sp macro="" textlink="">
      <xdr:nvSpPr>
        <xdr:cNvPr id="9" name="Полилиния 8"/>
        <xdr:cNvSpPr/>
      </xdr:nvSpPr>
      <xdr:spPr>
        <a:xfrm>
          <a:off x="1677866" y="7340645"/>
          <a:ext cx="2522659" cy="1047097"/>
        </a:xfrm>
        <a:custGeom>
          <a:avLst/>
          <a:gdLst>
            <a:gd name="connsiteX0" fmla="*/ 55684 w 2522659"/>
            <a:gd name="connsiteY0" fmla="*/ 1012780 h 1047097"/>
            <a:gd name="connsiteX1" fmla="*/ 103309 w 2522659"/>
            <a:gd name="connsiteY1" fmla="*/ 965155 h 1047097"/>
            <a:gd name="connsiteX2" fmla="*/ 998659 w 2522659"/>
            <a:gd name="connsiteY2" fmla="*/ 298405 h 1047097"/>
            <a:gd name="connsiteX3" fmla="*/ 1446334 w 2522659"/>
            <a:gd name="connsiteY3" fmla="*/ 3130 h 1047097"/>
            <a:gd name="connsiteX4" fmla="*/ 2094034 w 2522659"/>
            <a:gd name="connsiteY4" fmla="*/ 174580 h 1047097"/>
            <a:gd name="connsiteX5" fmla="*/ 2522659 w 2522659"/>
            <a:gd name="connsiteY5" fmla="*/ 650830 h 10470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522659" h="1047097">
              <a:moveTo>
                <a:pt x="55684" y="1012780"/>
              </a:moveTo>
              <a:cubicBezTo>
                <a:pt x="915" y="1048499"/>
                <a:pt x="-53854" y="1084218"/>
                <a:pt x="103309" y="965155"/>
              </a:cubicBezTo>
              <a:cubicBezTo>
                <a:pt x="260472" y="846092"/>
                <a:pt x="774822" y="458742"/>
                <a:pt x="998659" y="298405"/>
              </a:cubicBezTo>
              <a:cubicBezTo>
                <a:pt x="1222496" y="138068"/>
                <a:pt x="1263772" y="23767"/>
                <a:pt x="1446334" y="3130"/>
              </a:cubicBezTo>
              <a:cubicBezTo>
                <a:pt x="1628896" y="-17507"/>
                <a:pt x="1914647" y="66630"/>
                <a:pt x="2094034" y="174580"/>
              </a:cubicBezTo>
              <a:cubicBezTo>
                <a:pt x="2273421" y="282530"/>
                <a:pt x="2398040" y="466680"/>
                <a:pt x="2522659" y="650830"/>
              </a:cubicBezTo>
            </a:path>
          </a:pathLst>
        </a:custGeom>
        <a:noFill/>
        <a:ln w="28575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2371725</xdr:colOff>
      <xdr:row>20</xdr:row>
      <xdr:rowOff>142875</xdr:rowOff>
    </xdr:from>
    <xdr:to>
      <xdr:col>0</xdr:col>
      <xdr:colOff>3343275</xdr:colOff>
      <xdr:row>22</xdr:row>
      <xdr:rowOff>95250</xdr:rowOff>
    </xdr:to>
    <xdr:sp macro="" textlink="">
      <xdr:nvSpPr>
        <xdr:cNvPr id="10" name="TextBox 9"/>
        <xdr:cNvSpPr txBox="1"/>
      </xdr:nvSpPr>
      <xdr:spPr>
        <a:xfrm>
          <a:off x="2371725" y="5619750"/>
          <a:ext cx="97155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1 проезд</a:t>
          </a:r>
        </a:p>
      </xdr:txBody>
    </xdr:sp>
    <xdr:clientData/>
  </xdr:twoCellAnchor>
  <xdr:twoCellAnchor>
    <xdr:from>
      <xdr:col>0</xdr:col>
      <xdr:colOff>1628775</xdr:colOff>
      <xdr:row>26</xdr:row>
      <xdr:rowOff>76200</xdr:rowOff>
    </xdr:from>
    <xdr:to>
      <xdr:col>0</xdr:col>
      <xdr:colOff>2600325</xdr:colOff>
      <xdr:row>30</xdr:row>
      <xdr:rowOff>19050</xdr:rowOff>
    </xdr:to>
    <xdr:sp macro="" textlink="">
      <xdr:nvSpPr>
        <xdr:cNvPr id="11" name="TextBox 10"/>
        <xdr:cNvSpPr txBox="1"/>
      </xdr:nvSpPr>
      <xdr:spPr>
        <a:xfrm>
          <a:off x="1628775" y="6696075"/>
          <a:ext cx="97155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2 проезд (через полчаса)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20</xdr:row>
      <xdr:rowOff>114300</xdr:rowOff>
    </xdr:from>
    <xdr:to>
      <xdr:col>0</xdr:col>
      <xdr:colOff>5504827</xdr:colOff>
      <xdr:row>38</xdr:row>
      <xdr:rowOff>47205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591175"/>
          <a:ext cx="4990477" cy="3361905"/>
        </a:xfrm>
        <a:prstGeom prst="rect">
          <a:avLst/>
        </a:prstGeom>
      </xdr:spPr>
    </xdr:pic>
    <xdr:clientData/>
  </xdr:twoCellAnchor>
  <xdr:twoCellAnchor>
    <xdr:from>
      <xdr:col>0</xdr:col>
      <xdr:colOff>2642839</xdr:colOff>
      <xdr:row>30</xdr:row>
      <xdr:rowOff>180604</xdr:rowOff>
    </xdr:from>
    <xdr:to>
      <xdr:col>0</xdr:col>
      <xdr:colOff>2940221</xdr:colOff>
      <xdr:row>31</xdr:row>
      <xdr:rowOff>146300</xdr:rowOff>
    </xdr:to>
    <xdr:sp macro="" textlink="">
      <xdr:nvSpPr>
        <xdr:cNvPr id="3" name="Прямоугольник 2"/>
        <xdr:cNvSpPr/>
      </xdr:nvSpPr>
      <xdr:spPr>
        <a:xfrm rot="-3960000">
          <a:off x="2713432" y="7491886"/>
          <a:ext cx="156196" cy="297382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1752600</xdr:colOff>
      <xdr:row>29</xdr:row>
      <xdr:rowOff>47625</xdr:rowOff>
    </xdr:from>
    <xdr:to>
      <xdr:col>0</xdr:col>
      <xdr:colOff>3013428</xdr:colOff>
      <xdr:row>30</xdr:row>
      <xdr:rowOff>181977</xdr:rowOff>
    </xdr:to>
    <xdr:sp macro="" textlink="">
      <xdr:nvSpPr>
        <xdr:cNvPr id="10" name="Полилиния 9"/>
        <xdr:cNvSpPr/>
      </xdr:nvSpPr>
      <xdr:spPr>
        <a:xfrm>
          <a:off x="1752600" y="7239000"/>
          <a:ext cx="1260828" cy="324852"/>
        </a:xfrm>
        <a:custGeom>
          <a:avLst/>
          <a:gdLst>
            <a:gd name="connsiteX0" fmla="*/ 0 w 1260828"/>
            <a:gd name="connsiteY0" fmla="*/ 123825 h 324852"/>
            <a:gd name="connsiteX1" fmla="*/ 95250 w 1260828"/>
            <a:gd name="connsiteY1" fmla="*/ 142875 h 324852"/>
            <a:gd name="connsiteX2" fmla="*/ 495300 w 1260828"/>
            <a:gd name="connsiteY2" fmla="*/ 238125 h 324852"/>
            <a:gd name="connsiteX3" fmla="*/ 904875 w 1260828"/>
            <a:gd name="connsiteY3" fmla="*/ 323850 h 324852"/>
            <a:gd name="connsiteX4" fmla="*/ 1238250 w 1260828"/>
            <a:gd name="connsiteY4" fmla="*/ 266700 h 324852"/>
            <a:gd name="connsiteX5" fmla="*/ 1181100 w 1260828"/>
            <a:gd name="connsiteY5" fmla="*/ 19050 h 324852"/>
            <a:gd name="connsiteX6" fmla="*/ 781050 w 1260828"/>
            <a:gd name="connsiteY6" fmla="*/ 57150 h 324852"/>
            <a:gd name="connsiteX7" fmla="*/ 66675 w 1260828"/>
            <a:gd name="connsiteY7" fmla="*/ 0 h 3248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260828" h="324852">
              <a:moveTo>
                <a:pt x="0" y="123825"/>
              </a:moveTo>
              <a:cubicBezTo>
                <a:pt x="6350" y="123825"/>
                <a:pt x="95250" y="142875"/>
                <a:pt x="95250" y="142875"/>
              </a:cubicBezTo>
              <a:lnTo>
                <a:pt x="495300" y="238125"/>
              </a:lnTo>
              <a:cubicBezTo>
                <a:pt x="630237" y="268287"/>
                <a:pt x="781050" y="319088"/>
                <a:pt x="904875" y="323850"/>
              </a:cubicBezTo>
              <a:cubicBezTo>
                <a:pt x="1028700" y="328612"/>
                <a:pt x="1192213" y="317500"/>
                <a:pt x="1238250" y="266700"/>
              </a:cubicBezTo>
              <a:cubicBezTo>
                <a:pt x="1284288" y="215900"/>
                <a:pt x="1257300" y="53975"/>
                <a:pt x="1181100" y="19050"/>
              </a:cubicBezTo>
              <a:cubicBezTo>
                <a:pt x="1104900" y="-15875"/>
                <a:pt x="966788" y="60325"/>
                <a:pt x="781050" y="57150"/>
              </a:cubicBezTo>
              <a:cubicBezTo>
                <a:pt x="595313" y="53975"/>
                <a:pt x="330994" y="26987"/>
                <a:pt x="66675" y="0"/>
              </a:cubicBezTo>
            </a:path>
          </a:pathLst>
        </a:custGeom>
        <a:noFill/>
        <a:ln w="317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2447925</xdr:colOff>
      <xdr:row>30</xdr:row>
      <xdr:rowOff>79943</xdr:rowOff>
    </xdr:from>
    <xdr:to>
      <xdr:col>0</xdr:col>
      <xdr:colOff>2733675</xdr:colOff>
      <xdr:row>31</xdr:row>
      <xdr:rowOff>171279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47925" y="7461818"/>
          <a:ext cx="285750" cy="2818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168087</xdr:colOff>
      <xdr:row>8</xdr:row>
      <xdr:rowOff>33618</xdr:rowOff>
    </xdr:from>
    <xdr:to>
      <xdr:col>2</xdr:col>
      <xdr:colOff>549087</xdr:colOff>
      <xdr:row>18</xdr:row>
      <xdr:rowOff>268941</xdr:rowOff>
    </xdr:to>
    <xdr:sp macro="" textlink="">
      <xdr:nvSpPr>
        <xdr:cNvPr id="3" name="Стрелка вправо 2"/>
        <xdr:cNvSpPr/>
      </xdr:nvSpPr>
      <xdr:spPr>
        <a:xfrm flipH="1">
          <a:off x="3316940" y="1658471"/>
          <a:ext cx="381000" cy="2084294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326572</xdr:colOff>
      <xdr:row>0</xdr:row>
      <xdr:rowOff>81643</xdr:rowOff>
    </xdr:from>
    <xdr:to>
      <xdr:col>12</xdr:col>
      <xdr:colOff>516392</xdr:colOff>
      <xdr:row>0</xdr:row>
      <xdr:rowOff>590663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9179" y="81643"/>
          <a:ext cx="1033463" cy="5090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76200</xdr:colOff>
          <xdr:row>0</xdr:row>
          <xdr:rowOff>219075</xdr:rowOff>
        </xdr:from>
        <xdr:to>
          <xdr:col>15</xdr:col>
          <xdr:colOff>0</xdr:colOff>
          <xdr:row>1</xdr:row>
          <xdr:rowOff>114300</xdr:rowOff>
        </xdr:to>
        <xdr:sp macro="" textlink="">
          <xdr:nvSpPr>
            <xdr:cNvPr id="22529" name="Button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Соханить заявки и чек-листы в pdf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0</xdr:row>
      <xdr:rowOff>85725</xdr:rowOff>
    </xdr:from>
    <xdr:to>
      <xdr:col>7</xdr:col>
      <xdr:colOff>433388</xdr:colOff>
      <xdr:row>0</xdr:row>
      <xdr:rowOff>594745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85725"/>
          <a:ext cx="1033463" cy="509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449119</xdr:colOff>
      <xdr:row>21</xdr:row>
      <xdr:rowOff>502076</xdr:rowOff>
    </xdr:from>
    <xdr:to>
      <xdr:col>2</xdr:col>
      <xdr:colOff>449119</xdr:colOff>
      <xdr:row>22</xdr:row>
      <xdr:rowOff>211163</xdr:rowOff>
    </xdr:to>
    <xdr:cxnSp macro="">
      <xdr:nvCxnSpPr>
        <xdr:cNvPr id="357" name="Прямая соединительная линия 356"/>
        <xdr:cNvCxnSpPr/>
      </xdr:nvCxnSpPr>
      <xdr:spPr>
        <a:xfrm flipV="1">
          <a:off x="908560" y="7808311"/>
          <a:ext cx="0" cy="471087"/>
        </a:xfrm>
        <a:prstGeom prst="line">
          <a:avLst/>
        </a:prstGeom>
        <a:ln w="3810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248443</xdr:colOff>
      <xdr:row>9</xdr:row>
      <xdr:rowOff>565079</xdr:rowOff>
    </xdr:from>
    <xdr:to>
      <xdr:col>2</xdr:col>
      <xdr:colOff>634918</xdr:colOff>
      <xdr:row>10</xdr:row>
      <xdr:rowOff>180029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840" y="1806613"/>
          <a:ext cx="386475" cy="376950"/>
        </a:xfrm>
        <a:prstGeom prst="rect">
          <a:avLst/>
        </a:prstGeom>
      </xdr:spPr>
    </xdr:pic>
    <xdr:clientData/>
  </xdr:twoCellAnchor>
  <xdr:twoCellAnchor>
    <xdr:from>
      <xdr:col>2</xdr:col>
      <xdr:colOff>54264</xdr:colOff>
      <xdr:row>10</xdr:row>
      <xdr:rowOff>101402</xdr:rowOff>
    </xdr:from>
    <xdr:to>
      <xdr:col>2</xdr:col>
      <xdr:colOff>162111</xdr:colOff>
      <xdr:row>10</xdr:row>
      <xdr:rowOff>192323</xdr:rowOff>
    </xdr:to>
    <xdr:sp macro="" textlink="">
      <xdr:nvSpPr>
        <xdr:cNvPr id="281" name="Овал 280"/>
        <xdr:cNvSpPr>
          <a:spLocks noChangeAspect="1"/>
        </xdr:cNvSpPr>
      </xdr:nvSpPr>
      <xdr:spPr>
        <a:xfrm>
          <a:off x="520661" y="2104936"/>
          <a:ext cx="107847" cy="9092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109491</xdr:colOff>
      <xdr:row>9</xdr:row>
      <xdr:rowOff>73141</xdr:rowOff>
    </xdr:from>
    <xdr:to>
      <xdr:col>2</xdr:col>
      <xdr:colOff>109491</xdr:colOff>
      <xdr:row>10</xdr:row>
      <xdr:rowOff>139816</xdr:rowOff>
    </xdr:to>
    <xdr:cxnSp macro="">
      <xdr:nvCxnSpPr>
        <xdr:cNvPr id="284" name="Прямая соединительная линия 283"/>
        <xdr:cNvCxnSpPr/>
      </xdr:nvCxnSpPr>
      <xdr:spPr>
        <a:xfrm flipV="1">
          <a:off x="575888" y="1314675"/>
          <a:ext cx="0" cy="828675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122629</xdr:colOff>
      <xdr:row>18</xdr:row>
      <xdr:rowOff>80434</xdr:rowOff>
    </xdr:from>
    <xdr:to>
      <xdr:col>10</xdr:col>
      <xdr:colOff>230476</xdr:colOff>
      <xdr:row>18</xdr:row>
      <xdr:rowOff>188434</xdr:rowOff>
    </xdr:to>
    <xdr:sp macro="" textlink="">
      <xdr:nvSpPr>
        <xdr:cNvPr id="313" name="Овал 312"/>
        <xdr:cNvSpPr>
          <a:spLocks noChangeAspect="1"/>
        </xdr:cNvSpPr>
      </xdr:nvSpPr>
      <xdr:spPr>
        <a:xfrm>
          <a:off x="4885129" y="6131610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177856</xdr:colOff>
      <xdr:row>17</xdr:row>
      <xdr:rowOff>55264</xdr:rowOff>
    </xdr:from>
    <xdr:to>
      <xdr:col>10</xdr:col>
      <xdr:colOff>177856</xdr:colOff>
      <xdr:row>18</xdr:row>
      <xdr:rowOff>118848</xdr:rowOff>
    </xdr:to>
    <xdr:cxnSp macro="">
      <xdr:nvCxnSpPr>
        <xdr:cNvPr id="314" name="Прямая соединительная линия 313"/>
        <xdr:cNvCxnSpPr/>
      </xdr:nvCxnSpPr>
      <xdr:spPr>
        <a:xfrm flipV="1">
          <a:off x="4940356" y="5344440"/>
          <a:ext cx="0" cy="825584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109413</xdr:colOff>
      <xdr:row>17</xdr:row>
      <xdr:rowOff>516580</xdr:rowOff>
    </xdr:from>
    <xdr:to>
      <xdr:col>10</xdr:col>
      <xdr:colOff>568381</xdr:colOff>
      <xdr:row>17</xdr:row>
      <xdr:rowOff>516580</xdr:rowOff>
    </xdr:to>
    <xdr:cxnSp macro="">
      <xdr:nvCxnSpPr>
        <xdr:cNvPr id="315" name="Прямая соединительная линия 314"/>
        <xdr:cNvCxnSpPr/>
      </xdr:nvCxnSpPr>
      <xdr:spPr>
        <a:xfrm>
          <a:off x="4524531" y="5805756"/>
          <a:ext cx="8063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152965</xdr:colOff>
      <xdr:row>16</xdr:row>
      <xdr:rowOff>88998</xdr:rowOff>
    </xdr:from>
    <xdr:to>
      <xdr:col>4</xdr:col>
      <xdr:colOff>260812</xdr:colOff>
      <xdr:row>16</xdr:row>
      <xdr:rowOff>196998</xdr:rowOff>
    </xdr:to>
    <xdr:sp macro="" textlink="">
      <xdr:nvSpPr>
        <xdr:cNvPr id="316" name="Овал 315"/>
        <xdr:cNvSpPr>
          <a:spLocks noChangeAspect="1"/>
        </xdr:cNvSpPr>
      </xdr:nvSpPr>
      <xdr:spPr>
        <a:xfrm>
          <a:off x="1688171" y="5131645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208192</xdr:colOff>
      <xdr:row>15</xdr:row>
      <xdr:rowOff>336177</xdr:rowOff>
    </xdr:from>
    <xdr:to>
      <xdr:col>4</xdr:col>
      <xdr:colOff>208192</xdr:colOff>
      <xdr:row>16</xdr:row>
      <xdr:rowOff>127414</xdr:rowOff>
    </xdr:to>
    <xdr:cxnSp macro="">
      <xdr:nvCxnSpPr>
        <xdr:cNvPr id="317" name="Прямая соединительная линия 316"/>
        <xdr:cNvCxnSpPr/>
      </xdr:nvCxnSpPr>
      <xdr:spPr>
        <a:xfrm flipV="1">
          <a:off x="1743398" y="4616824"/>
          <a:ext cx="0" cy="553237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139749</xdr:colOff>
      <xdr:row>15</xdr:row>
      <xdr:rowOff>525144</xdr:rowOff>
    </xdr:from>
    <xdr:to>
      <xdr:col>4</xdr:col>
      <xdr:colOff>598717</xdr:colOff>
      <xdr:row>15</xdr:row>
      <xdr:rowOff>525144</xdr:rowOff>
    </xdr:to>
    <xdr:cxnSp macro="">
      <xdr:nvCxnSpPr>
        <xdr:cNvPr id="318" name="Прямая соединительная линия 317"/>
        <xdr:cNvCxnSpPr/>
      </xdr:nvCxnSpPr>
      <xdr:spPr>
        <a:xfrm>
          <a:off x="1327573" y="4805791"/>
          <a:ext cx="8063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208638</xdr:colOff>
      <xdr:row>15</xdr:row>
      <xdr:rowOff>521586</xdr:rowOff>
    </xdr:from>
    <xdr:to>
      <xdr:col>4</xdr:col>
      <xdr:colOff>650552</xdr:colOff>
      <xdr:row>16</xdr:row>
      <xdr:rowOff>140586</xdr:rowOff>
    </xdr:to>
    <xdr:sp macro="" textlink="">
      <xdr:nvSpPr>
        <xdr:cNvPr id="320" name="Полилиния 319"/>
        <xdr:cNvSpPr/>
      </xdr:nvSpPr>
      <xdr:spPr>
        <a:xfrm>
          <a:off x="1743844" y="4802233"/>
          <a:ext cx="441914" cy="381000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146403</xdr:colOff>
      <xdr:row>14</xdr:row>
      <xdr:rowOff>83956</xdr:rowOff>
    </xdr:from>
    <xdr:to>
      <xdr:col>8</xdr:col>
      <xdr:colOff>254250</xdr:colOff>
      <xdr:row>14</xdr:row>
      <xdr:rowOff>191956</xdr:rowOff>
    </xdr:to>
    <xdr:sp macro="" textlink="">
      <xdr:nvSpPr>
        <xdr:cNvPr id="321" name="Овал 320"/>
        <xdr:cNvSpPr>
          <a:spLocks noChangeAspect="1"/>
        </xdr:cNvSpPr>
      </xdr:nvSpPr>
      <xdr:spPr>
        <a:xfrm>
          <a:off x="3833138" y="4118074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201630</xdr:colOff>
      <xdr:row>13</xdr:row>
      <xdr:rowOff>55695</xdr:rowOff>
    </xdr:from>
    <xdr:to>
      <xdr:col>8</xdr:col>
      <xdr:colOff>201630</xdr:colOff>
      <xdr:row>14</xdr:row>
      <xdr:rowOff>122370</xdr:rowOff>
    </xdr:to>
    <xdr:cxnSp macro="">
      <xdr:nvCxnSpPr>
        <xdr:cNvPr id="322" name="Прямая соединительная линия 321"/>
        <xdr:cNvCxnSpPr/>
      </xdr:nvCxnSpPr>
      <xdr:spPr>
        <a:xfrm flipV="1">
          <a:off x="3888365" y="3327813"/>
          <a:ext cx="0" cy="828675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142712</xdr:colOff>
      <xdr:row>13</xdr:row>
      <xdr:rowOff>520102</xdr:rowOff>
    </xdr:from>
    <xdr:to>
      <xdr:col>8</xdr:col>
      <xdr:colOff>601680</xdr:colOff>
      <xdr:row>13</xdr:row>
      <xdr:rowOff>520102</xdr:rowOff>
    </xdr:to>
    <xdr:cxnSp macro="">
      <xdr:nvCxnSpPr>
        <xdr:cNvPr id="323" name="Прямая соединительная линия 322"/>
        <xdr:cNvCxnSpPr/>
      </xdr:nvCxnSpPr>
      <xdr:spPr>
        <a:xfrm>
          <a:off x="3482065" y="3792220"/>
          <a:ext cx="8063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202076</xdr:colOff>
      <xdr:row>13</xdr:row>
      <xdr:rowOff>516544</xdr:rowOff>
    </xdr:from>
    <xdr:to>
      <xdr:col>8</xdr:col>
      <xdr:colOff>641691</xdr:colOff>
      <xdr:row>14</xdr:row>
      <xdr:rowOff>135544</xdr:rowOff>
    </xdr:to>
    <xdr:sp macro="" textlink="">
      <xdr:nvSpPr>
        <xdr:cNvPr id="324" name="Полилиния 323"/>
        <xdr:cNvSpPr/>
      </xdr:nvSpPr>
      <xdr:spPr>
        <a:xfrm>
          <a:off x="3888811" y="3788662"/>
          <a:ext cx="439615" cy="381000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8</xdr:col>
      <xdr:colOff>280143</xdr:colOff>
      <xdr:row>13</xdr:row>
      <xdr:rowOff>627193</xdr:rowOff>
    </xdr:from>
    <xdr:to>
      <xdr:col>8</xdr:col>
      <xdr:colOff>532143</xdr:colOff>
      <xdr:row>14</xdr:row>
      <xdr:rowOff>117193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878" y="3899311"/>
          <a:ext cx="252000" cy="252000"/>
        </a:xfrm>
        <a:prstGeom prst="rect">
          <a:avLst/>
        </a:prstGeom>
      </xdr:spPr>
    </xdr:pic>
    <xdr:clientData/>
  </xdr:twoCellAnchor>
  <xdr:twoCellAnchor>
    <xdr:from>
      <xdr:col>10</xdr:col>
      <xdr:colOff>145719</xdr:colOff>
      <xdr:row>10</xdr:row>
      <xdr:rowOff>110743</xdr:rowOff>
    </xdr:from>
    <xdr:to>
      <xdr:col>10</xdr:col>
      <xdr:colOff>253566</xdr:colOff>
      <xdr:row>10</xdr:row>
      <xdr:rowOff>201664</xdr:rowOff>
    </xdr:to>
    <xdr:sp macro="" textlink="">
      <xdr:nvSpPr>
        <xdr:cNvPr id="325" name="Овал 324"/>
        <xdr:cNvSpPr>
          <a:spLocks noChangeAspect="1"/>
        </xdr:cNvSpPr>
      </xdr:nvSpPr>
      <xdr:spPr>
        <a:xfrm rot="10800000">
          <a:off x="4973909" y="2114277"/>
          <a:ext cx="107847" cy="9092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198339</xdr:colOff>
      <xdr:row>9</xdr:row>
      <xdr:rowOff>114069</xdr:rowOff>
    </xdr:from>
    <xdr:to>
      <xdr:col>10</xdr:col>
      <xdr:colOff>198339</xdr:colOff>
      <xdr:row>10</xdr:row>
      <xdr:rowOff>180744</xdr:rowOff>
    </xdr:to>
    <xdr:cxnSp macro="">
      <xdr:nvCxnSpPr>
        <xdr:cNvPr id="326" name="Прямая соединительная линия 325"/>
        <xdr:cNvCxnSpPr/>
      </xdr:nvCxnSpPr>
      <xdr:spPr>
        <a:xfrm rot="10800000" flipV="1">
          <a:off x="5026529" y="1355603"/>
          <a:ext cx="0" cy="828675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206503</xdr:colOff>
      <xdr:row>9</xdr:row>
      <xdr:rowOff>478337</xdr:rowOff>
    </xdr:from>
    <xdr:to>
      <xdr:col>10</xdr:col>
      <xdr:colOff>597028</xdr:colOff>
      <xdr:row>9</xdr:row>
      <xdr:rowOff>478337</xdr:rowOff>
    </xdr:to>
    <xdr:cxnSp macro="">
      <xdr:nvCxnSpPr>
        <xdr:cNvPr id="327" name="Прямая соединительная линия 326"/>
        <xdr:cNvCxnSpPr/>
      </xdr:nvCxnSpPr>
      <xdr:spPr>
        <a:xfrm rot="10800000">
          <a:off x="5034693" y="1719871"/>
          <a:ext cx="390525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197384</xdr:colOff>
      <xdr:row>9</xdr:row>
      <xdr:rowOff>476543</xdr:rowOff>
    </xdr:from>
    <xdr:to>
      <xdr:col>10</xdr:col>
      <xdr:colOff>639617</xdr:colOff>
      <xdr:row>10</xdr:row>
      <xdr:rowOff>168267</xdr:rowOff>
    </xdr:to>
    <xdr:sp macro="" textlink="">
      <xdr:nvSpPr>
        <xdr:cNvPr id="328" name="Полилиния 327"/>
        <xdr:cNvSpPr/>
      </xdr:nvSpPr>
      <xdr:spPr>
        <a:xfrm rot="10800000" flipH="1" flipV="1">
          <a:off x="5025574" y="1718077"/>
          <a:ext cx="442233" cy="453724"/>
        </a:xfrm>
        <a:custGeom>
          <a:avLst/>
          <a:gdLst>
            <a:gd name="connsiteX0" fmla="*/ 0 w 451758"/>
            <a:gd name="connsiteY0" fmla="*/ 370114 h 370114"/>
            <a:gd name="connsiteX1" fmla="*/ 0 w 451758"/>
            <a:gd name="connsiteY1" fmla="*/ 0 h 370114"/>
            <a:gd name="connsiteX2" fmla="*/ 451758 w 451758"/>
            <a:gd name="connsiteY2" fmla="*/ 0 h 370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1758" h="370114">
              <a:moveTo>
                <a:pt x="0" y="370114"/>
              </a:moveTo>
              <a:lnTo>
                <a:pt x="0" y="0"/>
              </a:lnTo>
              <a:lnTo>
                <a:pt x="451758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127019</xdr:colOff>
      <xdr:row>9</xdr:row>
      <xdr:rowOff>601204</xdr:rowOff>
    </xdr:from>
    <xdr:to>
      <xdr:col>10</xdr:col>
      <xdr:colOff>184169</xdr:colOff>
      <xdr:row>9</xdr:row>
      <xdr:rowOff>601204</xdr:rowOff>
    </xdr:to>
    <xdr:cxnSp macro="">
      <xdr:nvCxnSpPr>
        <xdr:cNvPr id="329" name="Прямая соединительная линия 328"/>
        <xdr:cNvCxnSpPr/>
      </xdr:nvCxnSpPr>
      <xdr:spPr>
        <a:xfrm rot="10800000" flipH="1">
          <a:off x="4600485" y="1842738"/>
          <a:ext cx="41187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321897</xdr:colOff>
      <xdr:row>9</xdr:row>
      <xdr:rowOff>487557</xdr:rowOff>
    </xdr:from>
    <xdr:to>
      <xdr:col>10</xdr:col>
      <xdr:colOff>117828</xdr:colOff>
      <xdr:row>9</xdr:row>
      <xdr:rowOff>719320</xdr:rowOff>
    </xdr:to>
    <xdr:grpSp>
      <xdr:nvGrpSpPr>
        <xdr:cNvPr id="331" name="Группа 330"/>
        <xdr:cNvGrpSpPr/>
      </xdr:nvGrpSpPr>
      <xdr:grpSpPr>
        <a:xfrm rot="16200000">
          <a:off x="4744017" y="1780437"/>
          <a:ext cx="231763" cy="149717"/>
          <a:chOff x="1105823" y="3587764"/>
          <a:chExt cx="231801" cy="150655"/>
        </a:xfrm>
      </xdr:grpSpPr>
      <xdr:sp macro="" textlink="">
        <xdr:nvSpPr>
          <xdr:cNvPr id="332" name="Овал 331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 flipH="1">
            <a:off x="1105823" y="3690058"/>
            <a:ext cx="46948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33" name="Прямая со стрелкой 332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V="1">
            <a:off x="1157055" y="3587764"/>
            <a:ext cx="180569" cy="108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120551</xdr:colOff>
      <xdr:row>24</xdr:row>
      <xdr:rowOff>68748</xdr:rowOff>
    </xdr:from>
    <xdr:to>
      <xdr:col>2</xdr:col>
      <xdr:colOff>228398</xdr:colOff>
      <xdr:row>24</xdr:row>
      <xdr:rowOff>176748</xdr:rowOff>
    </xdr:to>
    <xdr:sp macro="" textlink="">
      <xdr:nvSpPr>
        <xdr:cNvPr id="334" name="Овал 333"/>
        <xdr:cNvSpPr>
          <a:spLocks noChangeAspect="1"/>
        </xdr:cNvSpPr>
      </xdr:nvSpPr>
      <xdr:spPr>
        <a:xfrm>
          <a:off x="579992" y="9145513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175778</xdr:colOff>
      <xdr:row>23</xdr:row>
      <xdr:rowOff>60657</xdr:rowOff>
    </xdr:from>
    <xdr:to>
      <xdr:col>2</xdr:col>
      <xdr:colOff>175778</xdr:colOff>
      <xdr:row>24</xdr:row>
      <xdr:rowOff>107162</xdr:rowOff>
    </xdr:to>
    <xdr:cxnSp macro="">
      <xdr:nvCxnSpPr>
        <xdr:cNvPr id="335" name="Прямая соединительная линия 334"/>
        <xdr:cNvCxnSpPr/>
      </xdr:nvCxnSpPr>
      <xdr:spPr>
        <a:xfrm flipV="1">
          <a:off x="635219" y="8375422"/>
          <a:ext cx="0" cy="808505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149086</xdr:colOff>
      <xdr:row>23</xdr:row>
      <xdr:rowOff>504793</xdr:rowOff>
    </xdr:from>
    <xdr:to>
      <xdr:col>2</xdr:col>
      <xdr:colOff>563217</xdr:colOff>
      <xdr:row>23</xdr:row>
      <xdr:rowOff>504793</xdr:rowOff>
    </xdr:to>
    <xdr:cxnSp macro="">
      <xdr:nvCxnSpPr>
        <xdr:cNvPr id="336" name="Прямая соединительная линия 335"/>
        <xdr:cNvCxnSpPr/>
      </xdr:nvCxnSpPr>
      <xdr:spPr>
        <a:xfrm>
          <a:off x="265043" y="8820532"/>
          <a:ext cx="770283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171374</xdr:colOff>
      <xdr:row>14</xdr:row>
      <xdr:rowOff>67946</xdr:rowOff>
    </xdr:from>
    <xdr:to>
      <xdr:col>4</xdr:col>
      <xdr:colOff>279221</xdr:colOff>
      <xdr:row>14</xdr:row>
      <xdr:rowOff>175946</xdr:rowOff>
    </xdr:to>
    <xdr:sp macro="" textlink="">
      <xdr:nvSpPr>
        <xdr:cNvPr id="338" name="Овал 337"/>
        <xdr:cNvSpPr>
          <a:spLocks noChangeAspect="1"/>
        </xdr:cNvSpPr>
      </xdr:nvSpPr>
      <xdr:spPr>
        <a:xfrm>
          <a:off x="1706580" y="4102064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226601</xdr:colOff>
      <xdr:row>13</xdr:row>
      <xdr:rowOff>42776</xdr:rowOff>
    </xdr:from>
    <xdr:to>
      <xdr:col>4</xdr:col>
      <xdr:colOff>226601</xdr:colOff>
      <xdr:row>14</xdr:row>
      <xdr:rowOff>106360</xdr:rowOff>
    </xdr:to>
    <xdr:cxnSp macro="">
      <xdr:nvCxnSpPr>
        <xdr:cNvPr id="339" name="Прямая соединительная линия 338"/>
        <xdr:cNvCxnSpPr/>
      </xdr:nvCxnSpPr>
      <xdr:spPr>
        <a:xfrm flipV="1">
          <a:off x="1761807" y="3314894"/>
          <a:ext cx="0" cy="825584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158158</xdr:colOff>
      <xdr:row>13</xdr:row>
      <xdr:rowOff>504092</xdr:rowOff>
    </xdr:from>
    <xdr:to>
      <xdr:col>4</xdr:col>
      <xdr:colOff>628950</xdr:colOff>
      <xdr:row>13</xdr:row>
      <xdr:rowOff>504092</xdr:rowOff>
    </xdr:to>
    <xdr:cxnSp macro="">
      <xdr:nvCxnSpPr>
        <xdr:cNvPr id="340" name="Прямая соединительная линия 339"/>
        <xdr:cNvCxnSpPr/>
      </xdr:nvCxnSpPr>
      <xdr:spPr>
        <a:xfrm>
          <a:off x="1345982" y="3776210"/>
          <a:ext cx="818174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186342</xdr:colOff>
      <xdr:row>14</xdr:row>
      <xdr:rowOff>56742</xdr:rowOff>
    </xdr:from>
    <xdr:to>
      <xdr:col>2</xdr:col>
      <xdr:colOff>294189</xdr:colOff>
      <xdr:row>14</xdr:row>
      <xdr:rowOff>164742</xdr:rowOff>
    </xdr:to>
    <xdr:sp macro="" textlink="">
      <xdr:nvSpPr>
        <xdr:cNvPr id="341" name="Овал 340"/>
        <xdr:cNvSpPr>
          <a:spLocks noChangeAspect="1"/>
        </xdr:cNvSpPr>
      </xdr:nvSpPr>
      <xdr:spPr>
        <a:xfrm>
          <a:off x="645783" y="4090860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241569</xdr:colOff>
      <xdr:row>13</xdr:row>
      <xdr:rowOff>31572</xdr:rowOff>
    </xdr:from>
    <xdr:to>
      <xdr:col>2</xdr:col>
      <xdr:colOff>241569</xdr:colOff>
      <xdr:row>14</xdr:row>
      <xdr:rowOff>95156</xdr:rowOff>
    </xdr:to>
    <xdr:cxnSp macro="">
      <xdr:nvCxnSpPr>
        <xdr:cNvPr id="342" name="Прямая соединительная линия 341"/>
        <xdr:cNvCxnSpPr/>
      </xdr:nvCxnSpPr>
      <xdr:spPr>
        <a:xfrm flipV="1">
          <a:off x="701010" y="3303690"/>
          <a:ext cx="0" cy="82558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182651</xdr:colOff>
      <xdr:row>13</xdr:row>
      <xdr:rowOff>492888</xdr:rowOff>
    </xdr:from>
    <xdr:to>
      <xdr:col>2</xdr:col>
      <xdr:colOff>653443</xdr:colOff>
      <xdr:row>13</xdr:row>
      <xdr:rowOff>492888</xdr:rowOff>
    </xdr:to>
    <xdr:cxnSp macro="">
      <xdr:nvCxnSpPr>
        <xdr:cNvPr id="343" name="Прямая соединительная линия 342"/>
        <xdr:cNvCxnSpPr/>
      </xdr:nvCxnSpPr>
      <xdr:spPr>
        <a:xfrm>
          <a:off x="294710" y="3765006"/>
          <a:ext cx="818174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242015</xdr:colOff>
      <xdr:row>13</xdr:row>
      <xdr:rowOff>489330</xdr:rowOff>
    </xdr:from>
    <xdr:to>
      <xdr:col>2</xdr:col>
      <xdr:colOff>686113</xdr:colOff>
      <xdr:row>14</xdr:row>
      <xdr:rowOff>108330</xdr:rowOff>
    </xdr:to>
    <xdr:sp macro="" textlink="">
      <xdr:nvSpPr>
        <xdr:cNvPr id="344" name="Полилиния 343"/>
        <xdr:cNvSpPr/>
      </xdr:nvSpPr>
      <xdr:spPr>
        <a:xfrm>
          <a:off x="701456" y="3761448"/>
          <a:ext cx="444098" cy="381000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305116</xdr:colOff>
      <xdr:row>13</xdr:row>
      <xdr:rowOff>570364</xdr:rowOff>
    </xdr:from>
    <xdr:to>
      <xdr:col>4</xdr:col>
      <xdr:colOff>539453</xdr:colOff>
      <xdr:row>14</xdr:row>
      <xdr:rowOff>52225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322" y="3842482"/>
          <a:ext cx="234337" cy="243861"/>
        </a:xfrm>
        <a:prstGeom prst="rect">
          <a:avLst/>
        </a:prstGeom>
      </xdr:spPr>
    </xdr:pic>
    <xdr:clientData/>
  </xdr:twoCellAnchor>
  <xdr:twoCellAnchor editAs="oneCell">
    <xdr:from>
      <xdr:col>2</xdr:col>
      <xdr:colOff>336412</xdr:colOff>
      <xdr:row>13</xdr:row>
      <xdr:rowOff>589094</xdr:rowOff>
    </xdr:from>
    <xdr:to>
      <xdr:col>2</xdr:col>
      <xdr:colOff>580273</xdr:colOff>
      <xdr:row>14</xdr:row>
      <xdr:rowOff>70955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853" y="3861212"/>
          <a:ext cx="243861" cy="243861"/>
        </a:xfrm>
        <a:prstGeom prst="rect">
          <a:avLst/>
        </a:prstGeom>
      </xdr:spPr>
    </xdr:pic>
    <xdr:clientData/>
  </xdr:twoCellAnchor>
  <xdr:twoCellAnchor>
    <xdr:from>
      <xdr:col>4</xdr:col>
      <xdr:colOff>236210</xdr:colOff>
      <xdr:row>10</xdr:row>
      <xdr:rowOff>121093</xdr:rowOff>
    </xdr:from>
    <xdr:to>
      <xdr:col>4</xdr:col>
      <xdr:colOff>344057</xdr:colOff>
      <xdr:row>10</xdr:row>
      <xdr:rowOff>212014</xdr:rowOff>
    </xdr:to>
    <xdr:sp macro="" textlink="">
      <xdr:nvSpPr>
        <xdr:cNvPr id="347" name="Овал 346"/>
        <xdr:cNvSpPr>
          <a:spLocks noChangeAspect="1"/>
        </xdr:cNvSpPr>
      </xdr:nvSpPr>
      <xdr:spPr>
        <a:xfrm>
          <a:off x="1793055" y="2124627"/>
          <a:ext cx="107847" cy="9092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305044</xdr:colOff>
      <xdr:row>9</xdr:row>
      <xdr:rowOff>555476</xdr:rowOff>
    </xdr:from>
    <xdr:to>
      <xdr:col>4</xdr:col>
      <xdr:colOff>305044</xdr:colOff>
      <xdr:row>10</xdr:row>
      <xdr:rowOff>159509</xdr:rowOff>
    </xdr:to>
    <xdr:cxnSp macro="">
      <xdr:nvCxnSpPr>
        <xdr:cNvPr id="348" name="Прямая соединительная линия 347"/>
        <xdr:cNvCxnSpPr/>
      </xdr:nvCxnSpPr>
      <xdr:spPr>
        <a:xfrm flipV="1">
          <a:off x="1861889" y="1797010"/>
          <a:ext cx="0" cy="36603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222994</xdr:colOff>
      <xdr:row>9</xdr:row>
      <xdr:rowOff>557239</xdr:rowOff>
    </xdr:from>
    <xdr:to>
      <xdr:col>4</xdr:col>
      <xdr:colOff>693786</xdr:colOff>
      <xdr:row>9</xdr:row>
      <xdr:rowOff>557239</xdr:rowOff>
    </xdr:to>
    <xdr:cxnSp macro="">
      <xdr:nvCxnSpPr>
        <xdr:cNvPr id="349" name="Прямая соединительная линия 348"/>
        <xdr:cNvCxnSpPr/>
      </xdr:nvCxnSpPr>
      <xdr:spPr>
        <a:xfrm>
          <a:off x="1425115" y="1798773"/>
          <a:ext cx="825516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282358</xdr:colOff>
      <xdr:row>9</xdr:row>
      <xdr:rowOff>553681</xdr:rowOff>
    </xdr:from>
    <xdr:to>
      <xdr:col>4</xdr:col>
      <xdr:colOff>733797</xdr:colOff>
      <xdr:row>10</xdr:row>
      <xdr:rowOff>172681</xdr:rowOff>
    </xdr:to>
    <xdr:sp macro="" textlink="">
      <xdr:nvSpPr>
        <xdr:cNvPr id="350" name="Полилиния 349"/>
        <xdr:cNvSpPr/>
      </xdr:nvSpPr>
      <xdr:spPr>
        <a:xfrm>
          <a:off x="1839203" y="1795215"/>
          <a:ext cx="451439" cy="381000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293138</xdr:colOff>
      <xdr:row>9</xdr:row>
      <xdr:rowOff>133350</xdr:rowOff>
    </xdr:from>
    <xdr:to>
      <xdr:col>4</xdr:col>
      <xdr:colOff>293138</xdr:colOff>
      <xdr:row>9</xdr:row>
      <xdr:rowOff>539793</xdr:rowOff>
    </xdr:to>
    <xdr:cxnSp macro="">
      <xdr:nvCxnSpPr>
        <xdr:cNvPr id="351" name="Прямая соединительная линия 350"/>
        <xdr:cNvCxnSpPr/>
      </xdr:nvCxnSpPr>
      <xdr:spPr>
        <a:xfrm flipV="1">
          <a:off x="1845713" y="1381125"/>
          <a:ext cx="0" cy="406443"/>
        </a:xfrm>
        <a:prstGeom prst="line">
          <a:avLst/>
        </a:prstGeom>
        <a:ln w="19050">
          <a:solidFill>
            <a:schemeClr val="tx1"/>
          </a:solidFill>
          <a:prstDash val="dash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369020</xdr:colOff>
      <xdr:row>9</xdr:row>
      <xdr:rowOff>228436</xdr:rowOff>
    </xdr:from>
    <xdr:to>
      <xdr:col>4</xdr:col>
      <xdr:colOff>611404</xdr:colOff>
      <xdr:row>9</xdr:row>
      <xdr:rowOff>480436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865" y="1469970"/>
          <a:ext cx="242384" cy="252000"/>
        </a:xfrm>
        <a:prstGeom prst="rect">
          <a:avLst/>
        </a:prstGeom>
      </xdr:spPr>
    </xdr:pic>
    <xdr:clientData/>
  </xdr:twoCellAnchor>
  <xdr:twoCellAnchor>
    <xdr:from>
      <xdr:col>2</xdr:col>
      <xdr:colOff>139188</xdr:colOff>
      <xdr:row>22</xdr:row>
      <xdr:rowOff>70509</xdr:rowOff>
    </xdr:from>
    <xdr:to>
      <xdr:col>2</xdr:col>
      <xdr:colOff>247035</xdr:colOff>
      <xdr:row>22</xdr:row>
      <xdr:rowOff>178509</xdr:rowOff>
    </xdr:to>
    <xdr:sp macro="" textlink="">
      <xdr:nvSpPr>
        <xdr:cNvPr id="352" name="Овал 351"/>
        <xdr:cNvSpPr>
          <a:spLocks noChangeAspect="1"/>
        </xdr:cNvSpPr>
      </xdr:nvSpPr>
      <xdr:spPr>
        <a:xfrm>
          <a:off x="598629" y="8138744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194415</xdr:colOff>
      <xdr:row>21</xdr:row>
      <xdr:rowOff>62419</xdr:rowOff>
    </xdr:from>
    <xdr:to>
      <xdr:col>2</xdr:col>
      <xdr:colOff>194415</xdr:colOff>
      <xdr:row>22</xdr:row>
      <xdr:rowOff>108923</xdr:rowOff>
    </xdr:to>
    <xdr:cxnSp macro="">
      <xdr:nvCxnSpPr>
        <xdr:cNvPr id="353" name="Прямая соединительная линия 352"/>
        <xdr:cNvCxnSpPr/>
      </xdr:nvCxnSpPr>
      <xdr:spPr>
        <a:xfrm flipV="1">
          <a:off x="653856" y="7368654"/>
          <a:ext cx="0" cy="80850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194415</xdr:colOff>
      <xdr:row>21</xdr:row>
      <xdr:rowOff>276741</xdr:rowOff>
    </xdr:from>
    <xdr:to>
      <xdr:col>2</xdr:col>
      <xdr:colOff>606289</xdr:colOff>
      <xdr:row>21</xdr:row>
      <xdr:rowOff>276741</xdr:rowOff>
    </xdr:to>
    <xdr:cxnSp macro="">
      <xdr:nvCxnSpPr>
        <xdr:cNvPr id="354" name="Прямая соединительная линия 353"/>
        <xdr:cNvCxnSpPr/>
      </xdr:nvCxnSpPr>
      <xdr:spPr>
        <a:xfrm>
          <a:off x="653856" y="7582976"/>
          <a:ext cx="411874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195368</xdr:colOff>
      <xdr:row>21</xdr:row>
      <xdr:rowOff>283422</xdr:rowOff>
    </xdr:from>
    <xdr:to>
      <xdr:col>2</xdr:col>
      <xdr:colOff>651609</xdr:colOff>
      <xdr:row>22</xdr:row>
      <xdr:rowOff>116563</xdr:rowOff>
    </xdr:to>
    <xdr:sp macro="" textlink="">
      <xdr:nvSpPr>
        <xdr:cNvPr id="355" name="Полилиния 354"/>
        <xdr:cNvSpPr/>
      </xdr:nvSpPr>
      <xdr:spPr>
        <a:xfrm>
          <a:off x="654809" y="7589657"/>
          <a:ext cx="456241" cy="595141"/>
        </a:xfrm>
        <a:custGeom>
          <a:avLst/>
          <a:gdLst>
            <a:gd name="connsiteX0" fmla="*/ 0 w 451758"/>
            <a:gd name="connsiteY0" fmla="*/ 370114 h 370114"/>
            <a:gd name="connsiteX1" fmla="*/ 0 w 451758"/>
            <a:gd name="connsiteY1" fmla="*/ 0 h 370114"/>
            <a:gd name="connsiteX2" fmla="*/ 451758 w 451758"/>
            <a:gd name="connsiteY2" fmla="*/ 0 h 370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1758" h="370114">
              <a:moveTo>
                <a:pt x="0" y="370114"/>
              </a:moveTo>
              <a:lnTo>
                <a:pt x="0" y="0"/>
              </a:lnTo>
              <a:lnTo>
                <a:pt x="451758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287459</xdr:colOff>
      <xdr:row>21</xdr:row>
      <xdr:rowOff>329611</xdr:rowOff>
    </xdr:from>
    <xdr:to>
      <xdr:col>2</xdr:col>
      <xdr:colOff>613822</xdr:colOff>
      <xdr:row>22</xdr:row>
      <xdr:rowOff>171750</xdr:rowOff>
    </xdr:to>
    <xdr:grpSp>
      <xdr:nvGrpSpPr>
        <xdr:cNvPr id="28" name="Группа 27"/>
        <xdr:cNvGrpSpPr/>
      </xdr:nvGrpSpPr>
      <xdr:grpSpPr>
        <a:xfrm>
          <a:off x="750102" y="7623040"/>
          <a:ext cx="326363" cy="604139"/>
          <a:chOff x="724023" y="7658183"/>
          <a:chExt cx="321880" cy="604139"/>
        </a:xfrm>
      </xdr:grpSpPr>
      <xdr:sp macro="" textlink="">
        <xdr:nvSpPr>
          <xdr:cNvPr id="26" name="Прямоугольник 25"/>
          <xdr:cNvSpPr/>
        </xdr:nvSpPr>
        <xdr:spPr>
          <a:xfrm>
            <a:off x="724023" y="7947011"/>
            <a:ext cx="321880" cy="315311"/>
          </a:xfrm>
          <a:prstGeom prst="rect">
            <a:avLst/>
          </a:prstGeom>
          <a:solidFill>
            <a:srgbClr val="FFFF0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356" name="Рисунок 35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3753" y="7658183"/>
            <a:ext cx="243861" cy="243861"/>
          </a:xfrm>
          <a:prstGeom prst="rect">
            <a:avLst/>
          </a:prstGeom>
        </xdr:spPr>
      </xdr:pic>
      <xdr:pic>
        <xdr:nvPicPr>
          <xdr:cNvPr id="20" name="Рисунок 19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9683" y="7980794"/>
            <a:ext cx="252000" cy="25669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294822</xdr:colOff>
      <xdr:row>20</xdr:row>
      <xdr:rowOff>98281</xdr:rowOff>
    </xdr:from>
    <xdr:to>
      <xdr:col>8</xdr:col>
      <xdr:colOff>402822</xdr:colOff>
      <xdr:row>20</xdr:row>
      <xdr:rowOff>206610</xdr:rowOff>
    </xdr:to>
    <xdr:sp macro="" textlink="">
      <xdr:nvSpPr>
        <xdr:cNvPr id="358" name="Овал 357"/>
        <xdr:cNvSpPr>
          <a:spLocks noChangeAspect="1"/>
        </xdr:cNvSpPr>
      </xdr:nvSpPr>
      <xdr:spPr>
        <a:xfrm rot="5400000">
          <a:off x="3981392" y="7158152"/>
          <a:ext cx="108329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203335</xdr:colOff>
      <xdr:row>19</xdr:row>
      <xdr:rowOff>52160</xdr:rowOff>
    </xdr:from>
    <xdr:to>
      <xdr:col>8</xdr:col>
      <xdr:colOff>203335</xdr:colOff>
      <xdr:row>19</xdr:row>
      <xdr:rowOff>451150</xdr:rowOff>
    </xdr:to>
    <xdr:cxnSp macro="">
      <xdr:nvCxnSpPr>
        <xdr:cNvPr id="359" name="Прямая соединительная линия 358"/>
        <xdr:cNvCxnSpPr/>
      </xdr:nvCxnSpPr>
      <xdr:spPr>
        <a:xfrm rot="5400000">
          <a:off x="3690575" y="6549361"/>
          <a:ext cx="39899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169499</xdr:colOff>
      <xdr:row>19</xdr:row>
      <xdr:rowOff>453266</xdr:rowOff>
    </xdr:from>
    <xdr:to>
      <xdr:col>8</xdr:col>
      <xdr:colOff>360865</xdr:colOff>
      <xdr:row>20</xdr:row>
      <xdr:rowOff>175559</xdr:rowOff>
    </xdr:to>
    <xdr:grpSp>
      <xdr:nvGrpSpPr>
        <xdr:cNvPr id="361" name="Группа 360"/>
        <xdr:cNvGrpSpPr/>
      </xdr:nvGrpSpPr>
      <xdr:grpSpPr>
        <a:xfrm rot="5400000">
          <a:off x="3574499" y="6709337"/>
          <a:ext cx="484293" cy="545152"/>
          <a:chOff x="4617546" y="6477173"/>
          <a:chExt cx="482139" cy="543791"/>
        </a:xfrm>
      </xdr:grpSpPr>
      <xdr:sp macro="" textlink="">
        <xdr:nvSpPr>
          <xdr:cNvPr id="362" name="Дуга 361"/>
          <xdr:cNvSpPr/>
        </xdr:nvSpPr>
        <xdr:spPr>
          <a:xfrm rot="16200000">
            <a:off x="4617546" y="6477694"/>
            <a:ext cx="268432" cy="268432"/>
          </a:xfrm>
          <a:prstGeom prst="arc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63" name="Прямая соединительная линия 362"/>
          <xdr:cNvCxnSpPr/>
        </xdr:nvCxnSpPr>
        <xdr:spPr>
          <a:xfrm>
            <a:off x="4617546" y="6600999"/>
            <a:ext cx="0" cy="419965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4" name="Прямая соединительная линия 363"/>
          <xdr:cNvCxnSpPr/>
        </xdr:nvCxnSpPr>
        <xdr:spPr>
          <a:xfrm>
            <a:off x="4748992" y="6477173"/>
            <a:ext cx="35069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104352</xdr:colOff>
      <xdr:row>19</xdr:row>
      <xdr:rowOff>444473</xdr:rowOff>
    </xdr:from>
    <xdr:to>
      <xdr:col>8</xdr:col>
      <xdr:colOff>359401</xdr:colOff>
      <xdr:row>20</xdr:row>
      <xdr:rowOff>166766</xdr:rowOff>
    </xdr:to>
    <xdr:grpSp>
      <xdr:nvGrpSpPr>
        <xdr:cNvPr id="365" name="Группа 364"/>
        <xdr:cNvGrpSpPr/>
      </xdr:nvGrpSpPr>
      <xdr:grpSpPr>
        <a:xfrm rot="5400000">
          <a:off x="3541194" y="6668702"/>
          <a:ext cx="484293" cy="608835"/>
          <a:chOff x="4617546" y="6477173"/>
          <a:chExt cx="482139" cy="607474"/>
        </a:xfrm>
      </xdr:grpSpPr>
      <xdr:sp macro="" textlink="">
        <xdr:nvSpPr>
          <xdr:cNvPr id="366" name="Дуга 365"/>
          <xdr:cNvSpPr/>
        </xdr:nvSpPr>
        <xdr:spPr>
          <a:xfrm rot="16200000">
            <a:off x="4617546" y="6477694"/>
            <a:ext cx="268432" cy="268432"/>
          </a:xfrm>
          <a:prstGeom prst="arc">
            <a:avLst/>
          </a:prstGeom>
          <a:ln w="349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367" name="Прямая соединительная линия 366"/>
          <xdr:cNvCxnSpPr/>
        </xdr:nvCxnSpPr>
        <xdr:spPr>
          <a:xfrm rot="16200000" flipH="1">
            <a:off x="4375722" y="6842823"/>
            <a:ext cx="483649" cy="0"/>
          </a:xfrm>
          <a:prstGeom prst="line">
            <a:avLst/>
          </a:prstGeom>
          <a:ln w="34925">
            <a:solidFill>
              <a:schemeClr val="tx1"/>
            </a:solidFill>
            <a:tailEnd type="triangl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8" name="Прямая соединительная линия 367"/>
          <xdr:cNvCxnSpPr/>
        </xdr:nvCxnSpPr>
        <xdr:spPr>
          <a:xfrm>
            <a:off x="4748992" y="6477173"/>
            <a:ext cx="350693" cy="0"/>
          </a:xfrm>
          <a:prstGeom prst="line">
            <a:avLst/>
          </a:prstGeom>
          <a:ln w="349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154429</xdr:colOff>
      <xdr:row>15</xdr:row>
      <xdr:rowOff>384651</xdr:rowOff>
    </xdr:from>
    <xdr:to>
      <xdr:col>6</xdr:col>
      <xdr:colOff>639572</xdr:colOff>
      <xdr:row>15</xdr:row>
      <xdr:rowOff>553170</xdr:rowOff>
    </xdr:to>
    <xdr:sp macro="" textlink="">
      <xdr:nvSpPr>
        <xdr:cNvPr id="371" name="Полилиния 370"/>
        <xdr:cNvSpPr/>
      </xdr:nvSpPr>
      <xdr:spPr>
        <a:xfrm rot="7094333">
          <a:off x="2750020" y="4333295"/>
          <a:ext cx="168519" cy="832526"/>
        </a:xfrm>
        <a:custGeom>
          <a:avLst/>
          <a:gdLst>
            <a:gd name="connsiteX0" fmla="*/ 168519 w 168519"/>
            <a:gd name="connsiteY0" fmla="*/ 835269 h 835269"/>
            <a:gd name="connsiteX1" fmla="*/ 168519 w 168519"/>
            <a:gd name="connsiteY1" fmla="*/ 307731 h 835269"/>
            <a:gd name="connsiteX2" fmla="*/ 0 w 168519"/>
            <a:gd name="connsiteY2" fmla="*/ 0 h 835269"/>
            <a:gd name="connsiteX0" fmla="*/ 168519 w 168519"/>
            <a:gd name="connsiteY0" fmla="*/ 835269 h 835269"/>
            <a:gd name="connsiteX1" fmla="*/ 168519 w 168519"/>
            <a:gd name="connsiteY1" fmla="*/ 391074 h 835269"/>
            <a:gd name="connsiteX2" fmla="*/ 0 w 168519"/>
            <a:gd name="connsiteY2" fmla="*/ 0 h 8352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8519" h="835269">
              <a:moveTo>
                <a:pt x="168519" y="835269"/>
              </a:moveTo>
              <a:lnTo>
                <a:pt x="168519" y="39107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294403</xdr:colOff>
      <xdr:row>15</xdr:row>
      <xdr:rowOff>120525</xdr:rowOff>
    </xdr:from>
    <xdr:to>
      <xdr:col>6</xdr:col>
      <xdr:colOff>234796</xdr:colOff>
      <xdr:row>15</xdr:row>
      <xdr:rowOff>412355</xdr:rowOff>
    </xdr:to>
    <xdr:sp macro="" textlink="">
      <xdr:nvSpPr>
        <xdr:cNvPr id="373" name="Полилиния 372"/>
        <xdr:cNvSpPr/>
      </xdr:nvSpPr>
      <xdr:spPr>
        <a:xfrm rot="7094333">
          <a:off x="2555964" y="4403199"/>
          <a:ext cx="291830" cy="287776"/>
        </a:xfrm>
        <a:custGeom>
          <a:avLst/>
          <a:gdLst>
            <a:gd name="connsiteX0" fmla="*/ 0 w 291830"/>
            <a:gd name="connsiteY0" fmla="*/ 287776 h 287776"/>
            <a:gd name="connsiteX1" fmla="*/ 0 w 291830"/>
            <a:gd name="connsiteY1" fmla="*/ 154021 h 287776"/>
            <a:gd name="connsiteX2" fmla="*/ 291830 w 291830"/>
            <a:gd name="connsiteY2" fmla="*/ 0 h 287776"/>
            <a:gd name="connsiteX3" fmla="*/ 291830 w 291830"/>
            <a:gd name="connsiteY3" fmla="*/ 287776 h 287776"/>
            <a:gd name="connsiteX4" fmla="*/ 0 w 291830"/>
            <a:gd name="connsiteY4" fmla="*/ 287776 h 2877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91830" h="287776">
              <a:moveTo>
                <a:pt x="0" y="287776"/>
              </a:moveTo>
              <a:lnTo>
                <a:pt x="0" y="154021"/>
              </a:lnTo>
              <a:lnTo>
                <a:pt x="291830" y="0"/>
              </a:lnTo>
              <a:lnTo>
                <a:pt x="291830" y="287776"/>
              </a:lnTo>
              <a:lnTo>
                <a:pt x="0" y="287776"/>
              </a:lnTo>
              <a:close/>
            </a:path>
          </a:pathLst>
        </a:custGeom>
        <a:solidFill>
          <a:schemeClr val="bg1">
            <a:lumMod val="9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294668</xdr:colOff>
      <xdr:row>15</xdr:row>
      <xdr:rowOff>111464</xdr:rowOff>
    </xdr:from>
    <xdr:to>
      <xdr:col>6</xdr:col>
      <xdr:colOff>235061</xdr:colOff>
      <xdr:row>15</xdr:row>
      <xdr:rowOff>403294</xdr:rowOff>
    </xdr:to>
    <xdr:sp macro="" textlink="">
      <xdr:nvSpPr>
        <xdr:cNvPr id="374" name="Полилиния 373"/>
        <xdr:cNvSpPr/>
      </xdr:nvSpPr>
      <xdr:spPr>
        <a:xfrm rot="7094333">
          <a:off x="2556229" y="4394138"/>
          <a:ext cx="291830" cy="287776"/>
        </a:xfrm>
        <a:custGeom>
          <a:avLst/>
          <a:gdLst>
            <a:gd name="connsiteX0" fmla="*/ 0 w 291830"/>
            <a:gd name="connsiteY0" fmla="*/ 287776 h 287776"/>
            <a:gd name="connsiteX1" fmla="*/ 0 w 291830"/>
            <a:gd name="connsiteY1" fmla="*/ 154021 h 287776"/>
            <a:gd name="connsiteX2" fmla="*/ 291830 w 291830"/>
            <a:gd name="connsiteY2" fmla="*/ 0 h 287776"/>
            <a:gd name="connsiteX3" fmla="*/ 291830 w 291830"/>
            <a:gd name="connsiteY3" fmla="*/ 287776 h 287776"/>
            <a:gd name="connsiteX4" fmla="*/ 0 w 291830"/>
            <a:gd name="connsiteY4" fmla="*/ 287776 h 287776"/>
            <a:gd name="connsiteX0" fmla="*/ 0 w 291830"/>
            <a:gd name="connsiteY0" fmla="*/ 287776 h 379216"/>
            <a:gd name="connsiteX1" fmla="*/ 0 w 291830"/>
            <a:gd name="connsiteY1" fmla="*/ 154021 h 379216"/>
            <a:gd name="connsiteX2" fmla="*/ 291830 w 291830"/>
            <a:gd name="connsiteY2" fmla="*/ 0 h 379216"/>
            <a:gd name="connsiteX3" fmla="*/ 291830 w 291830"/>
            <a:gd name="connsiteY3" fmla="*/ 287776 h 379216"/>
            <a:gd name="connsiteX4" fmla="*/ 91440 w 291830"/>
            <a:gd name="connsiteY4" fmla="*/ 379216 h 379216"/>
            <a:gd name="connsiteX0" fmla="*/ 0 w 291830"/>
            <a:gd name="connsiteY0" fmla="*/ 287776 h 287776"/>
            <a:gd name="connsiteX1" fmla="*/ 0 w 291830"/>
            <a:gd name="connsiteY1" fmla="*/ 154021 h 287776"/>
            <a:gd name="connsiteX2" fmla="*/ 291830 w 291830"/>
            <a:gd name="connsiteY2" fmla="*/ 0 h 287776"/>
            <a:gd name="connsiteX3" fmla="*/ 291830 w 291830"/>
            <a:gd name="connsiteY3" fmla="*/ 287776 h 287776"/>
            <a:gd name="connsiteX0" fmla="*/ 0 w 291830"/>
            <a:gd name="connsiteY0" fmla="*/ 154021 h 287776"/>
            <a:gd name="connsiteX1" fmla="*/ 291830 w 291830"/>
            <a:gd name="connsiteY1" fmla="*/ 0 h 287776"/>
            <a:gd name="connsiteX2" fmla="*/ 291830 w 291830"/>
            <a:gd name="connsiteY2" fmla="*/ 287776 h 2877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1830" h="287776">
              <a:moveTo>
                <a:pt x="0" y="154021"/>
              </a:moveTo>
              <a:lnTo>
                <a:pt x="291830" y="0"/>
              </a:lnTo>
              <a:lnTo>
                <a:pt x="291830" y="287776"/>
              </a:lnTo>
            </a:path>
          </a:pathLst>
        </a:custGeom>
        <a:noFill/>
        <a:ln w="19050">
          <a:solidFill>
            <a:schemeClr val="bg1">
              <a:lumMod val="7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206726</xdr:colOff>
      <xdr:row>15</xdr:row>
      <xdr:rowOff>101249</xdr:rowOff>
    </xdr:from>
    <xdr:to>
      <xdr:col>6</xdr:col>
      <xdr:colOff>206726</xdr:colOff>
      <xdr:row>16</xdr:row>
      <xdr:rowOff>167924</xdr:rowOff>
    </xdr:to>
    <xdr:cxnSp macro="">
      <xdr:nvCxnSpPr>
        <xdr:cNvPr id="375" name="Прямая соединительная линия 374"/>
        <xdr:cNvCxnSpPr/>
      </xdr:nvCxnSpPr>
      <xdr:spPr>
        <a:xfrm flipV="1">
          <a:off x="2817697" y="4381896"/>
          <a:ext cx="0" cy="828675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151500</xdr:colOff>
      <xdr:row>16</xdr:row>
      <xdr:rowOff>100204</xdr:rowOff>
    </xdr:from>
    <xdr:to>
      <xdr:col>6</xdr:col>
      <xdr:colOff>259347</xdr:colOff>
      <xdr:row>16</xdr:row>
      <xdr:rowOff>208204</xdr:rowOff>
    </xdr:to>
    <xdr:sp macro="" textlink="">
      <xdr:nvSpPr>
        <xdr:cNvPr id="376" name="Овал 375"/>
        <xdr:cNvSpPr>
          <a:spLocks noChangeAspect="1"/>
        </xdr:cNvSpPr>
      </xdr:nvSpPr>
      <xdr:spPr>
        <a:xfrm>
          <a:off x="2762471" y="5142851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197317</xdr:colOff>
      <xdr:row>15</xdr:row>
      <xdr:rowOff>545053</xdr:rowOff>
    </xdr:from>
    <xdr:to>
      <xdr:col>6</xdr:col>
      <xdr:colOff>668539</xdr:colOff>
      <xdr:row>16</xdr:row>
      <xdr:rowOff>156726</xdr:rowOff>
    </xdr:to>
    <xdr:sp macro="" textlink="">
      <xdr:nvSpPr>
        <xdr:cNvPr id="33" name="Полилиния 32"/>
        <xdr:cNvSpPr/>
      </xdr:nvSpPr>
      <xdr:spPr>
        <a:xfrm>
          <a:off x="2808288" y="4825700"/>
          <a:ext cx="471222" cy="373673"/>
        </a:xfrm>
        <a:custGeom>
          <a:avLst/>
          <a:gdLst>
            <a:gd name="connsiteX0" fmla="*/ 0 w 468923"/>
            <a:gd name="connsiteY0" fmla="*/ 373673 h 373673"/>
            <a:gd name="connsiteX1" fmla="*/ 0 w 468923"/>
            <a:gd name="connsiteY1" fmla="*/ 0 h 373673"/>
            <a:gd name="connsiteX2" fmla="*/ 468923 w 468923"/>
            <a:gd name="connsiteY2" fmla="*/ 43961 h 3736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68923" h="373673">
              <a:moveTo>
                <a:pt x="0" y="373673"/>
              </a:moveTo>
              <a:lnTo>
                <a:pt x="0" y="0"/>
              </a:lnTo>
              <a:lnTo>
                <a:pt x="468923" y="43961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179297</xdr:colOff>
      <xdr:row>18</xdr:row>
      <xdr:rowOff>80433</xdr:rowOff>
    </xdr:from>
    <xdr:to>
      <xdr:col>2</xdr:col>
      <xdr:colOff>287144</xdr:colOff>
      <xdr:row>18</xdr:row>
      <xdr:rowOff>188433</xdr:rowOff>
    </xdr:to>
    <xdr:sp macro="" textlink="">
      <xdr:nvSpPr>
        <xdr:cNvPr id="402" name="Овал 401"/>
        <xdr:cNvSpPr>
          <a:spLocks noChangeAspect="1"/>
        </xdr:cNvSpPr>
      </xdr:nvSpPr>
      <xdr:spPr>
        <a:xfrm>
          <a:off x="638738" y="6131609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234524</xdr:colOff>
      <xdr:row>17</xdr:row>
      <xdr:rowOff>55263</xdr:rowOff>
    </xdr:from>
    <xdr:to>
      <xdr:col>2</xdr:col>
      <xdr:colOff>234524</xdr:colOff>
      <xdr:row>18</xdr:row>
      <xdr:rowOff>118847</xdr:rowOff>
    </xdr:to>
    <xdr:cxnSp macro="">
      <xdr:nvCxnSpPr>
        <xdr:cNvPr id="403" name="Прямая соединительная линия 402"/>
        <xdr:cNvCxnSpPr/>
      </xdr:nvCxnSpPr>
      <xdr:spPr>
        <a:xfrm flipV="1">
          <a:off x="693965" y="5344439"/>
          <a:ext cx="0" cy="825584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268142</xdr:colOff>
      <xdr:row>17</xdr:row>
      <xdr:rowOff>426931</xdr:rowOff>
    </xdr:from>
    <xdr:to>
      <xdr:col>3</xdr:col>
      <xdr:colOff>3036</xdr:colOff>
      <xdr:row>17</xdr:row>
      <xdr:rowOff>428245</xdr:rowOff>
    </xdr:to>
    <xdr:cxnSp macro="">
      <xdr:nvCxnSpPr>
        <xdr:cNvPr id="404" name="Прямая соединительная линия 403"/>
        <xdr:cNvCxnSpPr/>
      </xdr:nvCxnSpPr>
      <xdr:spPr>
        <a:xfrm>
          <a:off x="727583" y="5716107"/>
          <a:ext cx="463277" cy="1314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18738</xdr:colOff>
      <xdr:row>17</xdr:row>
      <xdr:rowOff>363632</xdr:rowOff>
    </xdr:from>
    <xdr:to>
      <xdr:col>2</xdr:col>
      <xdr:colOff>137704</xdr:colOff>
      <xdr:row>17</xdr:row>
      <xdr:rowOff>730067</xdr:rowOff>
    </xdr:to>
    <xdr:grpSp>
      <xdr:nvGrpSpPr>
        <xdr:cNvPr id="405" name="Группа 404"/>
        <xdr:cNvGrpSpPr/>
      </xdr:nvGrpSpPr>
      <xdr:grpSpPr>
        <a:xfrm rot="5400000">
          <a:off x="357646" y="5766938"/>
          <a:ext cx="366435" cy="118966"/>
          <a:chOff x="402461" y="3687553"/>
          <a:chExt cx="365521" cy="118966"/>
        </a:xfrm>
      </xdr:grpSpPr>
      <xdr:sp macro="" textlink="">
        <xdr:nvSpPr>
          <xdr:cNvPr id="406" name="Овал 40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07" name="Прямая со стрелкой 40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08" name="Овал 40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09" name="Прямая со стрелкой 40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204636</xdr:colOff>
      <xdr:row>17</xdr:row>
      <xdr:rowOff>551742</xdr:rowOff>
    </xdr:from>
    <xdr:to>
      <xdr:col>2</xdr:col>
      <xdr:colOff>240436</xdr:colOff>
      <xdr:row>17</xdr:row>
      <xdr:rowOff>551742</xdr:rowOff>
    </xdr:to>
    <xdr:cxnSp macro="">
      <xdr:nvCxnSpPr>
        <xdr:cNvPr id="411" name="Прямая соединительная линия 410"/>
        <xdr:cNvCxnSpPr/>
      </xdr:nvCxnSpPr>
      <xdr:spPr>
        <a:xfrm>
          <a:off x="316695" y="5840918"/>
          <a:ext cx="383182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205462</xdr:colOff>
      <xdr:row>22</xdr:row>
      <xdr:rowOff>68106</xdr:rowOff>
    </xdr:from>
    <xdr:to>
      <xdr:col>4</xdr:col>
      <xdr:colOff>313309</xdr:colOff>
      <xdr:row>22</xdr:row>
      <xdr:rowOff>176106</xdr:rowOff>
    </xdr:to>
    <xdr:sp macro="" textlink="">
      <xdr:nvSpPr>
        <xdr:cNvPr id="412" name="Овал 411"/>
        <xdr:cNvSpPr>
          <a:spLocks noChangeAspect="1"/>
        </xdr:cNvSpPr>
      </xdr:nvSpPr>
      <xdr:spPr>
        <a:xfrm>
          <a:off x="1740668" y="8136341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262370</xdr:colOff>
      <xdr:row>21</xdr:row>
      <xdr:rowOff>93634</xdr:rowOff>
    </xdr:from>
    <xdr:to>
      <xdr:col>4</xdr:col>
      <xdr:colOff>262370</xdr:colOff>
      <xdr:row>22</xdr:row>
      <xdr:rowOff>140138</xdr:rowOff>
    </xdr:to>
    <xdr:cxnSp macro="">
      <xdr:nvCxnSpPr>
        <xdr:cNvPr id="413" name="Прямая соединительная линия 412"/>
        <xdr:cNvCxnSpPr/>
      </xdr:nvCxnSpPr>
      <xdr:spPr>
        <a:xfrm flipV="1">
          <a:off x="1797576" y="7399869"/>
          <a:ext cx="0" cy="80850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201092</xdr:colOff>
      <xdr:row>21</xdr:row>
      <xdr:rowOff>453390</xdr:rowOff>
    </xdr:from>
    <xdr:to>
      <xdr:col>4</xdr:col>
      <xdr:colOff>274320</xdr:colOff>
      <xdr:row>21</xdr:row>
      <xdr:rowOff>662688</xdr:rowOff>
    </xdr:to>
    <xdr:cxnSp macro="">
      <xdr:nvCxnSpPr>
        <xdr:cNvPr id="414" name="Прямая соединительная линия 413"/>
        <xdr:cNvCxnSpPr/>
      </xdr:nvCxnSpPr>
      <xdr:spPr>
        <a:xfrm flipH="1">
          <a:off x="1405052" y="7768590"/>
          <a:ext cx="427558" cy="20929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248443</xdr:colOff>
      <xdr:row>21</xdr:row>
      <xdr:rowOff>466072</xdr:rowOff>
    </xdr:from>
    <xdr:to>
      <xdr:col>4</xdr:col>
      <xdr:colOff>660317</xdr:colOff>
      <xdr:row>21</xdr:row>
      <xdr:rowOff>466072</xdr:rowOff>
    </xdr:to>
    <xdr:cxnSp macro="">
      <xdr:nvCxnSpPr>
        <xdr:cNvPr id="415" name="Прямая соединительная линия 414"/>
        <xdr:cNvCxnSpPr/>
      </xdr:nvCxnSpPr>
      <xdr:spPr>
        <a:xfrm>
          <a:off x="1806733" y="7781272"/>
          <a:ext cx="41187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134946</xdr:colOff>
      <xdr:row>21</xdr:row>
      <xdr:rowOff>457200</xdr:rowOff>
    </xdr:from>
    <xdr:to>
      <xdr:col>4</xdr:col>
      <xdr:colOff>262572</xdr:colOff>
      <xdr:row>22</xdr:row>
      <xdr:rowOff>145876</xdr:rowOff>
    </xdr:to>
    <xdr:sp macro="" textlink="">
      <xdr:nvSpPr>
        <xdr:cNvPr id="416" name="Полилиния 415"/>
        <xdr:cNvSpPr/>
      </xdr:nvSpPr>
      <xdr:spPr>
        <a:xfrm>
          <a:off x="1335096" y="7762875"/>
          <a:ext cx="480051" cy="450676"/>
        </a:xfrm>
        <a:custGeom>
          <a:avLst/>
          <a:gdLst>
            <a:gd name="connsiteX0" fmla="*/ 424543 w 424543"/>
            <a:gd name="connsiteY0" fmla="*/ 506185 h 506185"/>
            <a:gd name="connsiteX1" fmla="*/ 424543 w 424543"/>
            <a:gd name="connsiteY1" fmla="*/ 0 h 506185"/>
            <a:gd name="connsiteX2" fmla="*/ 0 w 424543"/>
            <a:gd name="connsiteY2" fmla="*/ 234042 h 506185"/>
            <a:gd name="connsiteX0" fmla="*/ 470526 w 470526"/>
            <a:gd name="connsiteY0" fmla="*/ 506185 h 506185"/>
            <a:gd name="connsiteX1" fmla="*/ 470526 w 470526"/>
            <a:gd name="connsiteY1" fmla="*/ 0 h 506185"/>
            <a:gd name="connsiteX2" fmla="*/ 0 w 470526"/>
            <a:gd name="connsiteY2" fmla="*/ 266887 h 5061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0526" h="506185">
              <a:moveTo>
                <a:pt x="470526" y="506185"/>
              </a:moveTo>
              <a:lnTo>
                <a:pt x="470526" y="0"/>
              </a:lnTo>
              <a:cubicBezTo>
                <a:pt x="329012" y="78014"/>
                <a:pt x="141514" y="188873"/>
                <a:pt x="0" y="266887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184900</xdr:colOff>
      <xdr:row>12</xdr:row>
      <xdr:rowOff>97561</xdr:rowOff>
    </xdr:from>
    <xdr:to>
      <xdr:col>6</xdr:col>
      <xdr:colOff>292747</xdr:colOff>
      <xdr:row>12</xdr:row>
      <xdr:rowOff>205561</xdr:rowOff>
    </xdr:to>
    <xdr:sp macro="" textlink="">
      <xdr:nvSpPr>
        <xdr:cNvPr id="421" name="Овал 420"/>
        <xdr:cNvSpPr>
          <a:spLocks noChangeAspect="1"/>
        </xdr:cNvSpPr>
      </xdr:nvSpPr>
      <xdr:spPr>
        <a:xfrm>
          <a:off x="2795871" y="4131679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240127</xdr:colOff>
      <xdr:row>11</xdr:row>
      <xdr:rowOff>69300</xdr:rowOff>
    </xdr:from>
    <xdr:to>
      <xdr:col>6</xdr:col>
      <xdr:colOff>240127</xdr:colOff>
      <xdr:row>12</xdr:row>
      <xdr:rowOff>135975</xdr:rowOff>
    </xdr:to>
    <xdr:cxnSp macro="">
      <xdr:nvCxnSpPr>
        <xdr:cNvPr id="422" name="Прямая соединительная линия 421"/>
        <xdr:cNvCxnSpPr/>
      </xdr:nvCxnSpPr>
      <xdr:spPr>
        <a:xfrm flipV="1">
          <a:off x="2851098" y="3341418"/>
          <a:ext cx="0" cy="828675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240127</xdr:colOff>
      <xdr:row>11</xdr:row>
      <xdr:rowOff>593153</xdr:rowOff>
    </xdr:from>
    <xdr:to>
      <xdr:col>6</xdr:col>
      <xdr:colOff>630652</xdr:colOff>
      <xdr:row>11</xdr:row>
      <xdr:rowOff>593153</xdr:rowOff>
    </xdr:to>
    <xdr:cxnSp macro="">
      <xdr:nvCxnSpPr>
        <xdr:cNvPr id="423" name="Прямая соединительная линия 422"/>
        <xdr:cNvCxnSpPr/>
      </xdr:nvCxnSpPr>
      <xdr:spPr>
        <a:xfrm>
          <a:off x="2851098" y="3865271"/>
          <a:ext cx="390525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133585</xdr:colOff>
      <xdr:row>11</xdr:row>
      <xdr:rowOff>336041</xdr:rowOff>
    </xdr:from>
    <xdr:to>
      <xdr:col>6</xdr:col>
      <xdr:colOff>130654</xdr:colOff>
      <xdr:row>11</xdr:row>
      <xdr:rowOff>728382</xdr:rowOff>
    </xdr:to>
    <xdr:sp macro="" textlink="">
      <xdr:nvSpPr>
        <xdr:cNvPr id="424" name="Полилиния 423"/>
        <xdr:cNvSpPr/>
      </xdr:nvSpPr>
      <xdr:spPr>
        <a:xfrm>
          <a:off x="2397173" y="3608159"/>
          <a:ext cx="344452" cy="392341"/>
        </a:xfrm>
        <a:custGeom>
          <a:avLst/>
          <a:gdLst>
            <a:gd name="connsiteX0" fmla="*/ 5013 w 255671"/>
            <a:gd name="connsiteY0" fmla="*/ 0 h 360948"/>
            <a:gd name="connsiteX1" fmla="*/ 255671 w 255671"/>
            <a:gd name="connsiteY1" fmla="*/ 0 h 360948"/>
            <a:gd name="connsiteX2" fmla="*/ 255671 w 255671"/>
            <a:gd name="connsiteY2" fmla="*/ 360948 h 360948"/>
            <a:gd name="connsiteX3" fmla="*/ 0 w 255671"/>
            <a:gd name="connsiteY3" fmla="*/ 360948 h 3609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55671" h="360948">
              <a:moveTo>
                <a:pt x="5013" y="0"/>
              </a:moveTo>
              <a:lnTo>
                <a:pt x="255671" y="0"/>
              </a:lnTo>
              <a:lnTo>
                <a:pt x="255671" y="360948"/>
              </a:lnTo>
              <a:lnTo>
                <a:pt x="0" y="360948"/>
              </a:lnTo>
            </a:path>
          </a:pathLst>
        </a:custGeom>
        <a:solidFill>
          <a:schemeClr val="bg1">
            <a:lumMod val="95000"/>
          </a:schemeClr>
        </a:solidFill>
        <a:ln w="19050">
          <a:solidFill>
            <a:schemeClr val="bg1">
              <a:lumMod val="7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198414</xdr:colOff>
      <xdr:row>11</xdr:row>
      <xdr:rowOff>647974</xdr:rowOff>
    </xdr:from>
    <xdr:to>
      <xdr:col>6</xdr:col>
      <xdr:colOff>246039</xdr:colOff>
      <xdr:row>11</xdr:row>
      <xdr:rowOff>647974</xdr:rowOff>
    </xdr:to>
    <xdr:cxnSp macro="">
      <xdr:nvCxnSpPr>
        <xdr:cNvPr id="425" name="Прямая соединительная линия 424"/>
        <xdr:cNvCxnSpPr/>
      </xdr:nvCxnSpPr>
      <xdr:spPr>
        <a:xfrm>
          <a:off x="2462002" y="3920092"/>
          <a:ext cx="39500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243555</xdr:colOff>
      <xdr:row>11</xdr:row>
      <xdr:rowOff>328674</xdr:rowOff>
    </xdr:from>
    <xdr:to>
      <xdr:col>6</xdr:col>
      <xdr:colOff>634080</xdr:colOff>
      <xdr:row>11</xdr:row>
      <xdr:rowOff>328674</xdr:rowOff>
    </xdr:to>
    <xdr:cxnSp macro="">
      <xdr:nvCxnSpPr>
        <xdr:cNvPr id="427" name="Прямая соединительная линия 426"/>
        <xdr:cNvCxnSpPr/>
      </xdr:nvCxnSpPr>
      <xdr:spPr>
        <a:xfrm>
          <a:off x="2854526" y="3600792"/>
          <a:ext cx="390525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366809</xdr:colOff>
      <xdr:row>11</xdr:row>
      <xdr:rowOff>128883</xdr:rowOff>
    </xdr:from>
    <xdr:to>
      <xdr:col>6</xdr:col>
      <xdr:colOff>485775</xdr:colOff>
      <xdr:row>11</xdr:row>
      <xdr:rowOff>495318</xdr:rowOff>
    </xdr:to>
    <xdr:grpSp>
      <xdr:nvGrpSpPr>
        <xdr:cNvPr id="428" name="Группа 427"/>
        <xdr:cNvGrpSpPr/>
      </xdr:nvGrpSpPr>
      <xdr:grpSpPr>
        <a:xfrm rot="16200000" flipH="1">
          <a:off x="2882860" y="2511404"/>
          <a:ext cx="366435" cy="118966"/>
          <a:chOff x="402461" y="3687553"/>
          <a:chExt cx="365521" cy="118966"/>
        </a:xfrm>
      </xdr:grpSpPr>
      <xdr:sp macro="" textlink="">
        <xdr:nvSpPr>
          <xdr:cNvPr id="429" name="Овал 42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30" name="Прямая со стрелкой 42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31" name="Овал 430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32" name="Прямая со стрелкой 431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524011</xdr:colOff>
      <xdr:row>11</xdr:row>
      <xdr:rowOff>264192</xdr:rowOff>
    </xdr:from>
    <xdr:to>
      <xdr:col>6</xdr:col>
      <xdr:colOff>676965</xdr:colOff>
      <xdr:row>11</xdr:row>
      <xdr:rowOff>495955</xdr:rowOff>
    </xdr:to>
    <xdr:grpSp>
      <xdr:nvGrpSpPr>
        <xdr:cNvPr id="433" name="Группа 432"/>
        <xdr:cNvGrpSpPr/>
      </xdr:nvGrpSpPr>
      <xdr:grpSpPr>
        <a:xfrm rot="16200000" flipV="1">
          <a:off x="3124392" y="2562383"/>
          <a:ext cx="231763" cy="152954"/>
          <a:chOff x="1105823" y="3587764"/>
          <a:chExt cx="231801" cy="150655"/>
        </a:xfrm>
      </xdr:grpSpPr>
      <xdr:sp macro="" textlink="">
        <xdr:nvSpPr>
          <xdr:cNvPr id="434" name="Овал 433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 flipH="1">
            <a:off x="1105823" y="3690058"/>
            <a:ext cx="46948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35" name="Прямая со стрелкой 434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V="1">
            <a:off x="1157055" y="3587764"/>
            <a:ext cx="180569" cy="108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193546</xdr:colOff>
      <xdr:row>16</xdr:row>
      <xdr:rowOff>88998</xdr:rowOff>
    </xdr:from>
    <xdr:to>
      <xdr:col>2</xdr:col>
      <xdr:colOff>301393</xdr:colOff>
      <xdr:row>16</xdr:row>
      <xdr:rowOff>196998</xdr:rowOff>
    </xdr:to>
    <xdr:sp macro="" textlink="">
      <xdr:nvSpPr>
        <xdr:cNvPr id="444" name="Овал 443"/>
        <xdr:cNvSpPr>
          <a:spLocks noChangeAspect="1"/>
        </xdr:cNvSpPr>
      </xdr:nvSpPr>
      <xdr:spPr>
        <a:xfrm>
          <a:off x="652987" y="5131645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248773</xdr:colOff>
      <xdr:row>15</xdr:row>
      <xdr:rowOff>63829</xdr:rowOff>
    </xdr:from>
    <xdr:to>
      <xdr:col>2</xdr:col>
      <xdr:colOff>248773</xdr:colOff>
      <xdr:row>16</xdr:row>
      <xdr:rowOff>127412</xdr:rowOff>
    </xdr:to>
    <xdr:cxnSp macro="">
      <xdr:nvCxnSpPr>
        <xdr:cNvPr id="445" name="Прямая соединительная линия 444"/>
        <xdr:cNvCxnSpPr/>
      </xdr:nvCxnSpPr>
      <xdr:spPr>
        <a:xfrm flipV="1">
          <a:off x="708214" y="4344476"/>
          <a:ext cx="0" cy="82558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201680</xdr:colOff>
      <xdr:row>15</xdr:row>
      <xdr:rowOff>525144</xdr:rowOff>
    </xdr:from>
    <xdr:to>
      <xdr:col>2</xdr:col>
      <xdr:colOff>653306</xdr:colOff>
      <xdr:row>15</xdr:row>
      <xdr:rowOff>525144</xdr:rowOff>
    </xdr:to>
    <xdr:cxnSp macro="">
      <xdr:nvCxnSpPr>
        <xdr:cNvPr id="446" name="Прямая соединительная линия 445"/>
        <xdr:cNvCxnSpPr/>
      </xdr:nvCxnSpPr>
      <xdr:spPr>
        <a:xfrm>
          <a:off x="313739" y="4805791"/>
          <a:ext cx="799008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249219</xdr:colOff>
      <xdr:row>15</xdr:row>
      <xdr:rowOff>521586</xdr:rowOff>
    </xdr:from>
    <xdr:to>
      <xdr:col>2</xdr:col>
      <xdr:colOff>693317</xdr:colOff>
      <xdr:row>16</xdr:row>
      <xdr:rowOff>140586</xdr:rowOff>
    </xdr:to>
    <xdr:sp macro="" textlink="">
      <xdr:nvSpPr>
        <xdr:cNvPr id="447" name="Полилиния 446"/>
        <xdr:cNvSpPr/>
      </xdr:nvSpPr>
      <xdr:spPr>
        <a:xfrm>
          <a:off x="708660" y="4802233"/>
          <a:ext cx="444098" cy="381000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155686</xdr:colOff>
      <xdr:row>24</xdr:row>
      <xdr:rowOff>52223</xdr:rowOff>
    </xdr:from>
    <xdr:to>
      <xdr:col>6</xdr:col>
      <xdr:colOff>263533</xdr:colOff>
      <xdr:row>24</xdr:row>
      <xdr:rowOff>160223</xdr:rowOff>
    </xdr:to>
    <xdr:sp macro="" textlink="">
      <xdr:nvSpPr>
        <xdr:cNvPr id="448" name="Овал 447"/>
        <xdr:cNvSpPr>
          <a:spLocks noChangeAspect="1"/>
        </xdr:cNvSpPr>
      </xdr:nvSpPr>
      <xdr:spPr>
        <a:xfrm>
          <a:off x="2766657" y="9128988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210913</xdr:colOff>
      <xdr:row>23</xdr:row>
      <xdr:rowOff>484811</xdr:rowOff>
    </xdr:from>
    <xdr:to>
      <xdr:col>6</xdr:col>
      <xdr:colOff>211359</xdr:colOff>
      <xdr:row>24</xdr:row>
      <xdr:rowOff>90638</xdr:rowOff>
    </xdr:to>
    <xdr:cxnSp macro="">
      <xdr:nvCxnSpPr>
        <xdr:cNvPr id="449" name="Прямая соединительная линия 448"/>
        <xdr:cNvCxnSpPr/>
      </xdr:nvCxnSpPr>
      <xdr:spPr>
        <a:xfrm flipV="1">
          <a:off x="2821884" y="8799576"/>
          <a:ext cx="446" cy="367827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151995</xdr:colOff>
      <xdr:row>23</xdr:row>
      <xdr:rowOff>488369</xdr:rowOff>
    </xdr:from>
    <xdr:to>
      <xdr:col>6</xdr:col>
      <xdr:colOff>601438</xdr:colOff>
      <xdr:row>23</xdr:row>
      <xdr:rowOff>488369</xdr:rowOff>
    </xdr:to>
    <xdr:cxnSp macro="">
      <xdr:nvCxnSpPr>
        <xdr:cNvPr id="450" name="Прямая соединительная линия 449"/>
        <xdr:cNvCxnSpPr/>
      </xdr:nvCxnSpPr>
      <xdr:spPr>
        <a:xfrm>
          <a:off x="2415583" y="8803134"/>
          <a:ext cx="796826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209958</xdr:colOff>
      <xdr:row>23</xdr:row>
      <xdr:rowOff>488525</xdr:rowOff>
    </xdr:from>
    <xdr:to>
      <xdr:col>6</xdr:col>
      <xdr:colOff>651872</xdr:colOff>
      <xdr:row>24</xdr:row>
      <xdr:rowOff>108815</xdr:rowOff>
    </xdr:to>
    <xdr:sp macro="" textlink="">
      <xdr:nvSpPr>
        <xdr:cNvPr id="451" name="Полилиния 450"/>
        <xdr:cNvSpPr/>
      </xdr:nvSpPr>
      <xdr:spPr>
        <a:xfrm>
          <a:off x="2820929" y="8803290"/>
          <a:ext cx="441914" cy="382290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54047</xdr:colOff>
      <xdr:row>22</xdr:row>
      <xdr:rowOff>198328</xdr:rowOff>
    </xdr:from>
    <xdr:ext cx="318292" cy="593304"/>
    <xdr:sp macro="" textlink="">
      <xdr:nvSpPr>
        <xdr:cNvPr id="452" name="TextBox 451"/>
        <xdr:cNvSpPr txBox="1"/>
      </xdr:nvSpPr>
      <xdr:spPr>
        <a:xfrm>
          <a:off x="2665018" y="8266563"/>
          <a:ext cx="318292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3200" b="1">
              <a:solidFill>
                <a:srgbClr val="FF0000"/>
              </a:solidFill>
            </a:rPr>
            <a:t>!</a:t>
          </a:r>
        </a:p>
      </xdr:txBody>
    </xdr:sp>
    <xdr:clientData/>
  </xdr:oneCellAnchor>
  <xdr:twoCellAnchor>
    <xdr:from>
      <xdr:col>8</xdr:col>
      <xdr:colOff>109334</xdr:colOff>
      <xdr:row>12</xdr:row>
      <xdr:rowOff>120527</xdr:rowOff>
    </xdr:from>
    <xdr:to>
      <xdr:col>8</xdr:col>
      <xdr:colOff>217181</xdr:colOff>
      <xdr:row>12</xdr:row>
      <xdr:rowOff>219002</xdr:rowOff>
    </xdr:to>
    <xdr:sp macro="" textlink="">
      <xdr:nvSpPr>
        <xdr:cNvPr id="454" name="Овал 453"/>
        <xdr:cNvSpPr>
          <a:spLocks noChangeAspect="1"/>
        </xdr:cNvSpPr>
      </xdr:nvSpPr>
      <xdr:spPr>
        <a:xfrm>
          <a:off x="3796069" y="3146115"/>
          <a:ext cx="107847" cy="98475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171130</xdr:colOff>
      <xdr:row>11</xdr:row>
      <xdr:rowOff>553115</xdr:rowOff>
    </xdr:from>
    <xdr:to>
      <xdr:col>8</xdr:col>
      <xdr:colOff>171576</xdr:colOff>
      <xdr:row>12</xdr:row>
      <xdr:rowOff>158942</xdr:rowOff>
    </xdr:to>
    <xdr:cxnSp macro="">
      <xdr:nvCxnSpPr>
        <xdr:cNvPr id="455" name="Прямая соединительная линия 454"/>
        <xdr:cNvCxnSpPr/>
      </xdr:nvCxnSpPr>
      <xdr:spPr>
        <a:xfrm flipV="1">
          <a:off x="3857865" y="2816703"/>
          <a:ext cx="446" cy="367827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210747</xdr:colOff>
      <xdr:row>11</xdr:row>
      <xdr:rowOff>556673</xdr:rowOff>
    </xdr:from>
    <xdr:to>
      <xdr:col>8</xdr:col>
      <xdr:colOff>669715</xdr:colOff>
      <xdr:row>11</xdr:row>
      <xdr:rowOff>556673</xdr:rowOff>
    </xdr:to>
    <xdr:cxnSp macro="">
      <xdr:nvCxnSpPr>
        <xdr:cNvPr id="456" name="Прямая соединительная линия 455"/>
        <xdr:cNvCxnSpPr/>
      </xdr:nvCxnSpPr>
      <xdr:spPr>
        <a:xfrm>
          <a:off x="3550100" y="2820261"/>
          <a:ext cx="8063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170176</xdr:colOff>
      <xdr:row>11</xdr:row>
      <xdr:rowOff>556980</xdr:rowOff>
    </xdr:from>
    <xdr:to>
      <xdr:col>8</xdr:col>
      <xdr:colOff>701823</xdr:colOff>
      <xdr:row>12</xdr:row>
      <xdr:rowOff>183688</xdr:rowOff>
    </xdr:to>
    <xdr:sp macro="" textlink="">
      <xdr:nvSpPr>
        <xdr:cNvPr id="457" name="Полилиния 456"/>
        <xdr:cNvSpPr/>
      </xdr:nvSpPr>
      <xdr:spPr>
        <a:xfrm>
          <a:off x="3856911" y="2820568"/>
          <a:ext cx="531647" cy="388708"/>
        </a:xfrm>
        <a:custGeom>
          <a:avLst/>
          <a:gdLst>
            <a:gd name="connsiteX0" fmla="*/ 0 w 439615"/>
            <a:gd name="connsiteY0" fmla="*/ 381000 h 381000"/>
            <a:gd name="connsiteX1" fmla="*/ 0 w 439615"/>
            <a:gd name="connsiteY1" fmla="*/ 0 h 381000"/>
            <a:gd name="connsiteX2" fmla="*/ 439615 w 439615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39615" h="381000">
              <a:moveTo>
                <a:pt x="0" y="381000"/>
              </a:moveTo>
              <a:lnTo>
                <a:pt x="0" y="0"/>
              </a:lnTo>
              <a:lnTo>
                <a:pt x="43961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273340</xdr:colOff>
      <xdr:row>11</xdr:row>
      <xdr:rowOff>111482</xdr:rowOff>
    </xdr:from>
    <xdr:to>
      <xdr:col>8</xdr:col>
      <xdr:colOff>413076</xdr:colOff>
      <xdr:row>11</xdr:row>
      <xdr:rowOff>460976</xdr:rowOff>
    </xdr:to>
    <xdr:sp macro="" textlink="">
      <xdr:nvSpPr>
        <xdr:cNvPr id="458" name="Полилиния 457"/>
        <xdr:cNvSpPr/>
      </xdr:nvSpPr>
      <xdr:spPr>
        <a:xfrm rot="5400000">
          <a:off x="3681505" y="2306258"/>
          <a:ext cx="349494" cy="487118"/>
        </a:xfrm>
        <a:custGeom>
          <a:avLst/>
          <a:gdLst>
            <a:gd name="connsiteX0" fmla="*/ 5013 w 255671"/>
            <a:gd name="connsiteY0" fmla="*/ 0 h 360948"/>
            <a:gd name="connsiteX1" fmla="*/ 255671 w 255671"/>
            <a:gd name="connsiteY1" fmla="*/ 0 h 360948"/>
            <a:gd name="connsiteX2" fmla="*/ 255671 w 255671"/>
            <a:gd name="connsiteY2" fmla="*/ 360948 h 360948"/>
            <a:gd name="connsiteX3" fmla="*/ 0 w 255671"/>
            <a:gd name="connsiteY3" fmla="*/ 360948 h 3609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55671" h="360948">
              <a:moveTo>
                <a:pt x="5013" y="0"/>
              </a:moveTo>
              <a:lnTo>
                <a:pt x="255671" y="0"/>
              </a:lnTo>
              <a:lnTo>
                <a:pt x="255671" y="360948"/>
              </a:lnTo>
              <a:lnTo>
                <a:pt x="0" y="360948"/>
              </a:lnTo>
            </a:path>
          </a:pathLst>
        </a:custGeom>
        <a:solidFill>
          <a:schemeClr val="bg1">
            <a:lumMod val="95000"/>
          </a:schemeClr>
        </a:solidFill>
        <a:ln w="19050">
          <a:solidFill>
            <a:schemeClr val="bg1">
              <a:lumMod val="7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101143</xdr:colOff>
      <xdr:row>11</xdr:row>
      <xdr:rowOff>159744</xdr:rowOff>
    </xdr:from>
    <xdr:to>
      <xdr:col>8</xdr:col>
      <xdr:colOff>101143</xdr:colOff>
      <xdr:row>11</xdr:row>
      <xdr:rowOff>559794</xdr:rowOff>
    </xdr:to>
    <xdr:cxnSp macro="">
      <xdr:nvCxnSpPr>
        <xdr:cNvPr id="459" name="Прямая соединительная линия 458"/>
        <xdr:cNvCxnSpPr/>
      </xdr:nvCxnSpPr>
      <xdr:spPr>
        <a:xfrm rot="5400000">
          <a:off x="3587853" y="2623357"/>
          <a:ext cx="400050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420443</xdr:colOff>
      <xdr:row>11</xdr:row>
      <xdr:rowOff>573876</xdr:rowOff>
    </xdr:from>
    <xdr:to>
      <xdr:col>8</xdr:col>
      <xdr:colOff>420443</xdr:colOff>
      <xdr:row>12</xdr:row>
      <xdr:rowOff>211926</xdr:rowOff>
    </xdr:to>
    <xdr:cxnSp macro="">
      <xdr:nvCxnSpPr>
        <xdr:cNvPr id="460" name="Прямая соединительная линия 459"/>
        <xdr:cNvCxnSpPr/>
      </xdr:nvCxnSpPr>
      <xdr:spPr>
        <a:xfrm rot="5400000">
          <a:off x="3907153" y="3037489"/>
          <a:ext cx="400050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253799</xdr:colOff>
      <xdr:row>11</xdr:row>
      <xdr:rowOff>697130</xdr:rowOff>
    </xdr:from>
    <xdr:to>
      <xdr:col>8</xdr:col>
      <xdr:colOff>620234</xdr:colOff>
      <xdr:row>12</xdr:row>
      <xdr:rowOff>54096</xdr:rowOff>
    </xdr:to>
    <xdr:grpSp>
      <xdr:nvGrpSpPr>
        <xdr:cNvPr id="461" name="Группа 460"/>
        <xdr:cNvGrpSpPr/>
      </xdr:nvGrpSpPr>
      <xdr:grpSpPr>
        <a:xfrm flipH="1">
          <a:off x="3982156" y="2955916"/>
          <a:ext cx="366435" cy="118966"/>
          <a:chOff x="402461" y="3687553"/>
          <a:chExt cx="365521" cy="118966"/>
        </a:xfrm>
      </xdr:grpSpPr>
      <xdr:sp macro="" textlink="">
        <xdr:nvSpPr>
          <xdr:cNvPr id="462" name="Овал 46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63" name="Прямая со стрелкой 46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64" name="Овал 46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65" name="Прямая со стрелкой 46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253162</xdr:colOff>
      <xdr:row>12</xdr:row>
      <xdr:rowOff>92332</xdr:rowOff>
    </xdr:from>
    <xdr:to>
      <xdr:col>8</xdr:col>
      <xdr:colOff>484925</xdr:colOff>
      <xdr:row>12</xdr:row>
      <xdr:rowOff>225908</xdr:rowOff>
    </xdr:to>
    <xdr:grpSp>
      <xdr:nvGrpSpPr>
        <xdr:cNvPr id="466" name="Группа 465"/>
        <xdr:cNvGrpSpPr/>
      </xdr:nvGrpSpPr>
      <xdr:grpSpPr>
        <a:xfrm flipV="1">
          <a:off x="3981519" y="3113118"/>
          <a:ext cx="231763" cy="133576"/>
          <a:chOff x="1105823" y="3587764"/>
          <a:chExt cx="231801" cy="150655"/>
        </a:xfrm>
      </xdr:grpSpPr>
      <xdr:sp macro="" textlink="">
        <xdr:nvSpPr>
          <xdr:cNvPr id="467" name="Овал 466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 flipH="1">
            <a:off x="1105823" y="3690058"/>
            <a:ext cx="46948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68" name="Прямая со стрелкой 467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V="1">
            <a:off x="1157055" y="3587764"/>
            <a:ext cx="180569" cy="108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120299</xdr:colOff>
      <xdr:row>16</xdr:row>
      <xdr:rowOff>102605</xdr:rowOff>
    </xdr:from>
    <xdr:to>
      <xdr:col>10</xdr:col>
      <xdr:colOff>228146</xdr:colOff>
      <xdr:row>16</xdr:row>
      <xdr:rowOff>210605</xdr:rowOff>
    </xdr:to>
    <xdr:sp macro="" textlink="">
      <xdr:nvSpPr>
        <xdr:cNvPr id="469" name="Овал 468"/>
        <xdr:cNvSpPr>
          <a:spLocks noChangeAspect="1"/>
        </xdr:cNvSpPr>
      </xdr:nvSpPr>
      <xdr:spPr>
        <a:xfrm>
          <a:off x="4882799" y="5145252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175526</xdr:colOff>
      <xdr:row>15</xdr:row>
      <xdr:rowOff>74344</xdr:rowOff>
    </xdr:from>
    <xdr:to>
      <xdr:col>10</xdr:col>
      <xdr:colOff>175526</xdr:colOff>
      <xdr:row>16</xdr:row>
      <xdr:rowOff>141019</xdr:rowOff>
    </xdr:to>
    <xdr:cxnSp macro="">
      <xdr:nvCxnSpPr>
        <xdr:cNvPr id="470" name="Прямая соединительная линия 469"/>
        <xdr:cNvCxnSpPr/>
      </xdr:nvCxnSpPr>
      <xdr:spPr>
        <a:xfrm flipV="1">
          <a:off x="4938026" y="4354991"/>
          <a:ext cx="0" cy="828675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175526</xdr:colOff>
      <xdr:row>15</xdr:row>
      <xdr:rowOff>538751</xdr:rowOff>
    </xdr:from>
    <xdr:to>
      <xdr:col>10</xdr:col>
      <xdr:colOff>566051</xdr:colOff>
      <xdr:row>15</xdr:row>
      <xdr:rowOff>538751</xdr:rowOff>
    </xdr:to>
    <xdr:cxnSp macro="">
      <xdr:nvCxnSpPr>
        <xdr:cNvPr id="471" name="Прямая соединительная линия 470"/>
        <xdr:cNvCxnSpPr/>
      </xdr:nvCxnSpPr>
      <xdr:spPr>
        <a:xfrm>
          <a:off x="4938026" y="4819398"/>
          <a:ext cx="390525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176479</xdr:colOff>
      <xdr:row>15</xdr:row>
      <xdr:rowOff>540545</xdr:rowOff>
    </xdr:from>
    <xdr:to>
      <xdr:col>10</xdr:col>
      <xdr:colOff>618712</xdr:colOff>
      <xdr:row>16</xdr:row>
      <xdr:rowOff>148659</xdr:rowOff>
    </xdr:to>
    <xdr:sp macro="" textlink="">
      <xdr:nvSpPr>
        <xdr:cNvPr id="472" name="Полилиния 471"/>
        <xdr:cNvSpPr/>
      </xdr:nvSpPr>
      <xdr:spPr>
        <a:xfrm>
          <a:off x="4938979" y="4821192"/>
          <a:ext cx="442233" cy="370114"/>
        </a:xfrm>
        <a:custGeom>
          <a:avLst/>
          <a:gdLst>
            <a:gd name="connsiteX0" fmla="*/ 0 w 451758"/>
            <a:gd name="connsiteY0" fmla="*/ 370114 h 370114"/>
            <a:gd name="connsiteX1" fmla="*/ 0 w 451758"/>
            <a:gd name="connsiteY1" fmla="*/ 0 h 370114"/>
            <a:gd name="connsiteX2" fmla="*/ 451758 w 451758"/>
            <a:gd name="connsiteY2" fmla="*/ 0 h 370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1758" h="370114">
              <a:moveTo>
                <a:pt x="0" y="370114"/>
              </a:moveTo>
              <a:lnTo>
                <a:pt x="0" y="0"/>
              </a:lnTo>
              <a:lnTo>
                <a:pt x="451758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10</xdr:col>
      <xdr:colOff>226826</xdr:colOff>
      <xdr:row>15</xdr:row>
      <xdr:rowOff>622189</xdr:rowOff>
    </xdr:from>
    <xdr:to>
      <xdr:col>10</xdr:col>
      <xdr:colOff>442826</xdr:colOff>
      <xdr:row>16</xdr:row>
      <xdr:rowOff>76189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326" y="4902836"/>
          <a:ext cx="216000" cy="216000"/>
        </a:xfrm>
        <a:prstGeom prst="rect">
          <a:avLst/>
        </a:prstGeom>
      </xdr:spPr>
    </xdr:pic>
    <xdr:clientData/>
  </xdr:twoCellAnchor>
  <xdr:twoCellAnchor>
    <xdr:from>
      <xdr:col>6</xdr:col>
      <xdr:colOff>172501</xdr:colOff>
      <xdr:row>18</xdr:row>
      <xdr:rowOff>71156</xdr:rowOff>
    </xdr:from>
    <xdr:to>
      <xdr:col>6</xdr:col>
      <xdr:colOff>280967</xdr:colOff>
      <xdr:row>18</xdr:row>
      <xdr:rowOff>179156</xdr:rowOff>
    </xdr:to>
    <xdr:sp macro="" textlink="">
      <xdr:nvSpPr>
        <xdr:cNvPr id="475" name="Овал 474"/>
        <xdr:cNvSpPr>
          <a:spLocks noChangeAspect="1"/>
        </xdr:cNvSpPr>
      </xdr:nvSpPr>
      <xdr:spPr>
        <a:xfrm>
          <a:off x="2783472" y="6122332"/>
          <a:ext cx="108466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227728</xdr:colOff>
      <xdr:row>17</xdr:row>
      <xdr:rowOff>55264</xdr:rowOff>
    </xdr:from>
    <xdr:to>
      <xdr:col>6</xdr:col>
      <xdr:colOff>227728</xdr:colOff>
      <xdr:row>18</xdr:row>
      <xdr:rowOff>109570</xdr:rowOff>
    </xdr:to>
    <xdr:cxnSp macro="">
      <xdr:nvCxnSpPr>
        <xdr:cNvPr id="476" name="Прямая соединительная линия 475"/>
        <xdr:cNvCxnSpPr/>
      </xdr:nvCxnSpPr>
      <xdr:spPr>
        <a:xfrm flipV="1">
          <a:off x="2838699" y="5344440"/>
          <a:ext cx="0" cy="816306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142003</xdr:colOff>
      <xdr:row>17</xdr:row>
      <xdr:rowOff>509620</xdr:rowOff>
    </xdr:from>
    <xdr:to>
      <xdr:col>6</xdr:col>
      <xdr:colOff>189628</xdr:colOff>
      <xdr:row>17</xdr:row>
      <xdr:rowOff>509620</xdr:rowOff>
    </xdr:to>
    <xdr:cxnSp macro="">
      <xdr:nvCxnSpPr>
        <xdr:cNvPr id="477" name="Прямая соединительная линия 476"/>
        <xdr:cNvCxnSpPr/>
      </xdr:nvCxnSpPr>
      <xdr:spPr>
        <a:xfrm flipH="1">
          <a:off x="2405591" y="5798796"/>
          <a:ext cx="39500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306560</xdr:colOff>
      <xdr:row>17</xdr:row>
      <xdr:rowOff>323984</xdr:rowOff>
    </xdr:from>
    <xdr:to>
      <xdr:col>6</xdr:col>
      <xdr:colOff>70802</xdr:colOff>
      <xdr:row>17</xdr:row>
      <xdr:rowOff>687945</xdr:rowOff>
    </xdr:to>
    <xdr:grpSp>
      <xdr:nvGrpSpPr>
        <xdr:cNvPr id="478" name="Группа 477"/>
        <xdr:cNvGrpSpPr/>
      </xdr:nvGrpSpPr>
      <xdr:grpSpPr>
        <a:xfrm rot="5400000">
          <a:off x="2469593" y="5726522"/>
          <a:ext cx="363961" cy="118028"/>
          <a:chOff x="402461" y="3687553"/>
          <a:chExt cx="365521" cy="118966"/>
        </a:xfrm>
      </xdr:grpSpPr>
      <xdr:sp macro="" textlink="">
        <xdr:nvSpPr>
          <xdr:cNvPr id="479" name="Овал 47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80" name="Прямая со стрелкой 47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81" name="Овал 480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82" name="Прямая со стрелкой 481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192056</xdr:colOff>
      <xdr:row>20</xdr:row>
      <xdr:rowOff>75039</xdr:rowOff>
    </xdr:from>
    <xdr:to>
      <xdr:col>4</xdr:col>
      <xdr:colOff>299903</xdr:colOff>
      <xdr:row>20</xdr:row>
      <xdr:rowOff>183039</xdr:rowOff>
    </xdr:to>
    <xdr:sp macro="" textlink="">
      <xdr:nvSpPr>
        <xdr:cNvPr id="489" name="Овал 488"/>
        <xdr:cNvSpPr>
          <a:spLocks noChangeAspect="1"/>
        </xdr:cNvSpPr>
      </xdr:nvSpPr>
      <xdr:spPr>
        <a:xfrm>
          <a:off x="1727262" y="7134745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245979</xdr:colOff>
      <xdr:row>19</xdr:row>
      <xdr:rowOff>76226</xdr:rowOff>
    </xdr:from>
    <xdr:to>
      <xdr:col>4</xdr:col>
      <xdr:colOff>245979</xdr:colOff>
      <xdr:row>20</xdr:row>
      <xdr:rowOff>113453</xdr:rowOff>
    </xdr:to>
    <xdr:cxnSp macro="">
      <xdr:nvCxnSpPr>
        <xdr:cNvPr id="490" name="Прямая соединительная линия 489"/>
        <xdr:cNvCxnSpPr/>
      </xdr:nvCxnSpPr>
      <xdr:spPr>
        <a:xfrm flipV="1">
          <a:off x="1781185" y="6373932"/>
          <a:ext cx="0" cy="799227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195426</xdr:colOff>
      <xdr:row>19</xdr:row>
      <xdr:rowOff>553152</xdr:rowOff>
    </xdr:from>
    <xdr:to>
      <xdr:col>4</xdr:col>
      <xdr:colOff>253195</xdr:colOff>
      <xdr:row>19</xdr:row>
      <xdr:rowOff>553152</xdr:rowOff>
    </xdr:to>
    <xdr:cxnSp macro="">
      <xdr:nvCxnSpPr>
        <xdr:cNvPr id="492" name="Прямая соединительная линия 491"/>
        <xdr:cNvCxnSpPr/>
      </xdr:nvCxnSpPr>
      <xdr:spPr>
        <a:xfrm>
          <a:off x="1383250" y="6850858"/>
          <a:ext cx="405151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170013</xdr:colOff>
      <xdr:row>20</xdr:row>
      <xdr:rowOff>76892</xdr:rowOff>
    </xdr:from>
    <xdr:to>
      <xdr:col>2</xdr:col>
      <xdr:colOff>277860</xdr:colOff>
      <xdr:row>20</xdr:row>
      <xdr:rowOff>184892</xdr:rowOff>
    </xdr:to>
    <xdr:sp macro="" textlink="">
      <xdr:nvSpPr>
        <xdr:cNvPr id="493" name="Овал 492"/>
        <xdr:cNvSpPr>
          <a:spLocks noChangeAspect="1"/>
        </xdr:cNvSpPr>
      </xdr:nvSpPr>
      <xdr:spPr>
        <a:xfrm>
          <a:off x="629454" y="7136598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167471</xdr:colOff>
      <xdr:row>19</xdr:row>
      <xdr:rowOff>491267</xdr:rowOff>
    </xdr:from>
    <xdr:to>
      <xdr:col>2</xdr:col>
      <xdr:colOff>215715</xdr:colOff>
      <xdr:row>19</xdr:row>
      <xdr:rowOff>491267</xdr:rowOff>
    </xdr:to>
    <xdr:cxnSp macro="">
      <xdr:nvCxnSpPr>
        <xdr:cNvPr id="494" name="Прямая соединительная линия 493"/>
        <xdr:cNvCxnSpPr/>
      </xdr:nvCxnSpPr>
      <xdr:spPr>
        <a:xfrm>
          <a:off x="279530" y="6788973"/>
          <a:ext cx="395626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227163</xdr:colOff>
      <xdr:row>19</xdr:row>
      <xdr:rowOff>274510</xdr:rowOff>
    </xdr:from>
    <xdr:to>
      <xdr:col>2</xdr:col>
      <xdr:colOff>707896</xdr:colOff>
      <xdr:row>20</xdr:row>
      <xdr:rowOff>124831</xdr:rowOff>
    </xdr:to>
    <xdr:sp macro="" textlink="">
      <xdr:nvSpPr>
        <xdr:cNvPr id="495" name="Полилиния 494"/>
        <xdr:cNvSpPr/>
      </xdr:nvSpPr>
      <xdr:spPr>
        <a:xfrm>
          <a:off x="686604" y="6572216"/>
          <a:ext cx="480733" cy="612321"/>
        </a:xfrm>
        <a:custGeom>
          <a:avLst/>
          <a:gdLst>
            <a:gd name="connsiteX0" fmla="*/ 0 w 371475"/>
            <a:gd name="connsiteY0" fmla="*/ 619125 h 619125"/>
            <a:gd name="connsiteX1" fmla="*/ 0 w 371475"/>
            <a:gd name="connsiteY1" fmla="*/ 619125 h 619125"/>
            <a:gd name="connsiteX2" fmla="*/ 0 w 371475"/>
            <a:gd name="connsiteY2" fmla="*/ 219075 h 619125"/>
            <a:gd name="connsiteX3" fmla="*/ 371475 w 371475"/>
            <a:gd name="connsiteY3" fmla="*/ 0 h 619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71475" h="619125">
              <a:moveTo>
                <a:pt x="0" y="619125"/>
              </a:moveTo>
              <a:lnTo>
                <a:pt x="0" y="619125"/>
              </a:lnTo>
              <a:lnTo>
                <a:pt x="0" y="219075"/>
              </a:lnTo>
              <a:lnTo>
                <a:pt x="37147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284313</xdr:colOff>
      <xdr:row>19</xdr:row>
      <xdr:rowOff>531685</xdr:rowOff>
    </xdr:from>
    <xdr:to>
      <xdr:col>2</xdr:col>
      <xdr:colOff>500313</xdr:colOff>
      <xdr:row>19</xdr:row>
      <xdr:rowOff>747685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54" y="6829391"/>
          <a:ext cx="216000" cy="216000"/>
        </a:xfrm>
        <a:prstGeom prst="rect">
          <a:avLst/>
        </a:prstGeom>
      </xdr:spPr>
    </xdr:pic>
    <xdr:clientData/>
  </xdr:twoCellAnchor>
  <xdr:twoCellAnchor>
    <xdr:from>
      <xdr:col>8</xdr:col>
      <xdr:colOff>165794</xdr:colOff>
      <xdr:row>24</xdr:row>
      <xdr:rowOff>45050</xdr:rowOff>
    </xdr:from>
    <xdr:to>
      <xdr:col>8</xdr:col>
      <xdr:colOff>267456</xdr:colOff>
      <xdr:row>24</xdr:row>
      <xdr:rowOff>153050</xdr:rowOff>
    </xdr:to>
    <xdr:sp macro="" textlink="">
      <xdr:nvSpPr>
        <xdr:cNvPr id="497" name="Овал 496"/>
        <xdr:cNvSpPr>
          <a:spLocks noChangeAspect="1"/>
        </xdr:cNvSpPr>
      </xdr:nvSpPr>
      <xdr:spPr>
        <a:xfrm>
          <a:off x="3852529" y="9121815"/>
          <a:ext cx="10166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156027</xdr:colOff>
      <xdr:row>23</xdr:row>
      <xdr:rowOff>396748</xdr:rowOff>
    </xdr:from>
    <xdr:to>
      <xdr:col>8</xdr:col>
      <xdr:colOff>222702</xdr:colOff>
      <xdr:row>23</xdr:row>
      <xdr:rowOff>470630</xdr:rowOff>
    </xdr:to>
    <xdr:cxnSp macro="">
      <xdr:nvCxnSpPr>
        <xdr:cNvPr id="498" name="Прямая соединительная линия 497"/>
        <xdr:cNvCxnSpPr/>
      </xdr:nvCxnSpPr>
      <xdr:spPr>
        <a:xfrm>
          <a:off x="3495380" y="8711513"/>
          <a:ext cx="414057" cy="73882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222944</xdr:colOff>
      <xdr:row>23</xdr:row>
      <xdr:rowOff>93861</xdr:rowOff>
    </xdr:from>
    <xdr:to>
      <xdr:col>8</xdr:col>
      <xdr:colOff>442639</xdr:colOff>
      <xdr:row>24</xdr:row>
      <xdr:rowOff>92989</xdr:rowOff>
    </xdr:to>
    <xdr:sp macro="" textlink="">
      <xdr:nvSpPr>
        <xdr:cNvPr id="499" name="Полилиния 498"/>
        <xdr:cNvSpPr/>
      </xdr:nvSpPr>
      <xdr:spPr>
        <a:xfrm>
          <a:off x="3909679" y="8408626"/>
          <a:ext cx="219695" cy="761128"/>
        </a:xfrm>
        <a:custGeom>
          <a:avLst/>
          <a:gdLst>
            <a:gd name="connsiteX0" fmla="*/ 0 w 371475"/>
            <a:gd name="connsiteY0" fmla="*/ 619125 h 619125"/>
            <a:gd name="connsiteX1" fmla="*/ 0 w 371475"/>
            <a:gd name="connsiteY1" fmla="*/ 619125 h 619125"/>
            <a:gd name="connsiteX2" fmla="*/ 0 w 371475"/>
            <a:gd name="connsiteY2" fmla="*/ 219075 h 619125"/>
            <a:gd name="connsiteX3" fmla="*/ 371475 w 371475"/>
            <a:gd name="connsiteY3" fmla="*/ 0 h 619125"/>
            <a:gd name="connsiteX0" fmla="*/ 0 w 163449"/>
            <a:gd name="connsiteY0" fmla="*/ 771525 h 771525"/>
            <a:gd name="connsiteX1" fmla="*/ 0 w 163449"/>
            <a:gd name="connsiteY1" fmla="*/ 771525 h 771525"/>
            <a:gd name="connsiteX2" fmla="*/ 0 w 163449"/>
            <a:gd name="connsiteY2" fmla="*/ 371475 h 771525"/>
            <a:gd name="connsiteX3" fmla="*/ 163449 w 163449"/>
            <a:gd name="connsiteY3" fmla="*/ 0 h 771525"/>
            <a:gd name="connsiteX0" fmla="*/ 0 w 170879"/>
            <a:gd name="connsiteY0" fmla="*/ 790575 h 790575"/>
            <a:gd name="connsiteX1" fmla="*/ 0 w 170879"/>
            <a:gd name="connsiteY1" fmla="*/ 790575 h 790575"/>
            <a:gd name="connsiteX2" fmla="*/ 0 w 170879"/>
            <a:gd name="connsiteY2" fmla="*/ 390525 h 790575"/>
            <a:gd name="connsiteX3" fmla="*/ 170879 w 170879"/>
            <a:gd name="connsiteY3" fmla="*/ 0 h 790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0879" h="790575">
              <a:moveTo>
                <a:pt x="0" y="790575"/>
              </a:moveTo>
              <a:lnTo>
                <a:pt x="0" y="790575"/>
              </a:lnTo>
              <a:lnTo>
                <a:pt x="0" y="390525"/>
              </a:lnTo>
              <a:lnTo>
                <a:pt x="170879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8</xdr:col>
      <xdr:colOff>307368</xdr:colOff>
      <xdr:row>23</xdr:row>
      <xdr:rowOff>490317</xdr:rowOff>
    </xdr:from>
    <xdr:to>
      <xdr:col>8</xdr:col>
      <xdr:colOff>590514</xdr:colOff>
      <xdr:row>23</xdr:row>
      <xdr:rowOff>735514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103" y="8805082"/>
          <a:ext cx="283146" cy="245197"/>
        </a:xfrm>
        <a:prstGeom prst="rect">
          <a:avLst/>
        </a:prstGeom>
      </xdr:spPr>
    </xdr:pic>
    <xdr:clientData/>
  </xdr:twoCellAnchor>
  <xdr:twoCellAnchor>
    <xdr:from>
      <xdr:col>10</xdr:col>
      <xdr:colOff>101509</xdr:colOff>
      <xdr:row>20</xdr:row>
      <xdr:rowOff>75385</xdr:rowOff>
    </xdr:from>
    <xdr:to>
      <xdr:col>10</xdr:col>
      <xdr:colOff>200450</xdr:colOff>
      <xdr:row>20</xdr:row>
      <xdr:rowOff>183385</xdr:rowOff>
    </xdr:to>
    <xdr:sp macro="" textlink="">
      <xdr:nvSpPr>
        <xdr:cNvPr id="501" name="Овал 500"/>
        <xdr:cNvSpPr>
          <a:spLocks noChangeAspect="1"/>
        </xdr:cNvSpPr>
      </xdr:nvSpPr>
      <xdr:spPr>
        <a:xfrm>
          <a:off x="4864009" y="7135091"/>
          <a:ext cx="9894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157355</xdr:colOff>
      <xdr:row>19</xdr:row>
      <xdr:rowOff>55048</xdr:rowOff>
    </xdr:from>
    <xdr:to>
      <xdr:col>10</xdr:col>
      <xdr:colOff>157355</xdr:colOff>
      <xdr:row>20</xdr:row>
      <xdr:rowOff>113799</xdr:rowOff>
    </xdr:to>
    <xdr:cxnSp macro="">
      <xdr:nvCxnSpPr>
        <xdr:cNvPr id="502" name="Прямая соединительная линия 501"/>
        <xdr:cNvCxnSpPr/>
      </xdr:nvCxnSpPr>
      <xdr:spPr>
        <a:xfrm flipV="1">
          <a:off x="4919855" y="6352754"/>
          <a:ext cx="0" cy="82075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157355</xdr:colOff>
      <xdr:row>19</xdr:row>
      <xdr:rowOff>518334</xdr:rowOff>
    </xdr:from>
    <xdr:to>
      <xdr:col>10</xdr:col>
      <xdr:colOff>619092</xdr:colOff>
      <xdr:row>19</xdr:row>
      <xdr:rowOff>518334</xdr:rowOff>
    </xdr:to>
    <xdr:cxnSp macro="">
      <xdr:nvCxnSpPr>
        <xdr:cNvPr id="503" name="Прямая соединительная линия 502"/>
        <xdr:cNvCxnSpPr/>
      </xdr:nvCxnSpPr>
      <xdr:spPr>
        <a:xfrm>
          <a:off x="4919855" y="6816040"/>
          <a:ext cx="461737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286149</xdr:colOff>
      <xdr:row>19</xdr:row>
      <xdr:rowOff>365388</xdr:rowOff>
    </xdr:from>
    <xdr:to>
      <xdr:col>10</xdr:col>
      <xdr:colOff>50391</xdr:colOff>
      <xdr:row>19</xdr:row>
      <xdr:rowOff>725019</xdr:rowOff>
    </xdr:to>
    <xdr:grpSp>
      <xdr:nvGrpSpPr>
        <xdr:cNvPr id="504" name="Группа 503"/>
        <xdr:cNvGrpSpPr/>
      </xdr:nvGrpSpPr>
      <xdr:grpSpPr>
        <a:xfrm rot="5400000">
          <a:off x="4628490" y="6772690"/>
          <a:ext cx="359631" cy="118028"/>
          <a:chOff x="402461" y="3687553"/>
          <a:chExt cx="365521" cy="118966"/>
        </a:xfrm>
      </xdr:grpSpPr>
      <xdr:sp macro="" textlink="">
        <xdr:nvSpPr>
          <xdr:cNvPr id="505" name="Овал 504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06" name="Прямая со стрелкой 505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07" name="Овал 506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08" name="Прямая со стрелкой 50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105498</xdr:colOff>
      <xdr:row>19</xdr:row>
      <xdr:rowOff>546694</xdr:rowOff>
    </xdr:from>
    <xdr:to>
      <xdr:col>10</xdr:col>
      <xdr:colOff>163267</xdr:colOff>
      <xdr:row>19</xdr:row>
      <xdr:rowOff>546694</xdr:rowOff>
    </xdr:to>
    <xdr:cxnSp macro="">
      <xdr:nvCxnSpPr>
        <xdr:cNvPr id="509" name="Прямая соединительная линия 508"/>
        <xdr:cNvCxnSpPr/>
      </xdr:nvCxnSpPr>
      <xdr:spPr>
        <a:xfrm>
          <a:off x="4520616" y="6844400"/>
          <a:ext cx="405151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156582</xdr:colOff>
      <xdr:row>18</xdr:row>
      <xdr:rowOff>71283</xdr:rowOff>
    </xdr:from>
    <xdr:to>
      <xdr:col>4</xdr:col>
      <xdr:colOff>265048</xdr:colOff>
      <xdr:row>18</xdr:row>
      <xdr:rowOff>179283</xdr:rowOff>
    </xdr:to>
    <xdr:sp macro="" textlink="">
      <xdr:nvSpPr>
        <xdr:cNvPr id="510" name="Овал 509"/>
        <xdr:cNvSpPr>
          <a:spLocks noChangeAspect="1"/>
        </xdr:cNvSpPr>
      </xdr:nvSpPr>
      <xdr:spPr>
        <a:xfrm>
          <a:off x="1691788" y="6122459"/>
          <a:ext cx="108466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9</a:t>
          </a:r>
          <a:endParaRPr lang="ru-RU" sz="1100"/>
        </a:p>
      </xdr:txBody>
    </xdr:sp>
    <xdr:clientData/>
  </xdr:twoCellAnchor>
  <xdr:twoCellAnchor>
    <xdr:from>
      <xdr:col>4</xdr:col>
      <xdr:colOff>216830</xdr:colOff>
      <xdr:row>17</xdr:row>
      <xdr:rowOff>46113</xdr:rowOff>
    </xdr:from>
    <xdr:to>
      <xdr:col>4</xdr:col>
      <xdr:colOff>216830</xdr:colOff>
      <xdr:row>18</xdr:row>
      <xdr:rowOff>109697</xdr:rowOff>
    </xdr:to>
    <xdr:cxnSp macro="">
      <xdr:nvCxnSpPr>
        <xdr:cNvPr id="511" name="Прямая соединительная линия 510"/>
        <xdr:cNvCxnSpPr/>
      </xdr:nvCxnSpPr>
      <xdr:spPr>
        <a:xfrm flipV="1">
          <a:off x="1752036" y="5335289"/>
          <a:ext cx="0" cy="825584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154572</xdr:colOff>
      <xdr:row>17</xdr:row>
      <xdr:rowOff>507429</xdr:rowOff>
    </xdr:from>
    <xdr:to>
      <xdr:col>4</xdr:col>
      <xdr:colOff>625983</xdr:colOff>
      <xdr:row>17</xdr:row>
      <xdr:rowOff>507429</xdr:rowOff>
    </xdr:to>
    <xdr:cxnSp macro="">
      <xdr:nvCxnSpPr>
        <xdr:cNvPr id="512" name="Прямая соединительная линия 511"/>
        <xdr:cNvCxnSpPr/>
      </xdr:nvCxnSpPr>
      <xdr:spPr>
        <a:xfrm>
          <a:off x="1342396" y="5796605"/>
          <a:ext cx="818793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207002</xdr:colOff>
      <xdr:row>17</xdr:row>
      <xdr:rowOff>508282</xdr:rowOff>
    </xdr:from>
    <xdr:to>
      <xdr:col>4</xdr:col>
      <xdr:colOff>672557</xdr:colOff>
      <xdr:row>18</xdr:row>
      <xdr:rowOff>127282</xdr:rowOff>
    </xdr:to>
    <xdr:sp macro="" textlink="">
      <xdr:nvSpPr>
        <xdr:cNvPr id="513" name="Полилиния 512"/>
        <xdr:cNvSpPr/>
      </xdr:nvSpPr>
      <xdr:spPr>
        <a:xfrm>
          <a:off x="1742208" y="5797458"/>
          <a:ext cx="465555" cy="381000"/>
        </a:xfrm>
        <a:custGeom>
          <a:avLst/>
          <a:gdLst>
            <a:gd name="connsiteX0" fmla="*/ 0 w 454269"/>
            <a:gd name="connsiteY0" fmla="*/ 381000 h 381000"/>
            <a:gd name="connsiteX1" fmla="*/ 0 w 454269"/>
            <a:gd name="connsiteY1" fmla="*/ 0 h 381000"/>
            <a:gd name="connsiteX2" fmla="*/ 454269 w 454269"/>
            <a:gd name="connsiteY2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381000">
              <a:moveTo>
                <a:pt x="0" y="381000"/>
              </a:moveTo>
              <a:lnTo>
                <a:pt x="0" y="0"/>
              </a:lnTo>
              <a:lnTo>
                <a:pt x="454269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281947</xdr:colOff>
      <xdr:row>17</xdr:row>
      <xdr:rowOff>574224</xdr:rowOff>
    </xdr:from>
    <xdr:to>
      <xdr:col>4</xdr:col>
      <xdr:colOff>524423</xdr:colOff>
      <xdr:row>18</xdr:row>
      <xdr:rowOff>64224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153" y="5863400"/>
          <a:ext cx="242476" cy="252000"/>
        </a:xfrm>
        <a:prstGeom prst="rect">
          <a:avLst/>
        </a:prstGeom>
      </xdr:spPr>
    </xdr:pic>
    <xdr:clientData/>
  </xdr:twoCellAnchor>
  <xdr:twoCellAnchor>
    <xdr:from>
      <xdr:col>10</xdr:col>
      <xdr:colOff>160247</xdr:colOff>
      <xdr:row>12</xdr:row>
      <xdr:rowOff>113940</xdr:rowOff>
    </xdr:from>
    <xdr:to>
      <xdr:col>10</xdr:col>
      <xdr:colOff>268094</xdr:colOff>
      <xdr:row>12</xdr:row>
      <xdr:rowOff>212415</xdr:rowOff>
    </xdr:to>
    <xdr:sp macro="" textlink="">
      <xdr:nvSpPr>
        <xdr:cNvPr id="515" name="Овал 514"/>
        <xdr:cNvSpPr>
          <a:spLocks noChangeAspect="1"/>
        </xdr:cNvSpPr>
      </xdr:nvSpPr>
      <xdr:spPr>
        <a:xfrm>
          <a:off x="4922747" y="3139528"/>
          <a:ext cx="107847" cy="98475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215474</xdr:colOff>
      <xdr:row>11</xdr:row>
      <xdr:rowOff>88153</xdr:rowOff>
    </xdr:from>
    <xdr:to>
      <xdr:col>10</xdr:col>
      <xdr:colOff>215474</xdr:colOff>
      <xdr:row>12</xdr:row>
      <xdr:rowOff>152354</xdr:rowOff>
    </xdr:to>
    <xdr:cxnSp macro="">
      <xdr:nvCxnSpPr>
        <xdr:cNvPr id="516" name="Прямая соединительная линия 515"/>
        <xdr:cNvCxnSpPr/>
      </xdr:nvCxnSpPr>
      <xdr:spPr>
        <a:xfrm flipV="1">
          <a:off x="4977974" y="2351741"/>
          <a:ext cx="0" cy="82620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277476</xdr:colOff>
      <xdr:row>11</xdr:row>
      <xdr:rowOff>437371</xdr:rowOff>
    </xdr:from>
    <xdr:to>
      <xdr:col>10</xdr:col>
      <xdr:colOff>529476</xdr:colOff>
      <xdr:row>11</xdr:row>
      <xdr:rowOff>689371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976" y="2700959"/>
          <a:ext cx="252000" cy="252000"/>
        </a:xfrm>
        <a:prstGeom prst="rect">
          <a:avLst/>
        </a:prstGeom>
      </xdr:spPr>
    </xdr:pic>
    <xdr:clientData/>
  </xdr:twoCellAnchor>
  <xdr:twoCellAnchor>
    <xdr:from>
      <xdr:col>6</xdr:col>
      <xdr:colOff>198253</xdr:colOff>
      <xdr:row>10</xdr:row>
      <xdr:rowOff>93784</xdr:rowOff>
    </xdr:from>
    <xdr:to>
      <xdr:col>6</xdr:col>
      <xdr:colOff>306100</xdr:colOff>
      <xdr:row>10</xdr:row>
      <xdr:rowOff>184705</xdr:rowOff>
    </xdr:to>
    <xdr:sp macro="" textlink="">
      <xdr:nvSpPr>
        <xdr:cNvPr id="518" name="Овал 517"/>
        <xdr:cNvSpPr>
          <a:spLocks noChangeAspect="1"/>
        </xdr:cNvSpPr>
      </xdr:nvSpPr>
      <xdr:spPr>
        <a:xfrm>
          <a:off x="2845546" y="2097318"/>
          <a:ext cx="107847" cy="9092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253480</xdr:colOff>
      <xdr:row>9</xdr:row>
      <xdr:rowOff>74801</xdr:rowOff>
    </xdr:from>
    <xdr:to>
      <xdr:col>6</xdr:col>
      <xdr:colOff>253480</xdr:colOff>
      <xdr:row>10</xdr:row>
      <xdr:rowOff>132198</xdr:rowOff>
    </xdr:to>
    <xdr:cxnSp macro="">
      <xdr:nvCxnSpPr>
        <xdr:cNvPr id="519" name="Прямая соединительная линия 518"/>
        <xdr:cNvCxnSpPr/>
      </xdr:nvCxnSpPr>
      <xdr:spPr>
        <a:xfrm flipV="1">
          <a:off x="2900773" y="1316335"/>
          <a:ext cx="0" cy="819397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153502</xdr:colOff>
      <xdr:row>22</xdr:row>
      <xdr:rowOff>46561</xdr:rowOff>
    </xdr:from>
    <xdr:to>
      <xdr:col>6</xdr:col>
      <xdr:colOff>261349</xdr:colOff>
      <xdr:row>22</xdr:row>
      <xdr:rowOff>154561</xdr:rowOff>
    </xdr:to>
    <xdr:sp macro="" textlink="">
      <xdr:nvSpPr>
        <xdr:cNvPr id="520" name="Овал 519"/>
        <xdr:cNvSpPr>
          <a:spLocks noChangeAspect="1"/>
        </xdr:cNvSpPr>
      </xdr:nvSpPr>
      <xdr:spPr>
        <a:xfrm>
          <a:off x="2764473" y="8114796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208729</xdr:colOff>
      <xdr:row>21</xdr:row>
      <xdr:rowOff>45274</xdr:rowOff>
    </xdr:from>
    <xdr:to>
      <xdr:col>6</xdr:col>
      <xdr:colOff>208729</xdr:colOff>
      <xdr:row>22</xdr:row>
      <xdr:rowOff>84975</xdr:rowOff>
    </xdr:to>
    <xdr:cxnSp macro="">
      <xdr:nvCxnSpPr>
        <xdr:cNvPr id="521" name="Прямая соединительная линия 520"/>
        <xdr:cNvCxnSpPr/>
      </xdr:nvCxnSpPr>
      <xdr:spPr>
        <a:xfrm flipV="1">
          <a:off x="2819700" y="7351509"/>
          <a:ext cx="0" cy="80170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315916</xdr:colOff>
      <xdr:row>9</xdr:row>
      <xdr:rowOff>443470</xdr:rowOff>
    </xdr:from>
    <xdr:to>
      <xdr:col>6</xdr:col>
      <xdr:colOff>558392</xdr:colOff>
      <xdr:row>9</xdr:row>
      <xdr:rowOff>695470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209" y="1685004"/>
          <a:ext cx="242476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270732</xdr:colOff>
      <xdr:row>21</xdr:row>
      <xdr:rowOff>376795</xdr:rowOff>
    </xdr:from>
    <xdr:to>
      <xdr:col>6</xdr:col>
      <xdr:colOff>527215</xdr:colOff>
      <xdr:row>21</xdr:row>
      <xdr:rowOff>621992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703" y="7683030"/>
          <a:ext cx="256483" cy="245197"/>
        </a:xfrm>
        <a:prstGeom prst="rect">
          <a:avLst/>
        </a:prstGeom>
      </xdr:spPr>
    </xdr:pic>
    <xdr:clientData/>
  </xdr:twoCellAnchor>
  <xdr:twoCellAnchor>
    <xdr:from>
      <xdr:col>10</xdr:col>
      <xdr:colOff>147003</xdr:colOff>
      <xdr:row>14</xdr:row>
      <xdr:rowOff>81280</xdr:rowOff>
    </xdr:from>
    <xdr:to>
      <xdr:col>10</xdr:col>
      <xdr:colOff>254850</xdr:colOff>
      <xdr:row>14</xdr:row>
      <xdr:rowOff>189280</xdr:rowOff>
    </xdr:to>
    <xdr:sp macro="" textlink="">
      <xdr:nvSpPr>
        <xdr:cNvPr id="524" name="Овал 523"/>
        <xdr:cNvSpPr>
          <a:spLocks noChangeAspect="1"/>
        </xdr:cNvSpPr>
      </xdr:nvSpPr>
      <xdr:spPr>
        <a:xfrm>
          <a:off x="4909503" y="4115398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202230</xdr:colOff>
      <xdr:row>13</xdr:row>
      <xdr:rowOff>62297</xdr:rowOff>
    </xdr:from>
    <xdr:to>
      <xdr:col>10</xdr:col>
      <xdr:colOff>202230</xdr:colOff>
      <xdr:row>14</xdr:row>
      <xdr:rowOff>119694</xdr:rowOff>
    </xdr:to>
    <xdr:cxnSp macro="">
      <xdr:nvCxnSpPr>
        <xdr:cNvPr id="525" name="Прямая соединительная линия 524"/>
        <xdr:cNvCxnSpPr/>
      </xdr:nvCxnSpPr>
      <xdr:spPr>
        <a:xfrm flipV="1">
          <a:off x="4964730" y="3334415"/>
          <a:ext cx="0" cy="819397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255141</xdr:colOff>
      <xdr:row>13</xdr:row>
      <xdr:rowOff>426636</xdr:rowOff>
    </xdr:from>
    <xdr:to>
      <xdr:col>10</xdr:col>
      <xdr:colOff>507141</xdr:colOff>
      <xdr:row>13</xdr:row>
      <xdr:rowOff>678636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41" y="3698754"/>
          <a:ext cx="252000" cy="252000"/>
        </a:xfrm>
        <a:prstGeom prst="rect">
          <a:avLst/>
        </a:prstGeom>
      </xdr:spPr>
    </xdr:pic>
    <xdr:clientData/>
  </xdr:twoCellAnchor>
  <xdr:twoCellAnchor>
    <xdr:from>
      <xdr:col>10</xdr:col>
      <xdr:colOff>132597</xdr:colOff>
      <xdr:row>22</xdr:row>
      <xdr:rowOff>77485</xdr:rowOff>
    </xdr:from>
    <xdr:to>
      <xdr:col>10</xdr:col>
      <xdr:colOff>230919</xdr:colOff>
      <xdr:row>22</xdr:row>
      <xdr:rowOff>185485</xdr:rowOff>
    </xdr:to>
    <xdr:sp macro="" textlink="">
      <xdr:nvSpPr>
        <xdr:cNvPr id="527" name="Овал 526"/>
        <xdr:cNvSpPr>
          <a:spLocks noChangeAspect="1"/>
        </xdr:cNvSpPr>
      </xdr:nvSpPr>
      <xdr:spPr>
        <a:xfrm>
          <a:off x="4895097" y="8145720"/>
          <a:ext cx="98322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187824</xdr:colOff>
      <xdr:row>21</xdr:row>
      <xdr:rowOff>69148</xdr:rowOff>
    </xdr:from>
    <xdr:to>
      <xdr:col>10</xdr:col>
      <xdr:colOff>187824</xdr:colOff>
      <xdr:row>22</xdr:row>
      <xdr:rowOff>115899</xdr:rowOff>
    </xdr:to>
    <xdr:cxnSp macro="">
      <xdr:nvCxnSpPr>
        <xdr:cNvPr id="528" name="Прямая соединительная линия 527"/>
        <xdr:cNvCxnSpPr/>
      </xdr:nvCxnSpPr>
      <xdr:spPr>
        <a:xfrm flipV="1">
          <a:off x="4950324" y="7375383"/>
          <a:ext cx="0" cy="80875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240302</xdr:colOff>
      <xdr:row>21</xdr:row>
      <xdr:rowOff>403390</xdr:rowOff>
    </xdr:from>
    <xdr:to>
      <xdr:col>10</xdr:col>
      <xdr:colOff>492302</xdr:colOff>
      <xdr:row>21</xdr:row>
      <xdr:rowOff>652916</xdr:rowOff>
    </xdr:to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2802" y="7709625"/>
          <a:ext cx="252000" cy="249526"/>
        </a:xfrm>
        <a:prstGeom prst="rect">
          <a:avLst/>
        </a:prstGeom>
      </xdr:spPr>
    </xdr:pic>
    <xdr:clientData/>
  </xdr:twoCellAnchor>
  <xdr:twoCellAnchor>
    <xdr:from>
      <xdr:col>6</xdr:col>
      <xdr:colOff>105239</xdr:colOff>
      <xdr:row>19</xdr:row>
      <xdr:rowOff>82425</xdr:rowOff>
    </xdr:from>
    <xdr:to>
      <xdr:col>6</xdr:col>
      <xdr:colOff>301089</xdr:colOff>
      <xdr:row>19</xdr:row>
      <xdr:rowOff>350930</xdr:rowOff>
    </xdr:to>
    <xdr:grpSp>
      <xdr:nvGrpSpPr>
        <xdr:cNvPr id="530" name="Группа 529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>
          <a:grpSpLocks noChangeAspect="1"/>
        </xdr:cNvGrpSpPr>
      </xdr:nvGrpSpPr>
      <xdr:grpSpPr>
        <a:xfrm>
          <a:off x="2745025" y="6368925"/>
          <a:ext cx="195850" cy="268505"/>
          <a:chOff x="831586" y="6064374"/>
          <a:chExt cx="194536" cy="271596"/>
        </a:xfrm>
      </xdr:grpSpPr>
      <xdr:sp macro="" textlink="">
        <xdr:nvSpPr>
          <xdr:cNvPr id="531" name="Овал 530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>
            <a:spLocks noChangeAspect="1"/>
          </xdr:cNvSpPr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32" name="Прямая со стрелкой 531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33" name="Прямая со стрелкой 532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150019</xdr:colOff>
      <xdr:row>20</xdr:row>
      <xdr:rowOff>91518</xdr:rowOff>
    </xdr:from>
    <xdr:to>
      <xdr:col>6</xdr:col>
      <xdr:colOff>257866</xdr:colOff>
      <xdr:row>20</xdr:row>
      <xdr:rowOff>199518</xdr:rowOff>
    </xdr:to>
    <xdr:sp macro="" textlink="">
      <xdr:nvSpPr>
        <xdr:cNvPr id="534" name="Овал 533"/>
        <xdr:cNvSpPr>
          <a:spLocks noChangeAspect="1"/>
        </xdr:cNvSpPr>
      </xdr:nvSpPr>
      <xdr:spPr>
        <a:xfrm>
          <a:off x="2760990" y="7151224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200117</xdr:colOff>
      <xdr:row>19</xdr:row>
      <xdr:rowOff>542653</xdr:rowOff>
    </xdr:from>
    <xdr:to>
      <xdr:col>6</xdr:col>
      <xdr:colOff>200117</xdr:colOff>
      <xdr:row>20</xdr:row>
      <xdr:rowOff>140406</xdr:rowOff>
    </xdr:to>
    <xdr:cxnSp macro="">
      <xdr:nvCxnSpPr>
        <xdr:cNvPr id="535" name="Прямая соединительная линия 534"/>
        <xdr:cNvCxnSpPr/>
      </xdr:nvCxnSpPr>
      <xdr:spPr>
        <a:xfrm flipV="1">
          <a:off x="2811088" y="6840359"/>
          <a:ext cx="0" cy="359753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109511</xdr:colOff>
      <xdr:row>19</xdr:row>
      <xdr:rowOff>388789</xdr:rowOff>
    </xdr:from>
    <xdr:to>
      <xdr:col>6</xdr:col>
      <xdr:colOff>582306</xdr:colOff>
      <xdr:row>19</xdr:row>
      <xdr:rowOff>659884</xdr:rowOff>
    </xdr:to>
    <xdr:cxnSp macro="">
      <xdr:nvCxnSpPr>
        <xdr:cNvPr id="536" name="Прямая соединительная линия 535"/>
        <xdr:cNvCxnSpPr/>
      </xdr:nvCxnSpPr>
      <xdr:spPr>
        <a:xfrm flipH="1" flipV="1">
          <a:off x="2373099" y="6686495"/>
          <a:ext cx="820178" cy="271095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72877</xdr:colOff>
      <xdr:row>19</xdr:row>
      <xdr:rowOff>374134</xdr:rowOff>
    </xdr:from>
    <xdr:to>
      <xdr:col>6</xdr:col>
      <xdr:colOff>203505</xdr:colOff>
      <xdr:row>20</xdr:row>
      <xdr:rowOff>146999</xdr:rowOff>
    </xdr:to>
    <xdr:sp macro="" textlink="">
      <xdr:nvSpPr>
        <xdr:cNvPr id="537" name="Полилиния 536"/>
        <xdr:cNvSpPr/>
      </xdr:nvSpPr>
      <xdr:spPr>
        <a:xfrm>
          <a:off x="2336465" y="6671840"/>
          <a:ext cx="478011" cy="534865"/>
        </a:xfrm>
        <a:custGeom>
          <a:avLst/>
          <a:gdLst>
            <a:gd name="connsiteX0" fmla="*/ 476250 w 476250"/>
            <a:gd name="connsiteY0" fmla="*/ 534865 h 534865"/>
            <a:gd name="connsiteX1" fmla="*/ 476250 w 476250"/>
            <a:gd name="connsiteY1" fmla="*/ 153865 h 534865"/>
            <a:gd name="connsiteX2" fmla="*/ 0 w 476250"/>
            <a:gd name="connsiteY2" fmla="*/ 0 h 5348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6250" h="534865">
              <a:moveTo>
                <a:pt x="476250" y="534865"/>
              </a:moveTo>
              <a:lnTo>
                <a:pt x="476250" y="153865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286301</xdr:colOff>
      <xdr:row>19</xdr:row>
      <xdr:rowOff>682598</xdr:rowOff>
    </xdr:from>
    <xdr:to>
      <xdr:col>6</xdr:col>
      <xdr:colOff>506784</xdr:colOff>
      <xdr:row>20</xdr:row>
      <xdr:rowOff>136598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897272" y="6980304"/>
          <a:ext cx="220483" cy="216000"/>
        </a:xfrm>
        <a:prstGeom prst="rect">
          <a:avLst/>
        </a:prstGeom>
      </xdr:spPr>
    </xdr:pic>
    <xdr:clientData/>
  </xdr:twoCellAnchor>
  <xdr:twoCellAnchor>
    <xdr:from>
      <xdr:col>3</xdr:col>
      <xdr:colOff>344218</xdr:colOff>
      <xdr:row>19</xdr:row>
      <xdr:rowOff>366376</xdr:rowOff>
    </xdr:from>
    <xdr:to>
      <xdr:col>4</xdr:col>
      <xdr:colOff>115802</xdr:colOff>
      <xdr:row>19</xdr:row>
      <xdr:rowOff>732811</xdr:rowOff>
    </xdr:to>
    <xdr:grpSp>
      <xdr:nvGrpSpPr>
        <xdr:cNvPr id="544" name="Группа 543"/>
        <xdr:cNvGrpSpPr/>
      </xdr:nvGrpSpPr>
      <xdr:grpSpPr>
        <a:xfrm rot="16200000" flipH="1">
          <a:off x="1421114" y="6773409"/>
          <a:ext cx="366435" cy="125369"/>
          <a:chOff x="402461" y="3687553"/>
          <a:chExt cx="365521" cy="118966"/>
        </a:xfrm>
      </xdr:grpSpPr>
      <xdr:sp macro="" textlink="">
        <xdr:nvSpPr>
          <xdr:cNvPr id="545" name="Овал 544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46" name="Прямая со стрелкой 545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47" name="Овал 546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48" name="Прямая со стрелкой 547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123001</xdr:colOff>
      <xdr:row>19</xdr:row>
      <xdr:rowOff>95538</xdr:rowOff>
    </xdr:from>
    <xdr:to>
      <xdr:col>2</xdr:col>
      <xdr:colOff>123001</xdr:colOff>
      <xdr:row>19</xdr:row>
      <xdr:rowOff>490023</xdr:rowOff>
    </xdr:to>
    <xdr:cxnSp macro="">
      <xdr:nvCxnSpPr>
        <xdr:cNvPr id="549" name="Прямая соединительная линия 548"/>
        <xdr:cNvCxnSpPr/>
      </xdr:nvCxnSpPr>
      <xdr:spPr>
        <a:xfrm rot="5400000">
          <a:off x="394681" y="6593935"/>
          <a:ext cx="394485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111617</xdr:colOff>
      <xdr:row>12</xdr:row>
      <xdr:rowOff>97260</xdr:rowOff>
    </xdr:from>
    <xdr:to>
      <xdr:col>4</xdr:col>
      <xdr:colOff>219464</xdr:colOff>
      <xdr:row>12</xdr:row>
      <xdr:rowOff>198456</xdr:rowOff>
    </xdr:to>
    <xdr:sp macro="" textlink="">
      <xdr:nvSpPr>
        <xdr:cNvPr id="551" name="Овал 550"/>
        <xdr:cNvSpPr>
          <a:spLocks noChangeAspect="1"/>
        </xdr:cNvSpPr>
      </xdr:nvSpPr>
      <xdr:spPr>
        <a:xfrm>
          <a:off x="3798352" y="6148436"/>
          <a:ext cx="107847" cy="101196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166844</xdr:colOff>
      <xdr:row>11</xdr:row>
      <xdr:rowOff>74564</xdr:rowOff>
    </xdr:from>
    <xdr:to>
      <xdr:col>4</xdr:col>
      <xdr:colOff>166844</xdr:colOff>
      <xdr:row>12</xdr:row>
      <xdr:rowOff>128870</xdr:rowOff>
    </xdr:to>
    <xdr:cxnSp macro="">
      <xdr:nvCxnSpPr>
        <xdr:cNvPr id="552" name="Прямая соединительная линия 551"/>
        <xdr:cNvCxnSpPr/>
      </xdr:nvCxnSpPr>
      <xdr:spPr>
        <a:xfrm flipV="1">
          <a:off x="3853579" y="5363740"/>
          <a:ext cx="0" cy="816306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166844</xdr:colOff>
      <xdr:row>11</xdr:row>
      <xdr:rowOff>533406</xdr:rowOff>
    </xdr:from>
    <xdr:to>
      <xdr:col>4</xdr:col>
      <xdr:colOff>566894</xdr:colOff>
      <xdr:row>11</xdr:row>
      <xdr:rowOff>533406</xdr:rowOff>
    </xdr:to>
    <xdr:cxnSp macro="">
      <xdr:nvCxnSpPr>
        <xdr:cNvPr id="553" name="Прямая соединительная линия 552"/>
        <xdr:cNvCxnSpPr/>
      </xdr:nvCxnSpPr>
      <xdr:spPr>
        <a:xfrm>
          <a:off x="3853579" y="5822582"/>
          <a:ext cx="40005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167797</xdr:colOff>
      <xdr:row>11</xdr:row>
      <xdr:rowOff>535200</xdr:rowOff>
    </xdr:from>
    <xdr:to>
      <xdr:col>4</xdr:col>
      <xdr:colOff>620174</xdr:colOff>
      <xdr:row>12</xdr:row>
      <xdr:rowOff>136510</xdr:rowOff>
    </xdr:to>
    <xdr:sp macro="" textlink="">
      <xdr:nvSpPr>
        <xdr:cNvPr id="554" name="Полилиния 553"/>
        <xdr:cNvSpPr/>
      </xdr:nvSpPr>
      <xdr:spPr>
        <a:xfrm>
          <a:off x="3854532" y="5824376"/>
          <a:ext cx="452377" cy="363310"/>
        </a:xfrm>
        <a:custGeom>
          <a:avLst/>
          <a:gdLst>
            <a:gd name="connsiteX0" fmla="*/ 0 w 451758"/>
            <a:gd name="connsiteY0" fmla="*/ 370114 h 370114"/>
            <a:gd name="connsiteX1" fmla="*/ 0 w 451758"/>
            <a:gd name="connsiteY1" fmla="*/ 0 h 370114"/>
            <a:gd name="connsiteX2" fmla="*/ 451758 w 451758"/>
            <a:gd name="connsiteY2" fmla="*/ 0 h 370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1758" h="370114">
              <a:moveTo>
                <a:pt x="0" y="370114"/>
              </a:moveTo>
              <a:lnTo>
                <a:pt x="0" y="0"/>
              </a:lnTo>
              <a:lnTo>
                <a:pt x="451758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275820</xdr:colOff>
      <xdr:row>15</xdr:row>
      <xdr:rowOff>670657</xdr:rowOff>
    </xdr:from>
    <xdr:to>
      <xdr:col>6</xdr:col>
      <xdr:colOff>518296</xdr:colOff>
      <xdr:row>16</xdr:row>
      <xdr:rowOff>160657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791" y="4951304"/>
          <a:ext cx="242476" cy="2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293910</xdr:colOff>
      <xdr:row>9</xdr:row>
      <xdr:rowOff>660011</xdr:rowOff>
    </xdr:from>
    <xdr:to>
      <xdr:col>10</xdr:col>
      <xdr:colOff>528247</xdr:colOff>
      <xdr:row>10</xdr:row>
      <xdr:rowOff>141872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410" y="1915070"/>
          <a:ext cx="234337" cy="243861"/>
        </a:xfrm>
        <a:prstGeom prst="rect">
          <a:avLst/>
        </a:prstGeom>
      </xdr:spPr>
    </xdr:pic>
    <xdr:clientData/>
  </xdr:twoCellAnchor>
  <xdr:twoCellAnchor>
    <xdr:from>
      <xdr:col>3</xdr:col>
      <xdr:colOff>209686</xdr:colOff>
      <xdr:row>19</xdr:row>
      <xdr:rowOff>502317</xdr:rowOff>
    </xdr:from>
    <xdr:to>
      <xdr:col>4</xdr:col>
      <xdr:colOff>10215</xdr:colOff>
      <xdr:row>19</xdr:row>
      <xdr:rowOff>734080</xdr:rowOff>
    </xdr:to>
    <xdr:grpSp>
      <xdr:nvGrpSpPr>
        <xdr:cNvPr id="213" name="Группа 212"/>
        <xdr:cNvGrpSpPr/>
      </xdr:nvGrpSpPr>
      <xdr:grpSpPr>
        <a:xfrm rot="16200000" flipV="1">
          <a:off x="1368390" y="6827542"/>
          <a:ext cx="231763" cy="154314"/>
          <a:chOff x="1105823" y="3587764"/>
          <a:chExt cx="231801" cy="150655"/>
        </a:xfrm>
      </xdr:grpSpPr>
      <xdr:sp macro="" textlink="">
        <xdr:nvSpPr>
          <xdr:cNvPr id="214" name="Овал 213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 flipH="1">
            <a:off x="1105823" y="3690058"/>
            <a:ext cx="46948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15" name="Прямая со стрелкой 214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V="1">
            <a:off x="1157055" y="3587764"/>
            <a:ext cx="180569" cy="108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4</xdr:col>
      <xdr:colOff>291509</xdr:colOff>
      <xdr:row>11</xdr:row>
      <xdr:rowOff>652006</xdr:rowOff>
    </xdr:from>
    <xdr:to>
      <xdr:col>4</xdr:col>
      <xdr:colOff>525846</xdr:colOff>
      <xdr:row>12</xdr:row>
      <xdr:rowOff>133867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23" y="2910792"/>
          <a:ext cx="234337" cy="243861"/>
        </a:xfrm>
        <a:prstGeom prst="rect">
          <a:avLst/>
        </a:prstGeom>
      </xdr:spPr>
    </xdr:pic>
    <xdr:clientData/>
  </xdr:twoCellAnchor>
  <xdr:twoCellAnchor>
    <xdr:from>
      <xdr:col>8</xdr:col>
      <xdr:colOff>129339</xdr:colOff>
      <xdr:row>10</xdr:row>
      <xdr:rowOff>79802</xdr:rowOff>
    </xdr:from>
    <xdr:to>
      <xdr:col>8</xdr:col>
      <xdr:colOff>237805</xdr:colOff>
      <xdr:row>10</xdr:row>
      <xdr:rowOff>180998</xdr:rowOff>
    </xdr:to>
    <xdr:sp macro="" textlink="">
      <xdr:nvSpPr>
        <xdr:cNvPr id="217" name="Овал 216"/>
        <xdr:cNvSpPr>
          <a:spLocks noChangeAspect="1"/>
        </xdr:cNvSpPr>
      </xdr:nvSpPr>
      <xdr:spPr>
        <a:xfrm>
          <a:off x="3816074" y="2096861"/>
          <a:ext cx="108466" cy="101196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105896</xdr:colOff>
      <xdr:row>9</xdr:row>
      <xdr:rowOff>489691</xdr:rowOff>
    </xdr:from>
    <xdr:to>
      <xdr:col>8</xdr:col>
      <xdr:colOff>587535</xdr:colOff>
      <xdr:row>9</xdr:row>
      <xdr:rowOff>489691</xdr:rowOff>
    </xdr:to>
    <xdr:cxnSp macro="">
      <xdr:nvCxnSpPr>
        <xdr:cNvPr id="219" name="Прямая соединительная линия 218"/>
        <xdr:cNvCxnSpPr/>
      </xdr:nvCxnSpPr>
      <xdr:spPr>
        <a:xfrm flipH="1">
          <a:off x="3445249" y="1744750"/>
          <a:ext cx="829021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140880</xdr:colOff>
      <xdr:row>22</xdr:row>
      <xdr:rowOff>77485</xdr:rowOff>
    </xdr:from>
    <xdr:to>
      <xdr:col>8</xdr:col>
      <xdr:colOff>248880</xdr:colOff>
      <xdr:row>22</xdr:row>
      <xdr:rowOff>185485</xdr:rowOff>
    </xdr:to>
    <xdr:sp macro="" textlink="">
      <xdr:nvSpPr>
        <xdr:cNvPr id="206" name="Овал 205"/>
        <xdr:cNvSpPr>
          <a:spLocks noChangeAspect="1"/>
        </xdr:cNvSpPr>
      </xdr:nvSpPr>
      <xdr:spPr>
        <a:xfrm>
          <a:off x="3827615" y="8145720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196107</xdr:colOff>
      <xdr:row>21</xdr:row>
      <xdr:rowOff>69148</xdr:rowOff>
    </xdr:from>
    <xdr:to>
      <xdr:col>8</xdr:col>
      <xdr:colOff>196107</xdr:colOff>
      <xdr:row>22</xdr:row>
      <xdr:rowOff>115899</xdr:rowOff>
    </xdr:to>
    <xdr:cxnSp macro="">
      <xdr:nvCxnSpPr>
        <xdr:cNvPr id="207" name="Прямая соединительная линия 206"/>
        <xdr:cNvCxnSpPr/>
      </xdr:nvCxnSpPr>
      <xdr:spPr>
        <a:xfrm flipV="1">
          <a:off x="3948129" y="7374409"/>
          <a:ext cx="0" cy="808751"/>
        </a:xfrm>
        <a:prstGeom prst="line">
          <a:avLst/>
        </a:prstGeom>
        <a:ln w="34925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457184</xdr:colOff>
      <xdr:row>21</xdr:row>
      <xdr:rowOff>652472</xdr:rowOff>
    </xdr:from>
    <xdr:to>
      <xdr:col>8</xdr:col>
      <xdr:colOff>457184</xdr:colOff>
      <xdr:row>22</xdr:row>
      <xdr:rowOff>180474</xdr:rowOff>
    </xdr:to>
    <xdr:cxnSp macro="">
      <xdr:nvCxnSpPr>
        <xdr:cNvPr id="210" name="Прямая соединительная линия 209"/>
        <xdr:cNvCxnSpPr/>
      </xdr:nvCxnSpPr>
      <xdr:spPr>
        <a:xfrm flipV="1">
          <a:off x="4171934" y="7961656"/>
          <a:ext cx="0" cy="290002"/>
        </a:xfrm>
        <a:prstGeom prst="line">
          <a:avLst/>
        </a:prstGeom>
        <a:ln w="3810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240196</xdr:colOff>
      <xdr:row>23</xdr:row>
      <xdr:rowOff>579783</xdr:rowOff>
    </xdr:from>
    <xdr:to>
      <xdr:col>2</xdr:col>
      <xdr:colOff>456196</xdr:colOff>
      <xdr:row>24</xdr:row>
      <xdr:rowOff>33783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8895522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308458</xdr:colOff>
      <xdr:row>21</xdr:row>
      <xdr:rowOff>482829</xdr:rowOff>
    </xdr:from>
    <xdr:to>
      <xdr:col>8</xdr:col>
      <xdr:colOff>632458</xdr:colOff>
      <xdr:row>21</xdr:row>
      <xdr:rowOff>645645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208" y="7792013"/>
          <a:ext cx="324000" cy="162816"/>
        </a:xfrm>
        <a:prstGeom prst="rect">
          <a:avLst/>
        </a:prstGeom>
      </xdr:spPr>
    </xdr:pic>
    <xdr:clientData/>
  </xdr:twoCellAnchor>
  <xdr:twoCellAnchor editAs="oneCell">
    <xdr:from>
      <xdr:col>8</xdr:col>
      <xdr:colOff>317654</xdr:colOff>
      <xdr:row>21</xdr:row>
      <xdr:rowOff>310817</xdr:rowOff>
    </xdr:from>
    <xdr:to>
      <xdr:col>8</xdr:col>
      <xdr:colOff>637482</xdr:colOff>
      <xdr:row>21</xdr:row>
      <xdr:rowOff>471535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04" y="7620001"/>
          <a:ext cx="319828" cy="160718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9</xdr:row>
      <xdr:rowOff>57150</xdr:rowOff>
    </xdr:from>
    <xdr:to>
      <xdr:col>8</xdr:col>
      <xdr:colOff>190500</xdr:colOff>
      <xdr:row>10</xdr:row>
      <xdr:rowOff>114300</xdr:rowOff>
    </xdr:to>
    <xdr:sp macro="" textlink="">
      <xdr:nvSpPr>
        <xdr:cNvPr id="6" name="Полилиния 5"/>
        <xdr:cNvSpPr/>
      </xdr:nvSpPr>
      <xdr:spPr>
        <a:xfrm>
          <a:off x="3800475" y="1304925"/>
          <a:ext cx="114300" cy="819150"/>
        </a:xfrm>
        <a:custGeom>
          <a:avLst/>
          <a:gdLst>
            <a:gd name="connsiteX0" fmla="*/ 95250 w 95250"/>
            <a:gd name="connsiteY0" fmla="*/ 781050 h 781050"/>
            <a:gd name="connsiteX1" fmla="*/ 66675 w 95250"/>
            <a:gd name="connsiteY1" fmla="*/ 390525 h 781050"/>
            <a:gd name="connsiteX2" fmla="*/ 0 w 95250"/>
            <a:gd name="connsiteY2" fmla="*/ 0 h 781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5250" h="781050">
              <a:moveTo>
                <a:pt x="95250" y="781050"/>
              </a:moveTo>
              <a:cubicBezTo>
                <a:pt x="88900" y="650875"/>
                <a:pt x="82550" y="520700"/>
                <a:pt x="66675" y="390525"/>
              </a:cubicBezTo>
              <a:cubicBezTo>
                <a:pt x="50800" y="260350"/>
                <a:pt x="25400" y="130175"/>
                <a:pt x="0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389773</xdr:colOff>
      <xdr:row>19</xdr:row>
      <xdr:rowOff>564930</xdr:rowOff>
    </xdr:from>
    <xdr:to>
      <xdr:col>8</xdr:col>
      <xdr:colOff>532086</xdr:colOff>
      <xdr:row>20</xdr:row>
      <xdr:rowOff>51777</xdr:rowOff>
    </xdr:to>
    <xdr:sp macro="" textlink="">
      <xdr:nvSpPr>
        <xdr:cNvPr id="226" name="Полилиния 225"/>
        <xdr:cNvSpPr/>
      </xdr:nvSpPr>
      <xdr:spPr>
        <a:xfrm flipH="1">
          <a:off x="4127514" y="6864568"/>
          <a:ext cx="142313" cy="248847"/>
        </a:xfrm>
        <a:custGeom>
          <a:avLst/>
          <a:gdLst>
            <a:gd name="connsiteX0" fmla="*/ 5013 w 255671"/>
            <a:gd name="connsiteY0" fmla="*/ 0 h 360948"/>
            <a:gd name="connsiteX1" fmla="*/ 255671 w 255671"/>
            <a:gd name="connsiteY1" fmla="*/ 0 h 360948"/>
            <a:gd name="connsiteX2" fmla="*/ 255671 w 255671"/>
            <a:gd name="connsiteY2" fmla="*/ 360948 h 360948"/>
            <a:gd name="connsiteX3" fmla="*/ 0 w 255671"/>
            <a:gd name="connsiteY3" fmla="*/ 360948 h 3609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55671" h="360948">
              <a:moveTo>
                <a:pt x="5013" y="0"/>
              </a:moveTo>
              <a:lnTo>
                <a:pt x="255671" y="0"/>
              </a:lnTo>
              <a:lnTo>
                <a:pt x="255671" y="360948"/>
              </a:lnTo>
              <a:lnTo>
                <a:pt x="0" y="360948"/>
              </a:lnTo>
            </a:path>
          </a:pathLst>
        </a:custGeom>
        <a:solidFill>
          <a:schemeClr val="bg1">
            <a:lumMod val="95000"/>
          </a:schemeClr>
        </a:solidFill>
        <a:ln w="19050">
          <a:solidFill>
            <a:schemeClr val="bg1">
              <a:lumMod val="7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157842</xdr:colOff>
      <xdr:row>17</xdr:row>
      <xdr:rowOff>190500</xdr:rowOff>
    </xdr:from>
    <xdr:to>
      <xdr:col>10</xdr:col>
      <xdr:colOff>87086</xdr:colOff>
      <xdr:row>17</xdr:row>
      <xdr:rowOff>434491</xdr:rowOff>
    </xdr:to>
    <xdr:sp macro="" textlink="">
      <xdr:nvSpPr>
        <xdr:cNvPr id="13" name="Равнобедренный треугольник 12"/>
        <xdr:cNvSpPr/>
      </xdr:nvSpPr>
      <xdr:spPr>
        <a:xfrm flipV="1">
          <a:off x="4626428" y="5480957"/>
          <a:ext cx="283029" cy="243991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108604</xdr:colOff>
      <xdr:row>17</xdr:row>
      <xdr:rowOff>162615</xdr:rowOff>
    </xdr:from>
    <xdr:to>
      <xdr:col>9</xdr:col>
      <xdr:colOff>108604</xdr:colOff>
      <xdr:row>17</xdr:row>
      <xdr:rowOff>452617</xdr:rowOff>
    </xdr:to>
    <xdr:cxnSp macro="">
      <xdr:nvCxnSpPr>
        <xdr:cNvPr id="227" name="Прямая соединительная линия 226"/>
        <xdr:cNvCxnSpPr/>
      </xdr:nvCxnSpPr>
      <xdr:spPr>
        <a:xfrm flipV="1">
          <a:off x="4597778" y="5446919"/>
          <a:ext cx="0" cy="290002"/>
        </a:xfrm>
        <a:prstGeom prst="line">
          <a:avLst/>
        </a:prstGeom>
        <a:ln w="3810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132569</xdr:colOff>
      <xdr:row>17</xdr:row>
      <xdr:rowOff>291288</xdr:rowOff>
    </xdr:from>
    <xdr:to>
      <xdr:col>9</xdr:col>
      <xdr:colOff>326571</xdr:colOff>
      <xdr:row>17</xdr:row>
      <xdr:rowOff>291288</xdr:rowOff>
    </xdr:to>
    <xdr:cxnSp macro="">
      <xdr:nvCxnSpPr>
        <xdr:cNvPr id="228" name="Прямая соединительная линия 227"/>
        <xdr:cNvCxnSpPr/>
      </xdr:nvCxnSpPr>
      <xdr:spPr>
        <a:xfrm>
          <a:off x="4601155" y="5581745"/>
          <a:ext cx="194002" cy="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120299</xdr:colOff>
      <xdr:row>24</xdr:row>
      <xdr:rowOff>102605</xdr:rowOff>
    </xdr:from>
    <xdr:to>
      <xdr:col>4</xdr:col>
      <xdr:colOff>228146</xdr:colOff>
      <xdr:row>24</xdr:row>
      <xdr:rowOff>210605</xdr:rowOff>
    </xdr:to>
    <xdr:sp macro="" textlink="">
      <xdr:nvSpPr>
        <xdr:cNvPr id="229" name="Овал 228"/>
        <xdr:cNvSpPr>
          <a:spLocks noChangeAspect="1"/>
        </xdr:cNvSpPr>
      </xdr:nvSpPr>
      <xdr:spPr>
        <a:xfrm>
          <a:off x="4978049" y="5115136"/>
          <a:ext cx="107847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164573</xdr:colOff>
      <xdr:row>23</xdr:row>
      <xdr:rowOff>516733</xdr:rowOff>
    </xdr:from>
    <xdr:to>
      <xdr:col>4</xdr:col>
      <xdr:colOff>606806</xdr:colOff>
      <xdr:row>24</xdr:row>
      <xdr:rowOff>124847</xdr:rowOff>
    </xdr:to>
    <xdr:sp macro="" textlink="">
      <xdr:nvSpPr>
        <xdr:cNvPr id="232" name="Полилиния 231"/>
        <xdr:cNvSpPr/>
      </xdr:nvSpPr>
      <xdr:spPr>
        <a:xfrm>
          <a:off x="1736198" y="8815389"/>
          <a:ext cx="442233" cy="370114"/>
        </a:xfrm>
        <a:custGeom>
          <a:avLst/>
          <a:gdLst>
            <a:gd name="connsiteX0" fmla="*/ 0 w 451758"/>
            <a:gd name="connsiteY0" fmla="*/ 370114 h 370114"/>
            <a:gd name="connsiteX1" fmla="*/ 0 w 451758"/>
            <a:gd name="connsiteY1" fmla="*/ 0 h 370114"/>
            <a:gd name="connsiteX2" fmla="*/ 451758 w 451758"/>
            <a:gd name="connsiteY2" fmla="*/ 0 h 3701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1758" h="370114">
              <a:moveTo>
                <a:pt x="0" y="370114"/>
              </a:moveTo>
              <a:lnTo>
                <a:pt x="0" y="0"/>
              </a:lnTo>
              <a:lnTo>
                <a:pt x="451758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280675</xdr:colOff>
      <xdr:row>23</xdr:row>
      <xdr:rowOff>337073</xdr:rowOff>
    </xdr:from>
    <xdr:to>
      <xdr:col>4</xdr:col>
      <xdr:colOff>42454</xdr:colOff>
      <xdr:row>23</xdr:row>
      <xdr:rowOff>703508</xdr:rowOff>
    </xdr:to>
    <xdr:grpSp>
      <xdr:nvGrpSpPr>
        <xdr:cNvPr id="235" name="Группа 234"/>
        <xdr:cNvGrpSpPr/>
      </xdr:nvGrpSpPr>
      <xdr:grpSpPr>
        <a:xfrm rot="5400000">
          <a:off x="1352668" y="8762866"/>
          <a:ext cx="366435" cy="115564"/>
          <a:chOff x="402461" y="3687553"/>
          <a:chExt cx="365521" cy="118966"/>
        </a:xfrm>
      </xdr:grpSpPr>
      <xdr:sp macro="" textlink="">
        <xdr:nvSpPr>
          <xdr:cNvPr id="236" name="Овал 23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>
            <a:off x="721034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37" name="Прямая со стрелкой 23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648628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8" name="Овал 23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>
            <a:off x="402461" y="3687553"/>
            <a:ext cx="46948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39" name="Прямая со стрелкой 23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>
            <a:off x="449587" y="3734519"/>
            <a:ext cx="72228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109386</xdr:colOff>
      <xdr:row>23</xdr:row>
      <xdr:rowOff>525183</xdr:rowOff>
    </xdr:from>
    <xdr:to>
      <xdr:col>4</xdr:col>
      <xdr:colOff>145186</xdr:colOff>
      <xdr:row>23</xdr:row>
      <xdr:rowOff>525183</xdr:rowOff>
    </xdr:to>
    <xdr:cxnSp macro="">
      <xdr:nvCxnSpPr>
        <xdr:cNvPr id="240" name="Прямая соединительная линия 239"/>
        <xdr:cNvCxnSpPr/>
      </xdr:nvCxnSpPr>
      <xdr:spPr>
        <a:xfrm>
          <a:off x="1311001" y="8848568"/>
          <a:ext cx="387493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237727</xdr:colOff>
      <xdr:row>19</xdr:row>
      <xdr:rowOff>490965</xdr:rowOff>
    </xdr:from>
    <xdr:to>
      <xdr:col>4</xdr:col>
      <xdr:colOff>639536</xdr:colOff>
      <xdr:row>19</xdr:row>
      <xdr:rowOff>490965</xdr:rowOff>
    </xdr:to>
    <xdr:cxnSp macro="">
      <xdr:nvCxnSpPr>
        <xdr:cNvPr id="242" name="Прямая соединительная линия 241"/>
        <xdr:cNvCxnSpPr/>
      </xdr:nvCxnSpPr>
      <xdr:spPr>
        <a:xfrm>
          <a:off x="1788941" y="6777465"/>
          <a:ext cx="401809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870762</xdr:colOff>
      <xdr:row>0</xdr:row>
      <xdr:rowOff>1430997</xdr:rowOff>
    </xdr:from>
    <xdr:to>
      <xdr:col>4</xdr:col>
      <xdr:colOff>63343</xdr:colOff>
      <xdr:row>0</xdr:row>
      <xdr:rowOff>1538997</xdr:rowOff>
    </xdr:to>
    <xdr:sp macro="" textlink="">
      <xdr:nvSpPr>
        <xdr:cNvPr id="16" name="Овал 15"/>
        <xdr:cNvSpPr>
          <a:spLocks noChangeAspect="1"/>
        </xdr:cNvSpPr>
      </xdr:nvSpPr>
      <xdr:spPr>
        <a:xfrm rot="5400000">
          <a:off x="2546653" y="68592281"/>
          <a:ext cx="108000" cy="106981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11585</xdr:colOff>
      <xdr:row>0</xdr:row>
      <xdr:rowOff>123265</xdr:rowOff>
    </xdr:from>
    <xdr:to>
      <xdr:col>4</xdr:col>
      <xdr:colOff>11585</xdr:colOff>
      <xdr:row>0</xdr:row>
      <xdr:rowOff>1486531</xdr:rowOff>
    </xdr:to>
    <xdr:cxnSp macro="">
      <xdr:nvCxnSpPr>
        <xdr:cNvPr id="17" name="Прямая соединительная линия 16"/>
        <xdr:cNvCxnSpPr/>
      </xdr:nvCxnSpPr>
      <xdr:spPr>
        <a:xfrm>
          <a:off x="2602385" y="123265"/>
          <a:ext cx="0" cy="136326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10187</xdr:colOff>
      <xdr:row>0</xdr:row>
      <xdr:rowOff>762000</xdr:rowOff>
    </xdr:from>
    <xdr:to>
      <xdr:col>4</xdr:col>
      <xdr:colOff>733425</xdr:colOff>
      <xdr:row>0</xdr:row>
      <xdr:rowOff>855329</xdr:rowOff>
    </xdr:to>
    <xdr:cxnSp macro="">
      <xdr:nvCxnSpPr>
        <xdr:cNvPr id="18" name="Прямая соединительная линия 17"/>
        <xdr:cNvCxnSpPr/>
      </xdr:nvCxnSpPr>
      <xdr:spPr>
        <a:xfrm flipV="1">
          <a:off x="2600987" y="762000"/>
          <a:ext cx="723238" cy="93329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876880</xdr:colOff>
      <xdr:row>1</xdr:row>
      <xdr:rowOff>1296626</xdr:rowOff>
    </xdr:from>
    <xdr:to>
      <xdr:col>4</xdr:col>
      <xdr:colOff>70918</xdr:colOff>
      <xdr:row>1</xdr:row>
      <xdr:rowOff>1404626</xdr:rowOff>
    </xdr:to>
    <xdr:sp macro="" textlink="">
      <xdr:nvSpPr>
        <xdr:cNvPr id="127" name="Овал 126"/>
        <xdr:cNvSpPr>
          <a:spLocks noChangeAspect="1"/>
        </xdr:cNvSpPr>
      </xdr:nvSpPr>
      <xdr:spPr>
        <a:xfrm>
          <a:off x="2557762" y="2943891"/>
          <a:ext cx="112921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8583</xdr:colOff>
      <xdr:row>1</xdr:row>
      <xdr:rowOff>1134611</xdr:rowOff>
    </xdr:from>
    <xdr:to>
      <xdr:col>4</xdr:col>
      <xdr:colOff>135659</xdr:colOff>
      <xdr:row>1</xdr:row>
      <xdr:rowOff>1260717</xdr:rowOff>
    </xdr:to>
    <xdr:grpSp>
      <xdr:nvGrpSpPr>
        <xdr:cNvPr id="142" name="Группа 141"/>
        <xdr:cNvGrpSpPr/>
      </xdr:nvGrpSpPr>
      <xdr:grpSpPr>
        <a:xfrm flipH="1">
          <a:off x="2607547" y="2781075"/>
          <a:ext cx="127076" cy="126106"/>
          <a:chOff x="1132242" y="1306343"/>
          <a:chExt cx="123151" cy="128030"/>
        </a:xfrm>
      </xdr:grpSpPr>
      <xdr:cxnSp macro="">
        <xdr:nvCxnSpPr>
          <xdr:cNvPr id="143" name="Прямая соединительная линия 142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4" name="Прямоугольник 143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6</xdr:col>
      <xdr:colOff>312961</xdr:colOff>
      <xdr:row>0</xdr:row>
      <xdr:rowOff>503464</xdr:rowOff>
    </xdr:from>
    <xdr:to>
      <xdr:col>6</xdr:col>
      <xdr:colOff>529692</xdr:colOff>
      <xdr:row>0</xdr:row>
      <xdr:rowOff>1115464</xdr:rowOff>
    </xdr:to>
    <xdr:grpSp>
      <xdr:nvGrpSpPr>
        <xdr:cNvPr id="173" name="Группа 172"/>
        <xdr:cNvGrpSpPr>
          <a:grpSpLocks noChangeAspect="1"/>
        </xdr:cNvGrpSpPr>
      </xdr:nvGrpSpPr>
      <xdr:grpSpPr>
        <a:xfrm flipH="1">
          <a:off x="4544782" y="503464"/>
          <a:ext cx="216731" cy="612000"/>
          <a:chOff x="2974731" y="8507714"/>
          <a:chExt cx="359019" cy="1014540"/>
        </a:xfrm>
      </xdr:grpSpPr>
      <xdr:sp macro="" textlink="">
        <xdr:nvSpPr>
          <xdr:cNvPr id="174" name="Прямоугольник 173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5" name="Овал 174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6" name="Овал 175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7" name="Овал 176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190406</xdr:colOff>
      <xdr:row>0</xdr:row>
      <xdr:rowOff>995569</xdr:rowOff>
    </xdr:from>
    <xdr:to>
      <xdr:col>4</xdr:col>
      <xdr:colOff>294665</xdr:colOff>
      <xdr:row>0</xdr:row>
      <xdr:rowOff>1103569</xdr:rowOff>
    </xdr:to>
    <xdr:sp macro="" textlink="">
      <xdr:nvSpPr>
        <xdr:cNvPr id="178" name="Овал 177"/>
        <xdr:cNvSpPr>
          <a:spLocks noChangeAspect="1"/>
        </xdr:cNvSpPr>
      </xdr:nvSpPr>
      <xdr:spPr>
        <a:xfrm rot="5400000">
          <a:off x="2787500" y="997439"/>
          <a:ext cx="108000" cy="1042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8583</xdr:colOff>
      <xdr:row>0</xdr:row>
      <xdr:rowOff>739203</xdr:rowOff>
    </xdr:from>
    <xdr:to>
      <xdr:col>4</xdr:col>
      <xdr:colOff>135659</xdr:colOff>
      <xdr:row>0</xdr:row>
      <xdr:rowOff>865309</xdr:rowOff>
    </xdr:to>
    <xdr:grpSp>
      <xdr:nvGrpSpPr>
        <xdr:cNvPr id="179" name="Группа 178"/>
        <xdr:cNvGrpSpPr/>
      </xdr:nvGrpSpPr>
      <xdr:grpSpPr>
        <a:xfrm flipH="1">
          <a:off x="2607547" y="739203"/>
          <a:ext cx="127076" cy="126106"/>
          <a:chOff x="1132242" y="1306343"/>
          <a:chExt cx="123151" cy="128030"/>
        </a:xfrm>
      </xdr:grpSpPr>
      <xdr:cxnSp macro="">
        <xdr:nvCxnSpPr>
          <xdr:cNvPr id="180" name="Прямая соединительная линия 17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1" name="Прямоугольник 18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863951</xdr:colOff>
      <xdr:row>5</xdr:row>
      <xdr:rowOff>1427362</xdr:rowOff>
    </xdr:from>
    <xdr:to>
      <xdr:col>4</xdr:col>
      <xdr:colOff>64756</xdr:colOff>
      <xdr:row>5</xdr:row>
      <xdr:rowOff>1535362</xdr:rowOff>
    </xdr:to>
    <xdr:sp macro="" textlink="">
      <xdr:nvSpPr>
        <xdr:cNvPr id="182" name="Овал 181"/>
        <xdr:cNvSpPr>
          <a:spLocks noChangeAspect="1"/>
        </xdr:cNvSpPr>
      </xdr:nvSpPr>
      <xdr:spPr>
        <a:xfrm rot="5400000">
          <a:off x="2543954" y="4719409"/>
          <a:ext cx="108000" cy="115205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209550</xdr:colOff>
      <xdr:row>5</xdr:row>
      <xdr:rowOff>695325</xdr:rowOff>
    </xdr:from>
    <xdr:to>
      <xdr:col>4</xdr:col>
      <xdr:colOff>704850</xdr:colOff>
      <xdr:row>5</xdr:row>
      <xdr:rowOff>904875</xdr:rowOff>
    </xdr:to>
    <xdr:cxnSp macro="">
      <xdr:nvCxnSpPr>
        <xdr:cNvPr id="184" name="Прямая соединительная линия 183"/>
        <xdr:cNvCxnSpPr/>
      </xdr:nvCxnSpPr>
      <xdr:spPr>
        <a:xfrm>
          <a:off x="1885950" y="3990975"/>
          <a:ext cx="1409700" cy="20955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906073</xdr:colOff>
      <xdr:row>5</xdr:row>
      <xdr:rowOff>693965</xdr:rowOff>
    </xdr:from>
    <xdr:to>
      <xdr:col>4</xdr:col>
      <xdr:colOff>118698</xdr:colOff>
      <xdr:row>5</xdr:row>
      <xdr:rowOff>819850</xdr:rowOff>
    </xdr:to>
    <xdr:grpSp>
      <xdr:nvGrpSpPr>
        <xdr:cNvPr id="186" name="Группа 185"/>
        <xdr:cNvGrpSpPr/>
      </xdr:nvGrpSpPr>
      <xdr:grpSpPr>
        <a:xfrm rot="16200000" flipH="1" flipV="1">
          <a:off x="2592568" y="8927077"/>
          <a:ext cx="125885" cy="124303"/>
          <a:chOff x="1132242" y="1306343"/>
          <a:chExt cx="123151" cy="128030"/>
        </a:xfrm>
      </xdr:grpSpPr>
      <xdr:cxnSp macro="">
        <xdr:nvCxnSpPr>
          <xdr:cNvPr id="187" name="Прямая соединительная линия 18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8" name="Прямоугольник 18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95156</xdr:colOff>
      <xdr:row>5</xdr:row>
      <xdr:rowOff>900320</xdr:rowOff>
    </xdr:from>
    <xdr:to>
      <xdr:col>4</xdr:col>
      <xdr:colOff>199415</xdr:colOff>
      <xdr:row>5</xdr:row>
      <xdr:rowOff>1008320</xdr:rowOff>
    </xdr:to>
    <xdr:sp macro="" textlink="">
      <xdr:nvSpPr>
        <xdr:cNvPr id="201" name="Овал 200"/>
        <xdr:cNvSpPr>
          <a:spLocks noChangeAspect="1"/>
        </xdr:cNvSpPr>
      </xdr:nvSpPr>
      <xdr:spPr>
        <a:xfrm rot="5400000">
          <a:off x="2684086" y="4197840"/>
          <a:ext cx="108000" cy="1042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312961</xdr:colOff>
      <xdr:row>5</xdr:row>
      <xdr:rowOff>484414</xdr:rowOff>
    </xdr:from>
    <xdr:to>
      <xdr:col>6</xdr:col>
      <xdr:colOff>529692</xdr:colOff>
      <xdr:row>5</xdr:row>
      <xdr:rowOff>1096414</xdr:rowOff>
    </xdr:to>
    <xdr:grpSp>
      <xdr:nvGrpSpPr>
        <xdr:cNvPr id="202" name="Группа 201"/>
        <xdr:cNvGrpSpPr>
          <a:grpSpLocks noChangeAspect="1"/>
        </xdr:cNvGrpSpPr>
      </xdr:nvGrpSpPr>
      <xdr:grpSpPr>
        <a:xfrm flipH="1">
          <a:off x="4544782" y="8716735"/>
          <a:ext cx="216731" cy="612000"/>
          <a:chOff x="2974731" y="8507714"/>
          <a:chExt cx="359019" cy="1014540"/>
        </a:xfrm>
      </xdr:grpSpPr>
      <xdr:sp macro="" textlink="">
        <xdr:nvSpPr>
          <xdr:cNvPr id="203" name="Прямоугольник 202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2974731" y="8507714"/>
            <a:ext cx="359019" cy="1014540"/>
          </a:xfrm>
          <a:prstGeom prst="rect">
            <a:avLst/>
          </a:prstGeom>
          <a:solidFill>
            <a:schemeClr val="tx1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4" name="Овал 203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3026098" y="8563261"/>
            <a:ext cx="256285" cy="249524"/>
          </a:xfrm>
          <a:prstGeom prst="ellipse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5" name="Овал 204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3026098" y="8890224"/>
            <a:ext cx="256285" cy="249524"/>
          </a:xfrm>
          <a:prstGeom prst="ellipse">
            <a:avLst/>
          </a:prstGeom>
          <a:solidFill>
            <a:srgbClr val="FFFF0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6" name="Овал 205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3026098" y="9217187"/>
            <a:ext cx="256285" cy="249524"/>
          </a:xfrm>
          <a:prstGeom prst="ellipse">
            <a:avLst/>
          </a:prstGeom>
          <a:solidFill>
            <a:srgbClr val="00B050"/>
          </a:solidFill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9525</xdr:colOff>
      <xdr:row>0</xdr:row>
      <xdr:rowOff>752475</xdr:rowOff>
    </xdr:from>
    <xdr:to>
      <xdr:col>4</xdr:col>
      <xdr:colOff>809625</xdr:colOff>
      <xdr:row>0</xdr:row>
      <xdr:rowOff>1476375</xdr:rowOff>
    </xdr:to>
    <xdr:sp macro="" textlink="">
      <xdr:nvSpPr>
        <xdr:cNvPr id="208" name="Полилиния 207"/>
        <xdr:cNvSpPr/>
      </xdr:nvSpPr>
      <xdr:spPr>
        <a:xfrm>
          <a:off x="2600325" y="752475"/>
          <a:ext cx="800100" cy="723900"/>
        </a:xfrm>
        <a:custGeom>
          <a:avLst/>
          <a:gdLst>
            <a:gd name="connsiteX0" fmla="*/ 0 w 800100"/>
            <a:gd name="connsiteY0" fmla="*/ 723900 h 723900"/>
            <a:gd name="connsiteX1" fmla="*/ 0 w 800100"/>
            <a:gd name="connsiteY1" fmla="*/ 95250 h 723900"/>
            <a:gd name="connsiteX2" fmla="*/ 800100 w 800100"/>
            <a:gd name="connsiteY2" fmla="*/ 0 h 7239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0100" h="723900">
              <a:moveTo>
                <a:pt x="0" y="723900"/>
              </a:moveTo>
              <a:lnTo>
                <a:pt x="0" y="95250"/>
              </a:lnTo>
              <a:lnTo>
                <a:pt x="80010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11585</xdr:colOff>
      <xdr:row>5</xdr:row>
      <xdr:rowOff>800100</xdr:rowOff>
    </xdr:from>
    <xdr:to>
      <xdr:col>4</xdr:col>
      <xdr:colOff>11585</xdr:colOff>
      <xdr:row>5</xdr:row>
      <xdr:rowOff>1477006</xdr:rowOff>
    </xdr:to>
    <xdr:cxnSp macro="">
      <xdr:nvCxnSpPr>
        <xdr:cNvPr id="211" name="Прямая соединительная линия 210"/>
        <xdr:cNvCxnSpPr/>
      </xdr:nvCxnSpPr>
      <xdr:spPr>
        <a:xfrm>
          <a:off x="2602385" y="4095750"/>
          <a:ext cx="0" cy="676906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5</xdr:row>
      <xdr:rowOff>685800</xdr:rowOff>
    </xdr:from>
    <xdr:to>
      <xdr:col>4</xdr:col>
      <xdr:colOff>9525</xdr:colOff>
      <xdr:row>5</xdr:row>
      <xdr:rowOff>1476375</xdr:rowOff>
    </xdr:to>
    <xdr:sp macro="" textlink="">
      <xdr:nvSpPr>
        <xdr:cNvPr id="213" name="Полилиния 212"/>
        <xdr:cNvSpPr/>
      </xdr:nvSpPr>
      <xdr:spPr>
        <a:xfrm>
          <a:off x="1790700" y="3981450"/>
          <a:ext cx="809625" cy="790575"/>
        </a:xfrm>
        <a:custGeom>
          <a:avLst/>
          <a:gdLst>
            <a:gd name="connsiteX0" fmla="*/ 809625 w 809625"/>
            <a:gd name="connsiteY0" fmla="*/ 790575 h 790575"/>
            <a:gd name="connsiteX1" fmla="*/ 809625 w 809625"/>
            <a:gd name="connsiteY1" fmla="*/ 114300 h 790575"/>
            <a:gd name="connsiteX2" fmla="*/ 0 w 809625"/>
            <a:gd name="connsiteY2" fmla="*/ 0 h 790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9625" h="790575">
              <a:moveTo>
                <a:pt x="809625" y="790575"/>
              </a:moveTo>
              <a:lnTo>
                <a:pt x="809625" y="11430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14236</xdr:colOff>
      <xdr:row>1</xdr:row>
      <xdr:rowOff>861194</xdr:rowOff>
    </xdr:from>
    <xdr:to>
      <xdr:col>4</xdr:col>
      <xdr:colOff>560888</xdr:colOff>
      <xdr:row>1</xdr:row>
      <xdr:rowOff>1308455</xdr:rowOff>
    </xdr:to>
    <xdr:sp macro="" textlink="">
      <xdr:nvSpPr>
        <xdr:cNvPr id="221" name="Полилиния 220"/>
        <xdr:cNvSpPr/>
      </xdr:nvSpPr>
      <xdr:spPr>
        <a:xfrm>
          <a:off x="2614001" y="2508459"/>
          <a:ext cx="546652" cy="447261"/>
        </a:xfrm>
        <a:custGeom>
          <a:avLst/>
          <a:gdLst>
            <a:gd name="connsiteX0" fmla="*/ 0 w 546652"/>
            <a:gd name="connsiteY0" fmla="*/ 447261 h 447261"/>
            <a:gd name="connsiteX1" fmla="*/ 215347 w 546652"/>
            <a:gd name="connsiteY1" fmla="*/ 215348 h 447261"/>
            <a:gd name="connsiteX2" fmla="*/ 546652 w 546652"/>
            <a:gd name="connsiteY2" fmla="*/ 0 h 4472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447261">
              <a:moveTo>
                <a:pt x="0" y="447261"/>
              </a:moveTo>
              <a:cubicBezTo>
                <a:pt x="62119" y="368576"/>
                <a:pt x="124238" y="289891"/>
                <a:pt x="215347" y="215348"/>
              </a:cubicBezTo>
              <a:cubicBezTo>
                <a:pt x="306456" y="140804"/>
                <a:pt x="426554" y="70402"/>
                <a:pt x="54665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389283</xdr:colOff>
      <xdr:row>1</xdr:row>
      <xdr:rowOff>735919</xdr:rowOff>
    </xdr:from>
    <xdr:to>
      <xdr:col>4</xdr:col>
      <xdr:colOff>8283</xdr:colOff>
      <xdr:row>1</xdr:row>
      <xdr:rowOff>1315702</xdr:rowOff>
    </xdr:to>
    <xdr:sp macro="" textlink="">
      <xdr:nvSpPr>
        <xdr:cNvPr id="222" name="Полилиния 221"/>
        <xdr:cNvSpPr/>
      </xdr:nvSpPr>
      <xdr:spPr>
        <a:xfrm>
          <a:off x="2070165" y="2383184"/>
          <a:ext cx="537883" cy="579783"/>
        </a:xfrm>
        <a:custGeom>
          <a:avLst/>
          <a:gdLst>
            <a:gd name="connsiteX0" fmla="*/ 530087 w 530087"/>
            <a:gd name="connsiteY0" fmla="*/ 579783 h 579783"/>
            <a:gd name="connsiteX1" fmla="*/ 347869 w 530087"/>
            <a:gd name="connsiteY1" fmla="*/ 190500 h 579783"/>
            <a:gd name="connsiteX2" fmla="*/ 0 w 530087"/>
            <a:gd name="connsiteY2" fmla="*/ 0 h 579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7" h="579783">
              <a:moveTo>
                <a:pt x="530087" y="579783"/>
              </a:moveTo>
              <a:cubicBezTo>
                <a:pt x="483152" y="433456"/>
                <a:pt x="436217" y="287130"/>
                <a:pt x="347869" y="190500"/>
              </a:cubicBezTo>
              <a:cubicBezTo>
                <a:pt x="259521" y="93870"/>
                <a:pt x="129760" y="46935"/>
                <a:pt x="0" y="0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798635</xdr:colOff>
      <xdr:row>3</xdr:row>
      <xdr:rowOff>564173</xdr:rowOff>
    </xdr:from>
    <xdr:to>
      <xdr:col>4</xdr:col>
      <xdr:colOff>234461</xdr:colOff>
      <xdr:row>3</xdr:row>
      <xdr:rowOff>1480039</xdr:rowOff>
    </xdr:to>
    <xdr:sp macro="" textlink="">
      <xdr:nvSpPr>
        <xdr:cNvPr id="4" name="Полилиния 3"/>
        <xdr:cNvSpPr/>
      </xdr:nvSpPr>
      <xdr:spPr>
        <a:xfrm>
          <a:off x="2469173" y="3861288"/>
          <a:ext cx="351692" cy="915866"/>
        </a:xfrm>
        <a:custGeom>
          <a:avLst/>
          <a:gdLst>
            <a:gd name="connsiteX0" fmla="*/ 0 w 351692"/>
            <a:gd name="connsiteY0" fmla="*/ 915866 h 915866"/>
            <a:gd name="connsiteX1" fmla="*/ 0 w 351692"/>
            <a:gd name="connsiteY1" fmla="*/ 0 h 915866"/>
            <a:gd name="connsiteX2" fmla="*/ 351692 w 351692"/>
            <a:gd name="connsiteY2" fmla="*/ 0 h 9158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51692" h="915866">
              <a:moveTo>
                <a:pt x="0" y="915866"/>
              </a:moveTo>
              <a:lnTo>
                <a:pt x="0" y="0"/>
              </a:lnTo>
              <a:lnTo>
                <a:pt x="351692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798635</xdr:colOff>
      <xdr:row>3</xdr:row>
      <xdr:rowOff>190500</xdr:rowOff>
    </xdr:from>
    <xdr:to>
      <xdr:col>4</xdr:col>
      <xdr:colOff>234462</xdr:colOff>
      <xdr:row>3</xdr:row>
      <xdr:rowOff>1245577</xdr:rowOff>
    </xdr:to>
    <xdr:sp macro="" textlink="">
      <xdr:nvSpPr>
        <xdr:cNvPr id="5" name="Полилиния 4"/>
        <xdr:cNvSpPr/>
      </xdr:nvSpPr>
      <xdr:spPr>
        <a:xfrm>
          <a:off x="2469173" y="3487615"/>
          <a:ext cx="351693" cy="1055077"/>
        </a:xfrm>
        <a:custGeom>
          <a:avLst/>
          <a:gdLst>
            <a:gd name="connsiteX0" fmla="*/ 0 w 322385"/>
            <a:gd name="connsiteY0" fmla="*/ 1055077 h 1055077"/>
            <a:gd name="connsiteX1" fmla="*/ 322385 w 322385"/>
            <a:gd name="connsiteY1" fmla="*/ 381000 h 1055077"/>
            <a:gd name="connsiteX2" fmla="*/ 322385 w 322385"/>
            <a:gd name="connsiteY2" fmla="*/ 0 h 10550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2385" h="1055077">
              <a:moveTo>
                <a:pt x="0" y="1055077"/>
              </a:moveTo>
              <a:lnTo>
                <a:pt x="322385" y="381000"/>
              </a:lnTo>
              <a:lnTo>
                <a:pt x="322385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739926</xdr:colOff>
      <xdr:row>3</xdr:row>
      <xdr:rowOff>1420533</xdr:rowOff>
    </xdr:from>
    <xdr:to>
      <xdr:col>3</xdr:col>
      <xdr:colOff>844185</xdr:colOff>
      <xdr:row>3</xdr:row>
      <xdr:rowOff>1528533</xdr:rowOff>
    </xdr:to>
    <xdr:sp macro="" textlink="">
      <xdr:nvSpPr>
        <xdr:cNvPr id="56" name="Овал 55"/>
        <xdr:cNvSpPr>
          <a:spLocks noChangeAspect="1"/>
        </xdr:cNvSpPr>
      </xdr:nvSpPr>
      <xdr:spPr>
        <a:xfrm rot="5400000">
          <a:off x="2408594" y="4719518"/>
          <a:ext cx="108000" cy="1042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805962</xdr:colOff>
      <xdr:row>3</xdr:row>
      <xdr:rowOff>564173</xdr:rowOff>
    </xdr:from>
    <xdr:to>
      <xdr:col>4</xdr:col>
      <xdr:colOff>241788</xdr:colOff>
      <xdr:row>3</xdr:row>
      <xdr:rowOff>1480039</xdr:rowOff>
    </xdr:to>
    <xdr:sp macro="" textlink="">
      <xdr:nvSpPr>
        <xdr:cNvPr id="6" name="Полилиния 5"/>
        <xdr:cNvSpPr/>
      </xdr:nvSpPr>
      <xdr:spPr>
        <a:xfrm>
          <a:off x="2480357" y="3862831"/>
          <a:ext cx="348220" cy="915866"/>
        </a:xfrm>
        <a:custGeom>
          <a:avLst/>
          <a:gdLst>
            <a:gd name="connsiteX0" fmla="*/ 0 w 351692"/>
            <a:gd name="connsiteY0" fmla="*/ 915866 h 915866"/>
            <a:gd name="connsiteX1" fmla="*/ 0 w 351692"/>
            <a:gd name="connsiteY1" fmla="*/ 0 h 915866"/>
            <a:gd name="connsiteX2" fmla="*/ 351692 w 351692"/>
            <a:gd name="connsiteY2" fmla="*/ 0 h 915866"/>
            <a:gd name="connsiteX3" fmla="*/ 190500 w 351692"/>
            <a:gd name="connsiteY3" fmla="*/ 315058 h 915866"/>
            <a:gd name="connsiteX0" fmla="*/ 0 w 351692"/>
            <a:gd name="connsiteY0" fmla="*/ 915866 h 915866"/>
            <a:gd name="connsiteX1" fmla="*/ 0 w 351692"/>
            <a:gd name="connsiteY1" fmla="*/ 0 h 915866"/>
            <a:gd name="connsiteX2" fmla="*/ 351692 w 351692"/>
            <a:gd name="connsiteY2" fmla="*/ 0 h 915866"/>
            <a:gd name="connsiteX3" fmla="*/ 68985 w 351692"/>
            <a:gd name="connsiteY3" fmla="*/ 535637 h 9158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51692" h="915866">
              <a:moveTo>
                <a:pt x="0" y="915866"/>
              </a:moveTo>
              <a:lnTo>
                <a:pt x="0" y="0"/>
              </a:lnTo>
              <a:lnTo>
                <a:pt x="351692" y="0"/>
              </a:lnTo>
              <a:lnTo>
                <a:pt x="68985" y="535637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529810</xdr:colOff>
      <xdr:row>4</xdr:row>
      <xdr:rowOff>491078</xdr:rowOff>
    </xdr:from>
    <xdr:to>
      <xdr:col>4</xdr:col>
      <xdr:colOff>65589</xdr:colOff>
      <xdr:row>4</xdr:row>
      <xdr:rowOff>1037730</xdr:rowOff>
    </xdr:to>
    <xdr:sp macro="" textlink="">
      <xdr:nvSpPr>
        <xdr:cNvPr id="72" name="Полилиния 71"/>
        <xdr:cNvSpPr/>
      </xdr:nvSpPr>
      <xdr:spPr>
        <a:xfrm rot="14753414">
          <a:off x="2153004" y="5485688"/>
          <a:ext cx="546652" cy="446866"/>
        </a:xfrm>
        <a:custGeom>
          <a:avLst/>
          <a:gdLst>
            <a:gd name="connsiteX0" fmla="*/ 0 w 546652"/>
            <a:gd name="connsiteY0" fmla="*/ 447261 h 447261"/>
            <a:gd name="connsiteX1" fmla="*/ 215347 w 546652"/>
            <a:gd name="connsiteY1" fmla="*/ 215348 h 447261"/>
            <a:gd name="connsiteX2" fmla="*/ 546652 w 546652"/>
            <a:gd name="connsiteY2" fmla="*/ 0 h 4472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447261">
              <a:moveTo>
                <a:pt x="0" y="447261"/>
              </a:moveTo>
              <a:cubicBezTo>
                <a:pt x="62119" y="368576"/>
                <a:pt x="124238" y="289891"/>
                <a:pt x="215347" y="215348"/>
              </a:cubicBezTo>
              <a:cubicBezTo>
                <a:pt x="306456" y="140804"/>
                <a:pt x="426554" y="70402"/>
                <a:pt x="54665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752056</xdr:colOff>
      <xdr:row>4</xdr:row>
      <xdr:rowOff>734025</xdr:rowOff>
    </xdr:from>
    <xdr:to>
      <xdr:col>4</xdr:col>
      <xdr:colOff>726159</xdr:colOff>
      <xdr:row>4</xdr:row>
      <xdr:rowOff>1342773</xdr:rowOff>
    </xdr:to>
    <xdr:sp macro="" textlink="">
      <xdr:nvSpPr>
        <xdr:cNvPr id="73" name="Полилиния 72"/>
        <xdr:cNvSpPr/>
      </xdr:nvSpPr>
      <xdr:spPr>
        <a:xfrm rot="14753414">
          <a:off x="2563364" y="5540521"/>
          <a:ext cx="608748" cy="885190"/>
        </a:xfrm>
        <a:custGeom>
          <a:avLst/>
          <a:gdLst>
            <a:gd name="connsiteX0" fmla="*/ 530087 w 530087"/>
            <a:gd name="connsiteY0" fmla="*/ 579783 h 579783"/>
            <a:gd name="connsiteX1" fmla="*/ 347869 w 530087"/>
            <a:gd name="connsiteY1" fmla="*/ 190500 h 579783"/>
            <a:gd name="connsiteX2" fmla="*/ 0 w 530087"/>
            <a:gd name="connsiteY2" fmla="*/ 0 h 579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0087" h="579783">
              <a:moveTo>
                <a:pt x="530087" y="579783"/>
              </a:moveTo>
              <a:cubicBezTo>
                <a:pt x="483152" y="433456"/>
                <a:pt x="436217" y="287130"/>
                <a:pt x="347869" y="190500"/>
              </a:cubicBezTo>
              <a:cubicBezTo>
                <a:pt x="259521" y="93870"/>
                <a:pt x="129760" y="46935"/>
                <a:pt x="0" y="0"/>
              </a:cubicBezTo>
            </a:path>
          </a:pathLst>
        </a:custGeom>
        <a:noFill/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864165</xdr:colOff>
      <xdr:row>4</xdr:row>
      <xdr:rowOff>1412251</xdr:rowOff>
    </xdr:from>
    <xdr:to>
      <xdr:col>4</xdr:col>
      <xdr:colOff>57337</xdr:colOff>
      <xdr:row>4</xdr:row>
      <xdr:rowOff>1520251</xdr:rowOff>
    </xdr:to>
    <xdr:sp macro="" textlink="">
      <xdr:nvSpPr>
        <xdr:cNvPr id="75" name="Овал 74"/>
        <xdr:cNvSpPr>
          <a:spLocks noChangeAspect="1"/>
        </xdr:cNvSpPr>
      </xdr:nvSpPr>
      <xdr:spPr>
        <a:xfrm rot="5400000">
          <a:off x="2535382" y="6358838"/>
          <a:ext cx="108000" cy="1042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153598</xdr:colOff>
      <xdr:row>4</xdr:row>
      <xdr:rowOff>922565</xdr:rowOff>
    </xdr:from>
    <xdr:to>
      <xdr:col>4</xdr:col>
      <xdr:colOff>280623</xdr:colOff>
      <xdr:row>4</xdr:row>
      <xdr:rowOff>1048450</xdr:rowOff>
    </xdr:to>
    <xdr:grpSp>
      <xdr:nvGrpSpPr>
        <xdr:cNvPr id="76" name="Группа 75"/>
        <xdr:cNvGrpSpPr/>
      </xdr:nvGrpSpPr>
      <xdr:grpSpPr>
        <a:xfrm rot="5400000" flipH="1">
          <a:off x="2753132" y="7507852"/>
          <a:ext cx="125885" cy="127025"/>
          <a:chOff x="1132242" y="1306343"/>
          <a:chExt cx="123151" cy="128030"/>
        </a:xfrm>
      </xdr:grpSpPr>
      <xdr:cxnSp macro="">
        <xdr:nvCxnSpPr>
          <xdr:cNvPr id="77" name="Прямая соединительная линия 76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" name="Прямоугольник 77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678201</xdr:colOff>
      <xdr:row>3</xdr:row>
      <xdr:rowOff>434561</xdr:rowOff>
    </xdr:from>
    <xdr:to>
      <xdr:col>3</xdr:col>
      <xdr:colOff>810056</xdr:colOff>
      <xdr:row>3</xdr:row>
      <xdr:rowOff>560667</xdr:rowOff>
    </xdr:to>
    <xdr:grpSp>
      <xdr:nvGrpSpPr>
        <xdr:cNvPr id="47" name="Группа 46"/>
        <xdr:cNvGrpSpPr/>
      </xdr:nvGrpSpPr>
      <xdr:grpSpPr>
        <a:xfrm>
          <a:off x="2365487" y="5373954"/>
          <a:ext cx="131855" cy="126106"/>
          <a:chOff x="1132242" y="1306343"/>
          <a:chExt cx="123151" cy="128030"/>
        </a:xfrm>
      </xdr:grpSpPr>
      <xdr:cxnSp macro="">
        <xdr:nvCxnSpPr>
          <xdr:cNvPr id="48" name="Прямая соединительная линия 4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" name="Прямоугольник 4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0</xdr:colOff>
      <xdr:row>2</xdr:row>
      <xdr:rowOff>843642</xdr:rowOff>
    </xdr:from>
    <xdr:to>
      <xdr:col>4</xdr:col>
      <xdr:colOff>625929</xdr:colOff>
      <xdr:row>2</xdr:row>
      <xdr:rowOff>1415142</xdr:rowOff>
    </xdr:to>
    <xdr:sp macro="" textlink="">
      <xdr:nvSpPr>
        <xdr:cNvPr id="2" name="Полилиния 1"/>
        <xdr:cNvSpPr/>
      </xdr:nvSpPr>
      <xdr:spPr>
        <a:xfrm>
          <a:off x="2598964" y="4136571"/>
          <a:ext cx="625929" cy="571500"/>
        </a:xfrm>
        <a:custGeom>
          <a:avLst/>
          <a:gdLst>
            <a:gd name="connsiteX0" fmla="*/ 0 w 625929"/>
            <a:gd name="connsiteY0" fmla="*/ 571500 h 571500"/>
            <a:gd name="connsiteX1" fmla="*/ 0 w 625929"/>
            <a:gd name="connsiteY1" fmla="*/ 0 h 571500"/>
            <a:gd name="connsiteX2" fmla="*/ 625929 w 625929"/>
            <a:gd name="connsiteY2" fmla="*/ 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25929" h="571500">
              <a:moveTo>
                <a:pt x="0" y="571500"/>
              </a:moveTo>
              <a:lnTo>
                <a:pt x="0" y="0"/>
              </a:lnTo>
              <a:lnTo>
                <a:pt x="625929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0</xdr:colOff>
      <xdr:row>2</xdr:row>
      <xdr:rowOff>585107</xdr:rowOff>
    </xdr:from>
    <xdr:to>
      <xdr:col>4</xdr:col>
      <xdr:colOff>530679</xdr:colOff>
      <xdr:row>2</xdr:row>
      <xdr:rowOff>843642</xdr:rowOff>
    </xdr:to>
    <xdr:cxnSp macro="">
      <xdr:nvCxnSpPr>
        <xdr:cNvPr id="61" name="Прямая соединительная линия 60"/>
        <xdr:cNvCxnSpPr>
          <a:endCxn id="2" idx="1"/>
        </xdr:cNvCxnSpPr>
      </xdr:nvCxnSpPr>
      <xdr:spPr>
        <a:xfrm flipH="1">
          <a:off x="2598964" y="3878036"/>
          <a:ext cx="530679" cy="258535"/>
        </a:xfrm>
        <a:prstGeom prst="line">
          <a:avLst/>
        </a:prstGeom>
        <a:ln w="19050">
          <a:solidFill>
            <a:schemeClr val="tx1"/>
          </a:solidFill>
          <a:prstDash val="dash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775607</xdr:colOff>
      <xdr:row>2</xdr:row>
      <xdr:rowOff>489857</xdr:rowOff>
    </xdr:from>
    <xdr:to>
      <xdr:col>4</xdr:col>
      <xdr:colOff>0</xdr:colOff>
      <xdr:row>2</xdr:row>
      <xdr:rowOff>843642</xdr:rowOff>
    </xdr:to>
    <xdr:cxnSp macro="">
      <xdr:nvCxnSpPr>
        <xdr:cNvPr id="62" name="Прямая соединительная линия 61"/>
        <xdr:cNvCxnSpPr>
          <a:endCxn id="2" idx="1"/>
        </xdr:cNvCxnSpPr>
      </xdr:nvCxnSpPr>
      <xdr:spPr>
        <a:xfrm>
          <a:off x="2462893" y="3782786"/>
          <a:ext cx="136071" cy="353785"/>
        </a:xfrm>
        <a:prstGeom prst="line">
          <a:avLst/>
        </a:prstGeom>
        <a:ln w="19050">
          <a:solidFill>
            <a:schemeClr val="tx1"/>
          </a:solidFill>
          <a:prstDash val="dash"/>
          <a:headEnd type="non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870762</xdr:colOff>
      <xdr:row>2</xdr:row>
      <xdr:rowOff>1362961</xdr:rowOff>
    </xdr:from>
    <xdr:to>
      <xdr:col>4</xdr:col>
      <xdr:colOff>63343</xdr:colOff>
      <xdr:row>2</xdr:row>
      <xdr:rowOff>1470961</xdr:rowOff>
    </xdr:to>
    <xdr:sp macro="" textlink="">
      <xdr:nvSpPr>
        <xdr:cNvPr id="64" name="Овал 63"/>
        <xdr:cNvSpPr>
          <a:spLocks noChangeAspect="1"/>
        </xdr:cNvSpPr>
      </xdr:nvSpPr>
      <xdr:spPr>
        <a:xfrm rot="5400000">
          <a:off x="2556178" y="4657760"/>
          <a:ext cx="108000" cy="104259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8583</xdr:colOff>
      <xdr:row>2</xdr:row>
      <xdr:rowOff>671167</xdr:rowOff>
    </xdr:from>
    <xdr:to>
      <xdr:col>4</xdr:col>
      <xdr:colOff>135659</xdr:colOff>
      <xdr:row>2</xdr:row>
      <xdr:rowOff>797273</xdr:rowOff>
    </xdr:to>
    <xdr:grpSp>
      <xdr:nvGrpSpPr>
        <xdr:cNvPr id="65" name="Группа 64"/>
        <xdr:cNvGrpSpPr/>
      </xdr:nvGrpSpPr>
      <xdr:grpSpPr>
        <a:xfrm flipH="1">
          <a:off x="2607547" y="3964096"/>
          <a:ext cx="127076" cy="126106"/>
          <a:chOff x="1132242" y="1306343"/>
          <a:chExt cx="123151" cy="128030"/>
        </a:xfrm>
      </xdr:grpSpPr>
      <xdr:cxnSp macro="">
        <xdr:nvCxnSpPr>
          <xdr:cNvPr id="66" name="Прямая соединительная линия 6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7" name="Прямоугольник 6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862618</xdr:colOff>
      <xdr:row>0</xdr:row>
      <xdr:rowOff>1439721</xdr:rowOff>
    </xdr:from>
    <xdr:to>
      <xdr:col>4</xdr:col>
      <xdr:colOff>56218</xdr:colOff>
      <xdr:row>0</xdr:row>
      <xdr:rowOff>1547721</xdr:rowOff>
    </xdr:to>
    <xdr:sp macro="" textlink="">
      <xdr:nvSpPr>
        <xdr:cNvPr id="54" name="Овал 53"/>
        <xdr:cNvSpPr>
          <a:spLocks noChangeAspect="1"/>
        </xdr:cNvSpPr>
      </xdr:nvSpPr>
      <xdr:spPr>
        <a:xfrm rot="5400000">
          <a:off x="2539018" y="29052696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0</xdr:row>
      <xdr:rowOff>131989</xdr:rowOff>
    </xdr:from>
    <xdr:to>
      <xdr:col>4</xdr:col>
      <xdr:colOff>857</xdr:colOff>
      <xdr:row>0</xdr:row>
      <xdr:rowOff>1495255</xdr:rowOff>
    </xdr:to>
    <xdr:cxnSp macro="">
      <xdr:nvCxnSpPr>
        <xdr:cNvPr id="55" name="Прямая соединительная линия 54"/>
        <xdr:cNvCxnSpPr/>
      </xdr:nvCxnSpPr>
      <xdr:spPr>
        <a:xfrm>
          <a:off x="2591657" y="27744964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0</xdr:row>
      <xdr:rowOff>969433</xdr:rowOff>
    </xdr:from>
    <xdr:to>
      <xdr:col>4</xdr:col>
      <xdr:colOff>228891</xdr:colOff>
      <xdr:row>0</xdr:row>
      <xdr:rowOff>1077433</xdr:rowOff>
    </xdr:to>
    <xdr:sp macro="" textlink="">
      <xdr:nvSpPr>
        <xdr:cNvPr id="56" name="Овал 55"/>
        <xdr:cNvSpPr>
          <a:spLocks noChangeAspect="1"/>
        </xdr:cNvSpPr>
      </xdr:nvSpPr>
      <xdr:spPr>
        <a:xfrm>
          <a:off x="2716327" y="28582408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533400</xdr:colOff>
      <xdr:row>0</xdr:row>
      <xdr:rowOff>585107</xdr:rowOff>
    </xdr:from>
    <xdr:to>
      <xdr:col>7</xdr:col>
      <xdr:colOff>428678</xdr:colOff>
      <xdr:row>0</xdr:row>
      <xdr:rowOff>1194760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585107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4</xdr:col>
      <xdr:colOff>6402</xdr:colOff>
      <xdr:row>0</xdr:row>
      <xdr:rowOff>448717</xdr:rowOff>
    </xdr:from>
    <xdr:to>
      <xdr:col>4</xdr:col>
      <xdr:colOff>705970</xdr:colOff>
      <xdr:row>0</xdr:row>
      <xdr:rowOff>448717</xdr:rowOff>
    </xdr:to>
    <xdr:cxnSp macro="">
      <xdr:nvCxnSpPr>
        <xdr:cNvPr id="58" name="Прямая соединительная линия 57"/>
        <xdr:cNvCxnSpPr/>
      </xdr:nvCxnSpPr>
      <xdr:spPr>
        <a:xfrm>
          <a:off x="2597202" y="28061692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0</xdr:row>
      <xdr:rowOff>911791</xdr:rowOff>
    </xdr:from>
    <xdr:to>
      <xdr:col>4</xdr:col>
      <xdr:colOff>126148</xdr:colOff>
      <xdr:row>0</xdr:row>
      <xdr:rowOff>1037676</xdr:rowOff>
    </xdr:to>
    <xdr:grpSp>
      <xdr:nvGrpSpPr>
        <xdr:cNvPr id="59" name="Группа 58"/>
        <xdr:cNvGrpSpPr/>
      </xdr:nvGrpSpPr>
      <xdr:grpSpPr>
        <a:xfrm rot="16200000" flipH="1" flipV="1">
          <a:off x="2600018" y="912582"/>
          <a:ext cx="125885" cy="124303"/>
          <a:chOff x="1132242" y="1306343"/>
          <a:chExt cx="123151" cy="128030"/>
        </a:xfrm>
      </xdr:grpSpPr>
      <xdr:cxnSp macro="">
        <xdr:nvCxnSpPr>
          <xdr:cNvPr id="60" name="Прямая соединительная линия 5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" name="Прямоугольник 6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0</xdr:row>
      <xdr:rowOff>856890</xdr:rowOff>
    </xdr:from>
    <xdr:to>
      <xdr:col>3</xdr:col>
      <xdr:colOff>719964</xdr:colOff>
      <xdr:row>0</xdr:row>
      <xdr:rowOff>1180890</xdr:rowOff>
    </xdr:to>
    <xdr:grpSp>
      <xdr:nvGrpSpPr>
        <xdr:cNvPr id="62" name="Группа 61"/>
        <xdr:cNvGrpSpPr/>
      </xdr:nvGrpSpPr>
      <xdr:grpSpPr>
        <a:xfrm rot="5400000" flipH="1" flipV="1">
          <a:off x="2185767" y="959407"/>
          <a:ext cx="324000" cy="118966"/>
          <a:chOff x="2687221" y="3988161"/>
          <a:chExt cx="501812" cy="118966"/>
        </a:xfrm>
      </xdr:grpSpPr>
      <xdr:cxnSp macro="">
        <xdr:nvCxnSpPr>
          <xdr:cNvPr id="63" name="Прямая соединительная линия 62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4" name="Овал 6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5" name="Прямая со стрелкой 6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6" name="Овал 6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7" name="Прямая со стрелкой 6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0</xdr:row>
      <xdr:rowOff>1012935</xdr:rowOff>
    </xdr:from>
    <xdr:to>
      <xdr:col>3</xdr:col>
      <xdr:colOff>905995</xdr:colOff>
      <xdr:row>0</xdr:row>
      <xdr:rowOff>1012935</xdr:rowOff>
    </xdr:to>
    <xdr:cxnSp macro="">
      <xdr:nvCxnSpPr>
        <xdr:cNvPr id="68" name="Прямая соединительная линия 67"/>
        <xdr:cNvCxnSpPr/>
      </xdr:nvCxnSpPr>
      <xdr:spPr>
        <a:xfrm>
          <a:off x="1882827" y="28625910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0</xdr:row>
      <xdr:rowOff>397933</xdr:rowOff>
    </xdr:from>
    <xdr:to>
      <xdr:col>3</xdr:col>
      <xdr:colOff>705141</xdr:colOff>
      <xdr:row>0</xdr:row>
      <xdr:rowOff>505933</xdr:rowOff>
    </xdr:to>
    <xdr:sp macro="" textlink="">
      <xdr:nvSpPr>
        <xdr:cNvPr id="76" name="Овал 75"/>
        <xdr:cNvSpPr>
          <a:spLocks noChangeAspect="1"/>
        </xdr:cNvSpPr>
      </xdr:nvSpPr>
      <xdr:spPr>
        <a:xfrm>
          <a:off x="2278177" y="397933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0</xdr:row>
      <xdr:rowOff>104775</xdr:rowOff>
    </xdr:from>
    <xdr:to>
      <xdr:col>6</xdr:col>
      <xdr:colOff>40500</xdr:colOff>
      <xdr:row>0</xdr:row>
      <xdr:rowOff>716775</xdr:rowOff>
    </xdr:to>
    <xdr:sp macro="" textlink="">
      <xdr:nvSpPr>
        <xdr:cNvPr id="77" name="Овал 76"/>
        <xdr:cNvSpPr/>
      </xdr:nvSpPr>
      <xdr:spPr>
        <a:xfrm>
          <a:off x="3657600" y="104775"/>
          <a:ext cx="612000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0</xdr:row>
      <xdr:rowOff>247650</xdr:rowOff>
    </xdr:from>
    <xdr:to>
      <xdr:col>5</xdr:col>
      <xdr:colOff>466725</xdr:colOff>
      <xdr:row>0</xdr:row>
      <xdr:rowOff>971550</xdr:rowOff>
    </xdr:to>
    <xdr:cxnSp macro="">
      <xdr:nvCxnSpPr>
        <xdr:cNvPr id="79" name="Прямая соединительная линия 78"/>
        <xdr:cNvCxnSpPr/>
      </xdr:nvCxnSpPr>
      <xdr:spPr>
        <a:xfrm>
          <a:off x="3971925" y="247650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</xdr:row>
      <xdr:rowOff>1439721</xdr:rowOff>
    </xdr:from>
    <xdr:to>
      <xdr:col>4</xdr:col>
      <xdr:colOff>56218</xdr:colOff>
      <xdr:row>1</xdr:row>
      <xdr:rowOff>1547721</xdr:rowOff>
    </xdr:to>
    <xdr:sp macro="" textlink="">
      <xdr:nvSpPr>
        <xdr:cNvPr id="80" name="Овал 79"/>
        <xdr:cNvSpPr>
          <a:spLocks noChangeAspect="1"/>
        </xdr:cNvSpPr>
      </xdr:nvSpPr>
      <xdr:spPr>
        <a:xfrm rot="5400000">
          <a:off x="2539018" y="143972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</xdr:row>
      <xdr:rowOff>131989</xdr:rowOff>
    </xdr:from>
    <xdr:to>
      <xdr:col>4</xdr:col>
      <xdr:colOff>857</xdr:colOff>
      <xdr:row>1</xdr:row>
      <xdr:rowOff>1495255</xdr:rowOff>
    </xdr:to>
    <xdr:cxnSp macro="">
      <xdr:nvCxnSpPr>
        <xdr:cNvPr id="81" name="Прямая соединительная линия 80"/>
        <xdr:cNvCxnSpPr/>
      </xdr:nvCxnSpPr>
      <xdr:spPr>
        <a:xfrm>
          <a:off x="2591657" y="131989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</xdr:row>
      <xdr:rowOff>969433</xdr:rowOff>
    </xdr:from>
    <xdr:to>
      <xdr:col>4</xdr:col>
      <xdr:colOff>228891</xdr:colOff>
      <xdr:row>1</xdr:row>
      <xdr:rowOff>1077433</xdr:rowOff>
    </xdr:to>
    <xdr:sp macro="" textlink="">
      <xdr:nvSpPr>
        <xdr:cNvPr id="82" name="Овал 81"/>
        <xdr:cNvSpPr>
          <a:spLocks noChangeAspect="1"/>
        </xdr:cNvSpPr>
      </xdr:nvSpPr>
      <xdr:spPr>
        <a:xfrm>
          <a:off x="2716327" y="969433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</xdr:row>
      <xdr:rowOff>585107</xdr:rowOff>
    </xdr:from>
    <xdr:ext cx="609653" cy="609653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585107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</xdr:row>
      <xdr:rowOff>448717</xdr:rowOff>
    </xdr:from>
    <xdr:to>
      <xdr:col>4</xdr:col>
      <xdr:colOff>705970</xdr:colOff>
      <xdr:row>1</xdr:row>
      <xdr:rowOff>448717</xdr:rowOff>
    </xdr:to>
    <xdr:cxnSp macro="">
      <xdr:nvCxnSpPr>
        <xdr:cNvPr id="84" name="Прямая соединительная линия 83"/>
        <xdr:cNvCxnSpPr/>
      </xdr:nvCxnSpPr>
      <xdr:spPr>
        <a:xfrm>
          <a:off x="2597202" y="448717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</xdr:row>
      <xdr:rowOff>911791</xdr:rowOff>
    </xdr:from>
    <xdr:to>
      <xdr:col>4</xdr:col>
      <xdr:colOff>126148</xdr:colOff>
      <xdr:row>1</xdr:row>
      <xdr:rowOff>1037676</xdr:rowOff>
    </xdr:to>
    <xdr:grpSp>
      <xdr:nvGrpSpPr>
        <xdr:cNvPr id="85" name="Группа 84"/>
        <xdr:cNvGrpSpPr/>
      </xdr:nvGrpSpPr>
      <xdr:grpSpPr>
        <a:xfrm rot="16200000" flipH="1" flipV="1">
          <a:off x="2600018" y="2559046"/>
          <a:ext cx="125885" cy="124303"/>
          <a:chOff x="1132242" y="1306343"/>
          <a:chExt cx="123151" cy="128030"/>
        </a:xfrm>
      </xdr:grpSpPr>
      <xdr:cxnSp macro="">
        <xdr:nvCxnSpPr>
          <xdr:cNvPr id="86" name="Прямая соединительная линия 8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Прямоугольник 8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</xdr:row>
      <xdr:rowOff>856890</xdr:rowOff>
    </xdr:from>
    <xdr:to>
      <xdr:col>3</xdr:col>
      <xdr:colOff>719964</xdr:colOff>
      <xdr:row>1</xdr:row>
      <xdr:rowOff>1180890</xdr:rowOff>
    </xdr:to>
    <xdr:grpSp>
      <xdr:nvGrpSpPr>
        <xdr:cNvPr id="88" name="Группа 87"/>
        <xdr:cNvGrpSpPr/>
      </xdr:nvGrpSpPr>
      <xdr:grpSpPr>
        <a:xfrm rot="5400000" flipH="1" flipV="1">
          <a:off x="2185767" y="2605871"/>
          <a:ext cx="324000" cy="118966"/>
          <a:chOff x="2687221" y="3988161"/>
          <a:chExt cx="501812" cy="118966"/>
        </a:xfrm>
      </xdr:grpSpPr>
      <xdr:cxnSp macro="">
        <xdr:nvCxnSpPr>
          <xdr:cNvPr id="89" name="Прямая соединительная линия 88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0" name="Овал 8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91" name="Прямая со стрелкой 9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92" name="Овал 9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93" name="Прямая со стрелкой 9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</xdr:row>
      <xdr:rowOff>1012935</xdr:rowOff>
    </xdr:from>
    <xdr:to>
      <xdr:col>3</xdr:col>
      <xdr:colOff>905995</xdr:colOff>
      <xdr:row>1</xdr:row>
      <xdr:rowOff>1012935</xdr:rowOff>
    </xdr:to>
    <xdr:cxnSp macro="">
      <xdr:nvCxnSpPr>
        <xdr:cNvPr id="94" name="Прямая соединительная линия 93"/>
        <xdr:cNvCxnSpPr/>
      </xdr:nvCxnSpPr>
      <xdr:spPr>
        <a:xfrm>
          <a:off x="1882827" y="1012935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</xdr:row>
      <xdr:rowOff>397933</xdr:rowOff>
    </xdr:from>
    <xdr:to>
      <xdr:col>3</xdr:col>
      <xdr:colOff>705141</xdr:colOff>
      <xdr:row>1</xdr:row>
      <xdr:rowOff>505933</xdr:rowOff>
    </xdr:to>
    <xdr:sp macro="" textlink="">
      <xdr:nvSpPr>
        <xdr:cNvPr id="95" name="Овал 94"/>
        <xdr:cNvSpPr>
          <a:spLocks noChangeAspect="1"/>
        </xdr:cNvSpPr>
      </xdr:nvSpPr>
      <xdr:spPr>
        <a:xfrm>
          <a:off x="2278177" y="397933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</xdr:row>
      <xdr:rowOff>104775</xdr:rowOff>
    </xdr:from>
    <xdr:to>
      <xdr:col>6</xdr:col>
      <xdr:colOff>40500</xdr:colOff>
      <xdr:row>1</xdr:row>
      <xdr:rowOff>716775</xdr:rowOff>
    </xdr:to>
    <xdr:sp macro="" textlink="">
      <xdr:nvSpPr>
        <xdr:cNvPr id="96" name="Овал 95"/>
        <xdr:cNvSpPr/>
      </xdr:nvSpPr>
      <xdr:spPr>
        <a:xfrm>
          <a:off x="3657600" y="104775"/>
          <a:ext cx="612000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</xdr:row>
      <xdr:rowOff>247650</xdr:rowOff>
    </xdr:from>
    <xdr:to>
      <xdr:col>5</xdr:col>
      <xdr:colOff>466725</xdr:colOff>
      <xdr:row>1</xdr:row>
      <xdr:rowOff>971550</xdr:rowOff>
    </xdr:to>
    <xdr:cxnSp macro="">
      <xdr:nvCxnSpPr>
        <xdr:cNvPr id="97" name="Прямая соединительная линия 96"/>
        <xdr:cNvCxnSpPr/>
      </xdr:nvCxnSpPr>
      <xdr:spPr>
        <a:xfrm>
          <a:off x="3971925" y="247650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2</xdr:row>
      <xdr:rowOff>1439721</xdr:rowOff>
    </xdr:from>
    <xdr:to>
      <xdr:col>4</xdr:col>
      <xdr:colOff>56218</xdr:colOff>
      <xdr:row>2</xdr:row>
      <xdr:rowOff>1547721</xdr:rowOff>
    </xdr:to>
    <xdr:sp macro="" textlink="">
      <xdr:nvSpPr>
        <xdr:cNvPr id="98" name="Овал 97"/>
        <xdr:cNvSpPr>
          <a:spLocks noChangeAspect="1"/>
        </xdr:cNvSpPr>
      </xdr:nvSpPr>
      <xdr:spPr>
        <a:xfrm rot="5400000">
          <a:off x="2539018" y="1439721"/>
          <a:ext cx="108000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2</xdr:row>
      <xdr:rowOff>131989</xdr:rowOff>
    </xdr:from>
    <xdr:to>
      <xdr:col>4</xdr:col>
      <xdr:colOff>857</xdr:colOff>
      <xdr:row>2</xdr:row>
      <xdr:rowOff>1495255</xdr:rowOff>
    </xdr:to>
    <xdr:cxnSp macro="">
      <xdr:nvCxnSpPr>
        <xdr:cNvPr id="99" name="Прямая соединительная линия 98"/>
        <xdr:cNvCxnSpPr/>
      </xdr:nvCxnSpPr>
      <xdr:spPr>
        <a:xfrm>
          <a:off x="2591657" y="131989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2</xdr:row>
      <xdr:rowOff>969433</xdr:rowOff>
    </xdr:from>
    <xdr:to>
      <xdr:col>4</xdr:col>
      <xdr:colOff>228891</xdr:colOff>
      <xdr:row>2</xdr:row>
      <xdr:rowOff>1077433</xdr:rowOff>
    </xdr:to>
    <xdr:sp macro="" textlink="">
      <xdr:nvSpPr>
        <xdr:cNvPr id="100" name="Овал 99"/>
        <xdr:cNvSpPr>
          <a:spLocks noChangeAspect="1"/>
        </xdr:cNvSpPr>
      </xdr:nvSpPr>
      <xdr:spPr>
        <a:xfrm>
          <a:off x="2716327" y="969433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2</xdr:row>
      <xdr:rowOff>585107</xdr:rowOff>
    </xdr:from>
    <xdr:ext cx="609653" cy="609653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585107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2</xdr:row>
      <xdr:rowOff>448717</xdr:rowOff>
    </xdr:from>
    <xdr:to>
      <xdr:col>4</xdr:col>
      <xdr:colOff>705970</xdr:colOff>
      <xdr:row>2</xdr:row>
      <xdr:rowOff>448717</xdr:rowOff>
    </xdr:to>
    <xdr:cxnSp macro="">
      <xdr:nvCxnSpPr>
        <xdr:cNvPr id="102" name="Прямая соединительная линия 101"/>
        <xdr:cNvCxnSpPr/>
      </xdr:nvCxnSpPr>
      <xdr:spPr>
        <a:xfrm>
          <a:off x="2597202" y="448717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2</xdr:row>
      <xdr:rowOff>911791</xdr:rowOff>
    </xdr:from>
    <xdr:to>
      <xdr:col>4</xdr:col>
      <xdr:colOff>126148</xdr:colOff>
      <xdr:row>2</xdr:row>
      <xdr:rowOff>1037676</xdr:rowOff>
    </xdr:to>
    <xdr:grpSp>
      <xdr:nvGrpSpPr>
        <xdr:cNvPr id="103" name="Группа 102"/>
        <xdr:cNvGrpSpPr/>
      </xdr:nvGrpSpPr>
      <xdr:grpSpPr>
        <a:xfrm rot="16200000" flipH="1" flipV="1">
          <a:off x="2600018" y="4205511"/>
          <a:ext cx="125885" cy="124303"/>
          <a:chOff x="1132242" y="1306343"/>
          <a:chExt cx="123151" cy="128030"/>
        </a:xfrm>
      </xdr:grpSpPr>
      <xdr:cxnSp macro="">
        <xdr:nvCxnSpPr>
          <xdr:cNvPr id="104" name="Прямая соединительная линия 10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5" name="Прямоугольник 10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2</xdr:row>
      <xdr:rowOff>856890</xdr:rowOff>
    </xdr:from>
    <xdr:to>
      <xdr:col>3</xdr:col>
      <xdr:colOff>719964</xdr:colOff>
      <xdr:row>2</xdr:row>
      <xdr:rowOff>1180890</xdr:rowOff>
    </xdr:to>
    <xdr:grpSp>
      <xdr:nvGrpSpPr>
        <xdr:cNvPr id="106" name="Группа 105"/>
        <xdr:cNvGrpSpPr/>
      </xdr:nvGrpSpPr>
      <xdr:grpSpPr>
        <a:xfrm rot="5400000" flipH="1" flipV="1">
          <a:off x="2185767" y="4252336"/>
          <a:ext cx="324000" cy="118966"/>
          <a:chOff x="2687221" y="3988161"/>
          <a:chExt cx="501812" cy="118966"/>
        </a:xfrm>
      </xdr:grpSpPr>
      <xdr:cxnSp macro="">
        <xdr:nvCxnSpPr>
          <xdr:cNvPr id="107" name="Прямая соединительная линия 106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" name="Овал 10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09" name="Прямая со стрелкой 10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10" name="Овал 10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11" name="Прямая со стрелкой 11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2</xdr:row>
      <xdr:rowOff>1012935</xdr:rowOff>
    </xdr:from>
    <xdr:to>
      <xdr:col>3</xdr:col>
      <xdr:colOff>905995</xdr:colOff>
      <xdr:row>2</xdr:row>
      <xdr:rowOff>1012935</xdr:rowOff>
    </xdr:to>
    <xdr:cxnSp macro="">
      <xdr:nvCxnSpPr>
        <xdr:cNvPr id="112" name="Прямая соединительная линия 111"/>
        <xdr:cNvCxnSpPr/>
      </xdr:nvCxnSpPr>
      <xdr:spPr>
        <a:xfrm>
          <a:off x="1882827" y="1012935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2</xdr:row>
      <xdr:rowOff>397933</xdr:rowOff>
    </xdr:from>
    <xdr:to>
      <xdr:col>3</xdr:col>
      <xdr:colOff>705141</xdr:colOff>
      <xdr:row>2</xdr:row>
      <xdr:rowOff>505933</xdr:rowOff>
    </xdr:to>
    <xdr:sp macro="" textlink="">
      <xdr:nvSpPr>
        <xdr:cNvPr id="113" name="Овал 112"/>
        <xdr:cNvSpPr>
          <a:spLocks noChangeAspect="1"/>
        </xdr:cNvSpPr>
      </xdr:nvSpPr>
      <xdr:spPr>
        <a:xfrm>
          <a:off x="2278177" y="397933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2</xdr:row>
      <xdr:rowOff>104775</xdr:rowOff>
    </xdr:from>
    <xdr:to>
      <xdr:col>6</xdr:col>
      <xdr:colOff>40500</xdr:colOff>
      <xdr:row>2</xdr:row>
      <xdr:rowOff>716775</xdr:rowOff>
    </xdr:to>
    <xdr:sp macro="" textlink="">
      <xdr:nvSpPr>
        <xdr:cNvPr id="114" name="Овал 113"/>
        <xdr:cNvSpPr/>
      </xdr:nvSpPr>
      <xdr:spPr>
        <a:xfrm>
          <a:off x="3657600" y="104775"/>
          <a:ext cx="612000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2</xdr:row>
      <xdr:rowOff>247650</xdr:rowOff>
    </xdr:from>
    <xdr:to>
      <xdr:col>5</xdr:col>
      <xdr:colOff>466725</xdr:colOff>
      <xdr:row>2</xdr:row>
      <xdr:rowOff>971550</xdr:rowOff>
    </xdr:to>
    <xdr:cxnSp macro="">
      <xdr:nvCxnSpPr>
        <xdr:cNvPr id="115" name="Прямая соединительная линия 114"/>
        <xdr:cNvCxnSpPr/>
      </xdr:nvCxnSpPr>
      <xdr:spPr>
        <a:xfrm>
          <a:off x="3971925" y="247650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3</xdr:row>
      <xdr:rowOff>1439721</xdr:rowOff>
    </xdr:from>
    <xdr:to>
      <xdr:col>4</xdr:col>
      <xdr:colOff>56218</xdr:colOff>
      <xdr:row>3</xdr:row>
      <xdr:rowOff>1547721</xdr:rowOff>
    </xdr:to>
    <xdr:sp macro="" textlink="">
      <xdr:nvSpPr>
        <xdr:cNvPr id="116" name="Овал 115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3</xdr:row>
      <xdr:rowOff>131989</xdr:rowOff>
    </xdr:from>
    <xdr:to>
      <xdr:col>4</xdr:col>
      <xdr:colOff>857</xdr:colOff>
      <xdr:row>3</xdr:row>
      <xdr:rowOff>1495255</xdr:rowOff>
    </xdr:to>
    <xdr:cxnSp macro="">
      <xdr:nvCxnSpPr>
        <xdr:cNvPr id="117" name="Прямая соединительная линия 116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3</xdr:row>
      <xdr:rowOff>969433</xdr:rowOff>
    </xdr:from>
    <xdr:to>
      <xdr:col>4</xdr:col>
      <xdr:colOff>228891</xdr:colOff>
      <xdr:row>3</xdr:row>
      <xdr:rowOff>1077433</xdr:rowOff>
    </xdr:to>
    <xdr:sp macro="" textlink="">
      <xdr:nvSpPr>
        <xdr:cNvPr id="118" name="Овал 117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3</xdr:row>
      <xdr:rowOff>585107</xdr:rowOff>
    </xdr:from>
    <xdr:ext cx="609653" cy="609653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3</xdr:row>
      <xdr:rowOff>448717</xdr:rowOff>
    </xdr:from>
    <xdr:to>
      <xdr:col>4</xdr:col>
      <xdr:colOff>705970</xdr:colOff>
      <xdr:row>3</xdr:row>
      <xdr:rowOff>448717</xdr:rowOff>
    </xdr:to>
    <xdr:cxnSp macro="">
      <xdr:nvCxnSpPr>
        <xdr:cNvPr id="120" name="Прямая соединительная линия 119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3</xdr:row>
      <xdr:rowOff>911791</xdr:rowOff>
    </xdr:from>
    <xdr:to>
      <xdr:col>4</xdr:col>
      <xdr:colOff>126148</xdr:colOff>
      <xdr:row>3</xdr:row>
      <xdr:rowOff>1037676</xdr:rowOff>
    </xdr:to>
    <xdr:grpSp>
      <xdr:nvGrpSpPr>
        <xdr:cNvPr id="121" name="Группа 120"/>
        <xdr:cNvGrpSpPr/>
      </xdr:nvGrpSpPr>
      <xdr:grpSpPr>
        <a:xfrm rot="16200000" flipH="1" flipV="1">
          <a:off x="2600018" y="5851975"/>
          <a:ext cx="125885" cy="124303"/>
          <a:chOff x="1132242" y="1306343"/>
          <a:chExt cx="123151" cy="128030"/>
        </a:xfrm>
      </xdr:grpSpPr>
      <xdr:cxnSp macro="">
        <xdr:nvCxnSpPr>
          <xdr:cNvPr id="122" name="Прямая соединительная линия 12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3" name="Прямоугольник 12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3</xdr:row>
      <xdr:rowOff>856890</xdr:rowOff>
    </xdr:from>
    <xdr:to>
      <xdr:col>3</xdr:col>
      <xdr:colOff>719964</xdr:colOff>
      <xdr:row>3</xdr:row>
      <xdr:rowOff>1180890</xdr:rowOff>
    </xdr:to>
    <xdr:grpSp>
      <xdr:nvGrpSpPr>
        <xdr:cNvPr id="124" name="Группа 123"/>
        <xdr:cNvGrpSpPr/>
      </xdr:nvGrpSpPr>
      <xdr:grpSpPr>
        <a:xfrm rot="5400000" flipH="1" flipV="1">
          <a:off x="2185767" y="5898800"/>
          <a:ext cx="324000" cy="118966"/>
          <a:chOff x="2687221" y="3988161"/>
          <a:chExt cx="501812" cy="118966"/>
        </a:xfrm>
      </xdr:grpSpPr>
      <xdr:cxnSp macro="">
        <xdr:nvCxnSpPr>
          <xdr:cNvPr id="125" name="Прямая соединительная линия 124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6" name="Овал 12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27" name="Прямая со стрелкой 12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28" name="Овал 12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29" name="Прямая со стрелкой 12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3</xdr:row>
      <xdr:rowOff>1012935</xdr:rowOff>
    </xdr:from>
    <xdr:to>
      <xdr:col>3</xdr:col>
      <xdr:colOff>905995</xdr:colOff>
      <xdr:row>3</xdr:row>
      <xdr:rowOff>1012935</xdr:rowOff>
    </xdr:to>
    <xdr:cxnSp macro="">
      <xdr:nvCxnSpPr>
        <xdr:cNvPr id="130" name="Прямая соединительная линия 129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3</xdr:row>
      <xdr:rowOff>397933</xdr:rowOff>
    </xdr:from>
    <xdr:to>
      <xdr:col>3</xdr:col>
      <xdr:colOff>705141</xdr:colOff>
      <xdr:row>3</xdr:row>
      <xdr:rowOff>505933</xdr:rowOff>
    </xdr:to>
    <xdr:sp macro="" textlink="">
      <xdr:nvSpPr>
        <xdr:cNvPr id="131" name="Овал 130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3</xdr:row>
      <xdr:rowOff>104775</xdr:rowOff>
    </xdr:from>
    <xdr:to>
      <xdr:col>6</xdr:col>
      <xdr:colOff>40500</xdr:colOff>
      <xdr:row>3</xdr:row>
      <xdr:rowOff>716775</xdr:rowOff>
    </xdr:to>
    <xdr:sp macro="" textlink="">
      <xdr:nvSpPr>
        <xdr:cNvPr id="132" name="Овал 131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3</xdr:row>
      <xdr:rowOff>247650</xdr:rowOff>
    </xdr:from>
    <xdr:to>
      <xdr:col>5</xdr:col>
      <xdr:colOff>466725</xdr:colOff>
      <xdr:row>3</xdr:row>
      <xdr:rowOff>971550</xdr:rowOff>
    </xdr:to>
    <xdr:cxnSp macro="">
      <xdr:nvCxnSpPr>
        <xdr:cNvPr id="133" name="Прямая соединительная линия 132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4</xdr:row>
      <xdr:rowOff>1439721</xdr:rowOff>
    </xdr:from>
    <xdr:to>
      <xdr:col>4</xdr:col>
      <xdr:colOff>56218</xdr:colOff>
      <xdr:row>4</xdr:row>
      <xdr:rowOff>1547721</xdr:rowOff>
    </xdr:to>
    <xdr:sp macro="" textlink="">
      <xdr:nvSpPr>
        <xdr:cNvPr id="134" name="Овал 133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4</xdr:row>
      <xdr:rowOff>131989</xdr:rowOff>
    </xdr:from>
    <xdr:to>
      <xdr:col>4</xdr:col>
      <xdr:colOff>857</xdr:colOff>
      <xdr:row>4</xdr:row>
      <xdr:rowOff>1495255</xdr:rowOff>
    </xdr:to>
    <xdr:cxnSp macro="">
      <xdr:nvCxnSpPr>
        <xdr:cNvPr id="135" name="Прямая соединительная линия 134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4</xdr:row>
      <xdr:rowOff>969433</xdr:rowOff>
    </xdr:from>
    <xdr:to>
      <xdr:col>4</xdr:col>
      <xdr:colOff>228891</xdr:colOff>
      <xdr:row>4</xdr:row>
      <xdr:rowOff>1077433</xdr:rowOff>
    </xdr:to>
    <xdr:sp macro="" textlink="">
      <xdr:nvSpPr>
        <xdr:cNvPr id="136" name="Овал 135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4</xdr:row>
      <xdr:rowOff>585107</xdr:rowOff>
    </xdr:from>
    <xdr:ext cx="609653" cy="609653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4</xdr:row>
      <xdr:rowOff>448717</xdr:rowOff>
    </xdr:from>
    <xdr:to>
      <xdr:col>4</xdr:col>
      <xdr:colOff>705970</xdr:colOff>
      <xdr:row>4</xdr:row>
      <xdr:rowOff>448717</xdr:rowOff>
    </xdr:to>
    <xdr:cxnSp macro="">
      <xdr:nvCxnSpPr>
        <xdr:cNvPr id="138" name="Прямая соединительная линия 137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4</xdr:row>
      <xdr:rowOff>911791</xdr:rowOff>
    </xdr:from>
    <xdr:to>
      <xdr:col>4</xdr:col>
      <xdr:colOff>126148</xdr:colOff>
      <xdr:row>4</xdr:row>
      <xdr:rowOff>1037676</xdr:rowOff>
    </xdr:to>
    <xdr:grpSp>
      <xdr:nvGrpSpPr>
        <xdr:cNvPr id="139" name="Группа 138"/>
        <xdr:cNvGrpSpPr/>
      </xdr:nvGrpSpPr>
      <xdr:grpSpPr>
        <a:xfrm rot="16200000" flipH="1" flipV="1">
          <a:off x="2600018" y="7498439"/>
          <a:ext cx="125885" cy="124303"/>
          <a:chOff x="1132242" y="1306343"/>
          <a:chExt cx="123151" cy="128030"/>
        </a:xfrm>
      </xdr:grpSpPr>
      <xdr:cxnSp macro="">
        <xdr:nvCxnSpPr>
          <xdr:cNvPr id="140" name="Прямая соединительная линия 13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1" name="Прямоугольник 14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4</xdr:row>
      <xdr:rowOff>856890</xdr:rowOff>
    </xdr:from>
    <xdr:to>
      <xdr:col>3</xdr:col>
      <xdr:colOff>719964</xdr:colOff>
      <xdr:row>4</xdr:row>
      <xdr:rowOff>1180890</xdr:rowOff>
    </xdr:to>
    <xdr:grpSp>
      <xdr:nvGrpSpPr>
        <xdr:cNvPr id="142" name="Группа 141"/>
        <xdr:cNvGrpSpPr/>
      </xdr:nvGrpSpPr>
      <xdr:grpSpPr>
        <a:xfrm rot="5400000" flipH="1" flipV="1">
          <a:off x="2185767" y="7545264"/>
          <a:ext cx="324000" cy="118966"/>
          <a:chOff x="2687221" y="3988161"/>
          <a:chExt cx="501812" cy="118966"/>
        </a:xfrm>
      </xdr:grpSpPr>
      <xdr:cxnSp macro="">
        <xdr:nvCxnSpPr>
          <xdr:cNvPr id="143" name="Прямая соединительная линия 142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4" name="Овал 14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45" name="Прямая со стрелкой 14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6" name="Овал 14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47" name="Прямая со стрелкой 14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4</xdr:row>
      <xdr:rowOff>1012935</xdr:rowOff>
    </xdr:from>
    <xdr:to>
      <xdr:col>3</xdr:col>
      <xdr:colOff>905995</xdr:colOff>
      <xdr:row>4</xdr:row>
      <xdr:rowOff>1012935</xdr:rowOff>
    </xdr:to>
    <xdr:cxnSp macro="">
      <xdr:nvCxnSpPr>
        <xdr:cNvPr id="148" name="Прямая соединительная линия 147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4</xdr:row>
      <xdr:rowOff>397933</xdr:rowOff>
    </xdr:from>
    <xdr:to>
      <xdr:col>3</xdr:col>
      <xdr:colOff>705141</xdr:colOff>
      <xdr:row>4</xdr:row>
      <xdr:rowOff>505933</xdr:rowOff>
    </xdr:to>
    <xdr:sp macro="" textlink="">
      <xdr:nvSpPr>
        <xdr:cNvPr id="149" name="Овал 148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4</xdr:row>
      <xdr:rowOff>104775</xdr:rowOff>
    </xdr:from>
    <xdr:to>
      <xdr:col>6</xdr:col>
      <xdr:colOff>40500</xdr:colOff>
      <xdr:row>4</xdr:row>
      <xdr:rowOff>716775</xdr:rowOff>
    </xdr:to>
    <xdr:sp macro="" textlink="">
      <xdr:nvSpPr>
        <xdr:cNvPr id="150" name="Овал 149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4</xdr:row>
      <xdr:rowOff>247650</xdr:rowOff>
    </xdr:from>
    <xdr:to>
      <xdr:col>5</xdr:col>
      <xdr:colOff>466725</xdr:colOff>
      <xdr:row>4</xdr:row>
      <xdr:rowOff>971550</xdr:rowOff>
    </xdr:to>
    <xdr:cxnSp macro="">
      <xdr:nvCxnSpPr>
        <xdr:cNvPr id="151" name="Прямая соединительная линия 150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5</xdr:row>
      <xdr:rowOff>1439721</xdr:rowOff>
    </xdr:from>
    <xdr:to>
      <xdr:col>4</xdr:col>
      <xdr:colOff>56218</xdr:colOff>
      <xdr:row>5</xdr:row>
      <xdr:rowOff>1547721</xdr:rowOff>
    </xdr:to>
    <xdr:sp macro="" textlink="">
      <xdr:nvSpPr>
        <xdr:cNvPr id="152" name="Овал 151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5</xdr:row>
      <xdr:rowOff>131989</xdr:rowOff>
    </xdr:from>
    <xdr:to>
      <xdr:col>4</xdr:col>
      <xdr:colOff>857</xdr:colOff>
      <xdr:row>5</xdr:row>
      <xdr:rowOff>1495255</xdr:rowOff>
    </xdr:to>
    <xdr:cxnSp macro="">
      <xdr:nvCxnSpPr>
        <xdr:cNvPr id="153" name="Прямая соединительная линия 152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5</xdr:row>
      <xdr:rowOff>969433</xdr:rowOff>
    </xdr:from>
    <xdr:to>
      <xdr:col>4</xdr:col>
      <xdr:colOff>228891</xdr:colOff>
      <xdr:row>5</xdr:row>
      <xdr:rowOff>1077433</xdr:rowOff>
    </xdr:to>
    <xdr:sp macro="" textlink="">
      <xdr:nvSpPr>
        <xdr:cNvPr id="154" name="Овал 153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5</xdr:row>
      <xdr:rowOff>585107</xdr:rowOff>
    </xdr:from>
    <xdr:ext cx="609653" cy="609653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5</xdr:row>
      <xdr:rowOff>448717</xdr:rowOff>
    </xdr:from>
    <xdr:to>
      <xdr:col>4</xdr:col>
      <xdr:colOff>705970</xdr:colOff>
      <xdr:row>5</xdr:row>
      <xdr:rowOff>448717</xdr:rowOff>
    </xdr:to>
    <xdr:cxnSp macro="">
      <xdr:nvCxnSpPr>
        <xdr:cNvPr id="156" name="Прямая соединительная линия 155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5</xdr:row>
      <xdr:rowOff>911791</xdr:rowOff>
    </xdr:from>
    <xdr:to>
      <xdr:col>4</xdr:col>
      <xdr:colOff>126148</xdr:colOff>
      <xdr:row>5</xdr:row>
      <xdr:rowOff>1037676</xdr:rowOff>
    </xdr:to>
    <xdr:grpSp>
      <xdr:nvGrpSpPr>
        <xdr:cNvPr id="157" name="Группа 156"/>
        <xdr:cNvGrpSpPr/>
      </xdr:nvGrpSpPr>
      <xdr:grpSpPr>
        <a:xfrm rot="16200000" flipH="1" flipV="1">
          <a:off x="2600018" y="9144903"/>
          <a:ext cx="125885" cy="124303"/>
          <a:chOff x="1132242" y="1306343"/>
          <a:chExt cx="123151" cy="128030"/>
        </a:xfrm>
      </xdr:grpSpPr>
      <xdr:cxnSp macro="">
        <xdr:nvCxnSpPr>
          <xdr:cNvPr id="158" name="Прямая соединительная линия 15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9" name="Прямоугольник 15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5</xdr:row>
      <xdr:rowOff>856890</xdr:rowOff>
    </xdr:from>
    <xdr:to>
      <xdr:col>3</xdr:col>
      <xdr:colOff>719964</xdr:colOff>
      <xdr:row>5</xdr:row>
      <xdr:rowOff>1180890</xdr:rowOff>
    </xdr:to>
    <xdr:grpSp>
      <xdr:nvGrpSpPr>
        <xdr:cNvPr id="160" name="Группа 159"/>
        <xdr:cNvGrpSpPr/>
      </xdr:nvGrpSpPr>
      <xdr:grpSpPr>
        <a:xfrm rot="5400000" flipH="1" flipV="1">
          <a:off x="2185767" y="9191728"/>
          <a:ext cx="324000" cy="118966"/>
          <a:chOff x="2687221" y="3988161"/>
          <a:chExt cx="501812" cy="118966"/>
        </a:xfrm>
      </xdr:grpSpPr>
      <xdr:cxnSp macro="">
        <xdr:nvCxnSpPr>
          <xdr:cNvPr id="161" name="Прямая соединительная линия 160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2" name="Овал 16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63" name="Прямая со стрелкой 16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64" name="Овал 16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65" name="Прямая со стрелкой 16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5</xdr:row>
      <xdr:rowOff>1012935</xdr:rowOff>
    </xdr:from>
    <xdr:to>
      <xdr:col>3</xdr:col>
      <xdr:colOff>905995</xdr:colOff>
      <xdr:row>5</xdr:row>
      <xdr:rowOff>1012935</xdr:rowOff>
    </xdr:to>
    <xdr:cxnSp macro="">
      <xdr:nvCxnSpPr>
        <xdr:cNvPr id="166" name="Прямая соединительная линия 165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5</xdr:row>
      <xdr:rowOff>397933</xdr:rowOff>
    </xdr:from>
    <xdr:to>
      <xdr:col>3</xdr:col>
      <xdr:colOff>705141</xdr:colOff>
      <xdr:row>5</xdr:row>
      <xdr:rowOff>505933</xdr:rowOff>
    </xdr:to>
    <xdr:sp macro="" textlink="">
      <xdr:nvSpPr>
        <xdr:cNvPr id="167" name="Овал 166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5</xdr:row>
      <xdr:rowOff>104775</xdr:rowOff>
    </xdr:from>
    <xdr:to>
      <xdr:col>6</xdr:col>
      <xdr:colOff>40500</xdr:colOff>
      <xdr:row>5</xdr:row>
      <xdr:rowOff>716775</xdr:rowOff>
    </xdr:to>
    <xdr:sp macro="" textlink="">
      <xdr:nvSpPr>
        <xdr:cNvPr id="168" name="Овал 167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5</xdr:row>
      <xdr:rowOff>247650</xdr:rowOff>
    </xdr:from>
    <xdr:to>
      <xdr:col>5</xdr:col>
      <xdr:colOff>466725</xdr:colOff>
      <xdr:row>5</xdr:row>
      <xdr:rowOff>971550</xdr:rowOff>
    </xdr:to>
    <xdr:cxnSp macro="">
      <xdr:nvCxnSpPr>
        <xdr:cNvPr id="169" name="Прямая соединительная линия 168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6</xdr:row>
      <xdr:rowOff>1439721</xdr:rowOff>
    </xdr:from>
    <xdr:to>
      <xdr:col>4</xdr:col>
      <xdr:colOff>56218</xdr:colOff>
      <xdr:row>6</xdr:row>
      <xdr:rowOff>1547721</xdr:rowOff>
    </xdr:to>
    <xdr:sp macro="" textlink="">
      <xdr:nvSpPr>
        <xdr:cNvPr id="170" name="Овал 169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6</xdr:row>
      <xdr:rowOff>131989</xdr:rowOff>
    </xdr:from>
    <xdr:to>
      <xdr:col>4</xdr:col>
      <xdr:colOff>857</xdr:colOff>
      <xdr:row>6</xdr:row>
      <xdr:rowOff>1495255</xdr:rowOff>
    </xdr:to>
    <xdr:cxnSp macro="">
      <xdr:nvCxnSpPr>
        <xdr:cNvPr id="171" name="Прямая соединительная линия 170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6</xdr:row>
      <xdr:rowOff>969433</xdr:rowOff>
    </xdr:from>
    <xdr:to>
      <xdr:col>4</xdr:col>
      <xdr:colOff>228891</xdr:colOff>
      <xdr:row>6</xdr:row>
      <xdr:rowOff>1077433</xdr:rowOff>
    </xdr:to>
    <xdr:sp macro="" textlink="">
      <xdr:nvSpPr>
        <xdr:cNvPr id="172" name="Овал 171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6</xdr:row>
      <xdr:rowOff>585107</xdr:rowOff>
    </xdr:from>
    <xdr:ext cx="609653" cy="609653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6</xdr:row>
      <xdr:rowOff>448717</xdr:rowOff>
    </xdr:from>
    <xdr:to>
      <xdr:col>4</xdr:col>
      <xdr:colOff>705970</xdr:colOff>
      <xdr:row>6</xdr:row>
      <xdr:rowOff>448717</xdr:rowOff>
    </xdr:to>
    <xdr:cxnSp macro="">
      <xdr:nvCxnSpPr>
        <xdr:cNvPr id="174" name="Прямая соединительная линия 173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6</xdr:row>
      <xdr:rowOff>911791</xdr:rowOff>
    </xdr:from>
    <xdr:to>
      <xdr:col>4</xdr:col>
      <xdr:colOff>126148</xdr:colOff>
      <xdr:row>6</xdr:row>
      <xdr:rowOff>1037676</xdr:rowOff>
    </xdr:to>
    <xdr:grpSp>
      <xdr:nvGrpSpPr>
        <xdr:cNvPr id="175" name="Группа 174"/>
        <xdr:cNvGrpSpPr/>
      </xdr:nvGrpSpPr>
      <xdr:grpSpPr>
        <a:xfrm rot="16200000" flipH="1" flipV="1">
          <a:off x="2600018" y="10791368"/>
          <a:ext cx="125885" cy="124303"/>
          <a:chOff x="1132242" y="1306343"/>
          <a:chExt cx="123151" cy="128030"/>
        </a:xfrm>
      </xdr:grpSpPr>
      <xdr:cxnSp macro="">
        <xdr:nvCxnSpPr>
          <xdr:cNvPr id="176" name="Прямая соединительная линия 17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7" name="Прямоугольник 17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6</xdr:row>
      <xdr:rowOff>856890</xdr:rowOff>
    </xdr:from>
    <xdr:to>
      <xdr:col>3</xdr:col>
      <xdr:colOff>719964</xdr:colOff>
      <xdr:row>6</xdr:row>
      <xdr:rowOff>1180890</xdr:rowOff>
    </xdr:to>
    <xdr:grpSp>
      <xdr:nvGrpSpPr>
        <xdr:cNvPr id="178" name="Группа 177"/>
        <xdr:cNvGrpSpPr/>
      </xdr:nvGrpSpPr>
      <xdr:grpSpPr>
        <a:xfrm rot="5400000" flipH="1" flipV="1">
          <a:off x="2185767" y="10838193"/>
          <a:ext cx="324000" cy="118966"/>
          <a:chOff x="2687221" y="3988161"/>
          <a:chExt cx="501812" cy="118966"/>
        </a:xfrm>
      </xdr:grpSpPr>
      <xdr:cxnSp macro="">
        <xdr:nvCxnSpPr>
          <xdr:cNvPr id="179" name="Прямая соединительная линия 178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0" name="Овал 17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81" name="Прямая со стрелкой 18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2" name="Овал 18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83" name="Прямая со стрелкой 18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6</xdr:row>
      <xdr:rowOff>1012935</xdr:rowOff>
    </xdr:from>
    <xdr:to>
      <xdr:col>3</xdr:col>
      <xdr:colOff>905995</xdr:colOff>
      <xdr:row>6</xdr:row>
      <xdr:rowOff>1012935</xdr:rowOff>
    </xdr:to>
    <xdr:cxnSp macro="">
      <xdr:nvCxnSpPr>
        <xdr:cNvPr id="184" name="Прямая соединительная линия 183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6</xdr:row>
      <xdr:rowOff>397933</xdr:rowOff>
    </xdr:from>
    <xdr:to>
      <xdr:col>3</xdr:col>
      <xdr:colOff>705141</xdr:colOff>
      <xdr:row>6</xdr:row>
      <xdr:rowOff>505933</xdr:rowOff>
    </xdr:to>
    <xdr:sp macro="" textlink="">
      <xdr:nvSpPr>
        <xdr:cNvPr id="185" name="Овал 184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6</xdr:row>
      <xdr:rowOff>104775</xdr:rowOff>
    </xdr:from>
    <xdr:to>
      <xdr:col>6</xdr:col>
      <xdr:colOff>40500</xdr:colOff>
      <xdr:row>6</xdr:row>
      <xdr:rowOff>716775</xdr:rowOff>
    </xdr:to>
    <xdr:sp macro="" textlink="">
      <xdr:nvSpPr>
        <xdr:cNvPr id="186" name="Овал 185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6</xdr:row>
      <xdr:rowOff>247650</xdr:rowOff>
    </xdr:from>
    <xdr:to>
      <xdr:col>5</xdr:col>
      <xdr:colOff>466725</xdr:colOff>
      <xdr:row>6</xdr:row>
      <xdr:rowOff>971550</xdr:rowOff>
    </xdr:to>
    <xdr:cxnSp macro="">
      <xdr:nvCxnSpPr>
        <xdr:cNvPr id="187" name="Прямая соединительная линия 186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7</xdr:row>
      <xdr:rowOff>1439721</xdr:rowOff>
    </xdr:from>
    <xdr:to>
      <xdr:col>4</xdr:col>
      <xdr:colOff>56218</xdr:colOff>
      <xdr:row>7</xdr:row>
      <xdr:rowOff>1547721</xdr:rowOff>
    </xdr:to>
    <xdr:sp macro="" textlink="">
      <xdr:nvSpPr>
        <xdr:cNvPr id="188" name="Овал 187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7</xdr:row>
      <xdr:rowOff>131989</xdr:rowOff>
    </xdr:from>
    <xdr:to>
      <xdr:col>4</xdr:col>
      <xdr:colOff>857</xdr:colOff>
      <xdr:row>7</xdr:row>
      <xdr:rowOff>1495255</xdr:rowOff>
    </xdr:to>
    <xdr:cxnSp macro="">
      <xdr:nvCxnSpPr>
        <xdr:cNvPr id="189" name="Прямая соединительная линия 188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7</xdr:row>
      <xdr:rowOff>969433</xdr:rowOff>
    </xdr:from>
    <xdr:to>
      <xdr:col>4</xdr:col>
      <xdr:colOff>228891</xdr:colOff>
      <xdr:row>7</xdr:row>
      <xdr:rowOff>1077433</xdr:rowOff>
    </xdr:to>
    <xdr:sp macro="" textlink="">
      <xdr:nvSpPr>
        <xdr:cNvPr id="190" name="Овал 189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7</xdr:row>
      <xdr:rowOff>585107</xdr:rowOff>
    </xdr:from>
    <xdr:ext cx="609653" cy="609653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7</xdr:row>
      <xdr:rowOff>448717</xdr:rowOff>
    </xdr:from>
    <xdr:to>
      <xdr:col>4</xdr:col>
      <xdr:colOff>705970</xdr:colOff>
      <xdr:row>7</xdr:row>
      <xdr:rowOff>448717</xdr:rowOff>
    </xdr:to>
    <xdr:cxnSp macro="">
      <xdr:nvCxnSpPr>
        <xdr:cNvPr id="192" name="Прямая соединительная линия 191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7</xdr:row>
      <xdr:rowOff>911791</xdr:rowOff>
    </xdr:from>
    <xdr:to>
      <xdr:col>4</xdr:col>
      <xdr:colOff>126148</xdr:colOff>
      <xdr:row>7</xdr:row>
      <xdr:rowOff>1037676</xdr:rowOff>
    </xdr:to>
    <xdr:grpSp>
      <xdr:nvGrpSpPr>
        <xdr:cNvPr id="193" name="Группа 192"/>
        <xdr:cNvGrpSpPr/>
      </xdr:nvGrpSpPr>
      <xdr:grpSpPr>
        <a:xfrm rot="16200000" flipH="1" flipV="1">
          <a:off x="2600018" y="12437832"/>
          <a:ext cx="125885" cy="124303"/>
          <a:chOff x="1132242" y="1306343"/>
          <a:chExt cx="123151" cy="128030"/>
        </a:xfrm>
      </xdr:grpSpPr>
      <xdr:cxnSp macro="">
        <xdr:nvCxnSpPr>
          <xdr:cNvPr id="194" name="Прямая соединительная линия 19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5" name="Прямоугольник 19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7</xdr:row>
      <xdr:rowOff>856890</xdr:rowOff>
    </xdr:from>
    <xdr:to>
      <xdr:col>3</xdr:col>
      <xdr:colOff>719964</xdr:colOff>
      <xdr:row>7</xdr:row>
      <xdr:rowOff>1180890</xdr:rowOff>
    </xdr:to>
    <xdr:grpSp>
      <xdr:nvGrpSpPr>
        <xdr:cNvPr id="196" name="Группа 195"/>
        <xdr:cNvGrpSpPr/>
      </xdr:nvGrpSpPr>
      <xdr:grpSpPr>
        <a:xfrm rot="5400000" flipH="1" flipV="1">
          <a:off x="2185767" y="12484657"/>
          <a:ext cx="324000" cy="118966"/>
          <a:chOff x="2687221" y="3988161"/>
          <a:chExt cx="501812" cy="118966"/>
        </a:xfrm>
      </xdr:grpSpPr>
      <xdr:cxnSp macro="">
        <xdr:nvCxnSpPr>
          <xdr:cNvPr id="197" name="Прямая соединительная линия 196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8" name="Овал 19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99" name="Прямая со стрелкой 19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0" name="Овал 19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01" name="Прямая со стрелкой 20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7</xdr:row>
      <xdr:rowOff>1012935</xdr:rowOff>
    </xdr:from>
    <xdr:to>
      <xdr:col>3</xdr:col>
      <xdr:colOff>905995</xdr:colOff>
      <xdr:row>7</xdr:row>
      <xdr:rowOff>1012935</xdr:rowOff>
    </xdr:to>
    <xdr:cxnSp macro="">
      <xdr:nvCxnSpPr>
        <xdr:cNvPr id="202" name="Прямая соединительная линия 201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7</xdr:row>
      <xdr:rowOff>397933</xdr:rowOff>
    </xdr:from>
    <xdr:to>
      <xdr:col>3</xdr:col>
      <xdr:colOff>705141</xdr:colOff>
      <xdr:row>7</xdr:row>
      <xdr:rowOff>505933</xdr:rowOff>
    </xdr:to>
    <xdr:sp macro="" textlink="">
      <xdr:nvSpPr>
        <xdr:cNvPr id="203" name="Овал 202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7</xdr:row>
      <xdr:rowOff>104775</xdr:rowOff>
    </xdr:from>
    <xdr:to>
      <xdr:col>6</xdr:col>
      <xdr:colOff>40500</xdr:colOff>
      <xdr:row>7</xdr:row>
      <xdr:rowOff>716775</xdr:rowOff>
    </xdr:to>
    <xdr:sp macro="" textlink="">
      <xdr:nvSpPr>
        <xdr:cNvPr id="204" name="Овал 203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7</xdr:row>
      <xdr:rowOff>247650</xdr:rowOff>
    </xdr:from>
    <xdr:to>
      <xdr:col>5</xdr:col>
      <xdr:colOff>466725</xdr:colOff>
      <xdr:row>7</xdr:row>
      <xdr:rowOff>971550</xdr:rowOff>
    </xdr:to>
    <xdr:cxnSp macro="">
      <xdr:nvCxnSpPr>
        <xdr:cNvPr id="205" name="Прямая соединительная линия 204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8</xdr:row>
      <xdr:rowOff>1439721</xdr:rowOff>
    </xdr:from>
    <xdr:to>
      <xdr:col>4</xdr:col>
      <xdr:colOff>56218</xdr:colOff>
      <xdr:row>8</xdr:row>
      <xdr:rowOff>1547721</xdr:rowOff>
    </xdr:to>
    <xdr:sp macro="" textlink="">
      <xdr:nvSpPr>
        <xdr:cNvPr id="206" name="Овал 205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8</xdr:row>
      <xdr:rowOff>131989</xdr:rowOff>
    </xdr:from>
    <xdr:to>
      <xdr:col>4</xdr:col>
      <xdr:colOff>857</xdr:colOff>
      <xdr:row>8</xdr:row>
      <xdr:rowOff>1495255</xdr:rowOff>
    </xdr:to>
    <xdr:cxnSp macro="">
      <xdr:nvCxnSpPr>
        <xdr:cNvPr id="207" name="Прямая соединительная линия 206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8</xdr:row>
      <xdr:rowOff>969433</xdr:rowOff>
    </xdr:from>
    <xdr:to>
      <xdr:col>4</xdr:col>
      <xdr:colOff>228891</xdr:colOff>
      <xdr:row>8</xdr:row>
      <xdr:rowOff>1077433</xdr:rowOff>
    </xdr:to>
    <xdr:sp macro="" textlink="">
      <xdr:nvSpPr>
        <xdr:cNvPr id="208" name="Овал 207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8</xdr:row>
      <xdr:rowOff>585107</xdr:rowOff>
    </xdr:from>
    <xdr:ext cx="609653" cy="609653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8</xdr:row>
      <xdr:rowOff>448717</xdr:rowOff>
    </xdr:from>
    <xdr:to>
      <xdr:col>4</xdr:col>
      <xdr:colOff>705970</xdr:colOff>
      <xdr:row>8</xdr:row>
      <xdr:rowOff>448717</xdr:rowOff>
    </xdr:to>
    <xdr:cxnSp macro="">
      <xdr:nvCxnSpPr>
        <xdr:cNvPr id="210" name="Прямая соединительная линия 209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8</xdr:row>
      <xdr:rowOff>911791</xdr:rowOff>
    </xdr:from>
    <xdr:to>
      <xdr:col>4</xdr:col>
      <xdr:colOff>126148</xdr:colOff>
      <xdr:row>8</xdr:row>
      <xdr:rowOff>1037676</xdr:rowOff>
    </xdr:to>
    <xdr:grpSp>
      <xdr:nvGrpSpPr>
        <xdr:cNvPr id="211" name="Группа 210"/>
        <xdr:cNvGrpSpPr/>
      </xdr:nvGrpSpPr>
      <xdr:grpSpPr>
        <a:xfrm rot="16200000" flipH="1" flipV="1">
          <a:off x="2600018" y="14084296"/>
          <a:ext cx="125885" cy="124303"/>
          <a:chOff x="1132242" y="1306343"/>
          <a:chExt cx="123151" cy="128030"/>
        </a:xfrm>
      </xdr:grpSpPr>
      <xdr:cxnSp macro="">
        <xdr:nvCxnSpPr>
          <xdr:cNvPr id="212" name="Прямая соединительная линия 21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3" name="Прямоугольник 21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8</xdr:row>
      <xdr:rowOff>856890</xdr:rowOff>
    </xdr:from>
    <xdr:to>
      <xdr:col>3</xdr:col>
      <xdr:colOff>719964</xdr:colOff>
      <xdr:row>8</xdr:row>
      <xdr:rowOff>1180890</xdr:rowOff>
    </xdr:to>
    <xdr:grpSp>
      <xdr:nvGrpSpPr>
        <xdr:cNvPr id="214" name="Группа 213"/>
        <xdr:cNvGrpSpPr/>
      </xdr:nvGrpSpPr>
      <xdr:grpSpPr>
        <a:xfrm rot="5400000" flipH="1" flipV="1">
          <a:off x="2185767" y="14131121"/>
          <a:ext cx="324000" cy="118966"/>
          <a:chOff x="2687221" y="3988161"/>
          <a:chExt cx="501812" cy="118966"/>
        </a:xfrm>
      </xdr:grpSpPr>
      <xdr:cxnSp macro="">
        <xdr:nvCxnSpPr>
          <xdr:cNvPr id="215" name="Прямая соединительная линия 214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6" name="Овал 21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17" name="Прямая со стрелкой 21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8" name="Овал 21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19" name="Прямая со стрелкой 21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8</xdr:row>
      <xdr:rowOff>1012935</xdr:rowOff>
    </xdr:from>
    <xdr:to>
      <xdr:col>3</xdr:col>
      <xdr:colOff>905995</xdr:colOff>
      <xdr:row>8</xdr:row>
      <xdr:rowOff>1012935</xdr:rowOff>
    </xdr:to>
    <xdr:cxnSp macro="">
      <xdr:nvCxnSpPr>
        <xdr:cNvPr id="220" name="Прямая соединительная линия 219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8</xdr:row>
      <xdr:rowOff>397933</xdr:rowOff>
    </xdr:from>
    <xdr:to>
      <xdr:col>3</xdr:col>
      <xdr:colOff>705141</xdr:colOff>
      <xdr:row>8</xdr:row>
      <xdr:rowOff>505933</xdr:rowOff>
    </xdr:to>
    <xdr:sp macro="" textlink="">
      <xdr:nvSpPr>
        <xdr:cNvPr id="221" name="Овал 220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8</xdr:row>
      <xdr:rowOff>104775</xdr:rowOff>
    </xdr:from>
    <xdr:to>
      <xdr:col>6</xdr:col>
      <xdr:colOff>40500</xdr:colOff>
      <xdr:row>8</xdr:row>
      <xdr:rowOff>716775</xdr:rowOff>
    </xdr:to>
    <xdr:sp macro="" textlink="">
      <xdr:nvSpPr>
        <xdr:cNvPr id="222" name="Овал 221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8</xdr:row>
      <xdr:rowOff>247650</xdr:rowOff>
    </xdr:from>
    <xdr:to>
      <xdr:col>5</xdr:col>
      <xdr:colOff>466725</xdr:colOff>
      <xdr:row>8</xdr:row>
      <xdr:rowOff>971550</xdr:rowOff>
    </xdr:to>
    <xdr:cxnSp macro="">
      <xdr:nvCxnSpPr>
        <xdr:cNvPr id="223" name="Прямая соединительная линия 222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9</xdr:row>
      <xdr:rowOff>1439721</xdr:rowOff>
    </xdr:from>
    <xdr:to>
      <xdr:col>4</xdr:col>
      <xdr:colOff>56218</xdr:colOff>
      <xdr:row>9</xdr:row>
      <xdr:rowOff>1547721</xdr:rowOff>
    </xdr:to>
    <xdr:sp macro="" textlink="">
      <xdr:nvSpPr>
        <xdr:cNvPr id="224" name="Овал 223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9</xdr:row>
      <xdr:rowOff>131989</xdr:rowOff>
    </xdr:from>
    <xdr:to>
      <xdr:col>4</xdr:col>
      <xdr:colOff>857</xdr:colOff>
      <xdr:row>9</xdr:row>
      <xdr:rowOff>1495255</xdr:rowOff>
    </xdr:to>
    <xdr:cxnSp macro="">
      <xdr:nvCxnSpPr>
        <xdr:cNvPr id="225" name="Прямая соединительная линия 224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9</xdr:row>
      <xdr:rowOff>969433</xdr:rowOff>
    </xdr:from>
    <xdr:to>
      <xdr:col>4</xdr:col>
      <xdr:colOff>228891</xdr:colOff>
      <xdr:row>9</xdr:row>
      <xdr:rowOff>1077433</xdr:rowOff>
    </xdr:to>
    <xdr:sp macro="" textlink="">
      <xdr:nvSpPr>
        <xdr:cNvPr id="226" name="Овал 225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9</xdr:row>
      <xdr:rowOff>585107</xdr:rowOff>
    </xdr:from>
    <xdr:ext cx="609653" cy="609653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9</xdr:row>
      <xdr:rowOff>448717</xdr:rowOff>
    </xdr:from>
    <xdr:to>
      <xdr:col>4</xdr:col>
      <xdr:colOff>705970</xdr:colOff>
      <xdr:row>9</xdr:row>
      <xdr:rowOff>448717</xdr:rowOff>
    </xdr:to>
    <xdr:cxnSp macro="">
      <xdr:nvCxnSpPr>
        <xdr:cNvPr id="228" name="Прямая соединительная линия 227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9</xdr:row>
      <xdr:rowOff>911791</xdr:rowOff>
    </xdr:from>
    <xdr:to>
      <xdr:col>4</xdr:col>
      <xdr:colOff>126148</xdr:colOff>
      <xdr:row>9</xdr:row>
      <xdr:rowOff>1037676</xdr:rowOff>
    </xdr:to>
    <xdr:grpSp>
      <xdr:nvGrpSpPr>
        <xdr:cNvPr id="229" name="Группа 228"/>
        <xdr:cNvGrpSpPr/>
      </xdr:nvGrpSpPr>
      <xdr:grpSpPr>
        <a:xfrm rot="16200000" flipH="1" flipV="1">
          <a:off x="2600018" y="15730761"/>
          <a:ext cx="125885" cy="124303"/>
          <a:chOff x="1132242" y="1306343"/>
          <a:chExt cx="123151" cy="128030"/>
        </a:xfrm>
      </xdr:grpSpPr>
      <xdr:cxnSp macro="">
        <xdr:nvCxnSpPr>
          <xdr:cNvPr id="230" name="Прямая соединительная линия 22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1" name="Прямоугольник 23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9</xdr:row>
      <xdr:rowOff>856890</xdr:rowOff>
    </xdr:from>
    <xdr:to>
      <xdr:col>3</xdr:col>
      <xdr:colOff>719964</xdr:colOff>
      <xdr:row>9</xdr:row>
      <xdr:rowOff>1180890</xdr:rowOff>
    </xdr:to>
    <xdr:grpSp>
      <xdr:nvGrpSpPr>
        <xdr:cNvPr id="232" name="Группа 231"/>
        <xdr:cNvGrpSpPr/>
      </xdr:nvGrpSpPr>
      <xdr:grpSpPr>
        <a:xfrm rot="5400000" flipH="1" flipV="1">
          <a:off x="2185767" y="15777586"/>
          <a:ext cx="324000" cy="118966"/>
          <a:chOff x="2687221" y="3988161"/>
          <a:chExt cx="501812" cy="118966"/>
        </a:xfrm>
      </xdr:grpSpPr>
      <xdr:cxnSp macro="">
        <xdr:nvCxnSpPr>
          <xdr:cNvPr id="233" name="Прямая соединительная линия 232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4" name="Овал 23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35" name="Прямая со стрелкой 23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6" name="Овал 23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37" name="Прямая со стрелкой 23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9</xdr:row>
      <xdr:rowOff>1012935</xdr:rowOff>
    </xdr:from>
    <xdr:to>
      <xdr:col>3</xdr:col>
      <xdr:colOff>905995</xdr:colOff>
      <xdr:row>9</xdr:row>
      <xdr:rowOff>1012935</xdr:rowOff>
    </xdr:to>
    <xdr:cxnSp macro="">
      <xdr:nvCxnSpPr>
        <xdr:cNvPr id="238" name="Прямая соединительная линия 237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9</xdr:row>
      <xdr:rowOff>397933</xdr:rowOff>
    </xdr:from>
    <xdr:to>
      <xdr:col>3</xdr:col>
      <xdr:colOff>705141</xdr:colOff>
      <xdr:row>9</xdr:row>
      <xdr:rowOff>505933</xdr:rowOff>
    </xdr:to>
    <xdr:sp macro="" textlink="">
      <xdr:nvSpPr>
        <xdr:cNvPr id="239" name="Овал 238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9</xdr:row>
      <xdr:rowOff>104775</xdr:rowOff>
    </xdr:from>
    <xdr:to>
      <xdr:col>6</xdr:col>
      <xdr:colOff>40500</xdr:colOff>
      <xdr:row>9</xdr:row>
      <xdr:rowOff>716775</xdr:rowOff>
    </xdr:to>
    <xdr:sp macro="" textlink="">
      <xdr:nvSpPr>
        <xdr:cNvPr id="240" name="Овал 239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9</xdr:row>
      <xdr:rowOff>247650</xdr:rowOff>
    </xdr:from>
    <xdr:to>
      <xdr:col>5</xdr:col>
      <xdr:colOff>466725</xdr:colOff>
      <xdr:row>9</xdr:row>
      <xdr:rowOff>971550</xdr:rowOff>
    </xdr:to>
    <xdr:cxnSp macro="">
      <xdr:nvCxnSpPr>
        <xdr:cNvPr id="241" name="Прямая соединительная линия 240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10</xdr:row>
      <xdr:rowOff>1439721</xdr:rowOff>
    </xdr:from>
    <xdr:to>
      <xdr:col>4</xdr:col>
      <xdr:colOff>56218</xdr:colOff>
      <xdr:row>10</xdr:row>
      <xdr:rowOff>1547721</xdr:rowOff>
    </xdr:to>
    <xdr:sp macro="" textlink="">
      <xdr:nvSpPr>
        <xdr:cNvPr id="242" name="Овал 241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10</xdr:row>
      <xdr:rowOff>131989</xdr:rowOff>
    </xdr:from>
    <xdr:to>
      <xdr:col>4</xdr:col>
      <xdr:colOff>857</xdr:colOff>
      <xdr:row>10</xdr:row>
      <xdr:rowOff>1495255</xdr:rowOff>
    </xdr:to>
    <xdr:cxnSp macro="">
      <xdr:nvCxnSpPr>
        <xdr:cNvPr id="243" name="Прямая соединительная линия 242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10</xdr:row>
      <xdr:rowOff>969433</xdr:rowOff>
    </xdr:from>
    <xdr:to>
      <xdr:col>4</xdr:col>
      <xdr:colOff>228891</xdr:colOff>
      <xdr:row>10</xdr:row>
      <xdr:rowOff>1077433</xdr:rowOff>
    </xdr:to>
    <xdr:sp macro="" textlink="">
      <xdr:nvSpPr>
        <xdr:cNvPr id="244" name="Овал 243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10</xdr:row>
      <xdr:rowOff>585107</xdr:rowOff>
    </xdr:from>
    <xdr:ext cx="609653" cy="609653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10</xdr:row>
      <xdr:rowOff>448717</xdr:rowOff>
    </xdr:from>
    <xdr:to>
      <xdr:col>4</xdr:col>
      <xdr:colOff>705970</xdr:colOff>
      <xdr:row>10</xdr:row>
      <xdr:rowOff>448717</xdr:rowOff>
    </xdr:to>
    <xdr:cxnSp macro="">
      <xdr:nvCxnSpPr>
        <xdr:cNvPr id="246" name="Прямая соединительная линия 245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10</xdr:row>
      <xdr:rowOff>911791</xdr:rowOff>
    </xdr:from>
    <xdr:to>
      <xdr:col>4</xdr:col>
      <xdr:colOff>126148</xdr:colOff>
      <xdr:row>10</xdr:row>
      <xdr:rowOff>1037676</xdr:rowOff>
    </xdr:to>
    <xdr:grpSp>
      <xdr:nvGrpSpPr>
        <xdr:cNvPr id="247" name="Группа 246"/>
        <xdr:cNvGrpSpPr/>
      </xdr:nvGrpSpPr>
      <xdr:grpSpPr>
        <a:xfrm rot="16200000" flipH="1" flipV="1">
          <a:off x="2600018" y="17377225"/>
          <a:ext cx="125885" cy="124303"/>
          <a:chOff x="1132242" y="1306343"/>
          <a:chExt cx="123151" cy="128030"/>
        </a:xfrm>
      </xdr:grpSpPr>
      <xdr:cxnSp macro="">
        <xdr:nvCxnSpPr>
          <xdr:cNvPr id="248" name="Прямая соединительная линия 24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9" name="Прямоугольник 24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10</xdr:row>
      <xdr:rowOff>856890</xdr:rowOff>
    </xdr:from>
    <xdr:to>
      <xdr:col>3</xdr:col>
      <xdr:colOff>719964</xdr:colOff>
      <xdr:row>10</xdr:row>
      <xdr:rowOff>1180890</xdr:rowOff>
    </xdr:to>
    <xdr:grpSp>
      <xdr:nvGrpSpPr>
        <xdr:cNvPr id="250" name="Группа 249"/>
        <xdr:cNvGrpSpPr/>
      </xdr:nvGrpSpPr>
      <xdr:grpSpPr>
        <a:xfrm rot="5400000" flipH="1" flipV="1">
          <a:off x="2185767" y="17424050"/>
          <a:ext cx="324000" cy="118966"/>
          <a:chOff x="2687221" y="3988161"/>
          <a:chExt cx="501812" cy="118966"/>
        </a:xfrm>
      </xdr:grpSpPr>
      <xdr:cxnSp macro="">
        <xdr:nvCxnSpPr>
          <xdr:cNvPr id="251" name="Прямая соединительная линия 250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2" name="Овал 25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53" name="Прямая со стрелкой 25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54" name="Овал 25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55" name="Прямая со стрелкой 25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10</xdr:row>
      <xdr:rowOff>1012935</xdr:rowOff>
    </xdr:from>
    <xdr:to>
      <xdr:col>3</xdr:col>
      <xdr:colOff>905995</xdr:colOff>
      <xdr:row>10</xdr:row>
      <xdr:rowOff>1012935</xdr:rowOff>
    </xdr:to>
    <xdr:cxnSp macro="">
      <xdr:nvCxnSpPr>
        <xdr:cNvPr id="256" name="Прямая соединительная линия 255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10</xdr:row>
      <xdr:rowOff>397933</xdr:rowOff>
    </xdr:from>
    <xdr:to>
      <xdr:col>3</xdr:col>
      <xdr:colOff>705141</xdr:colOff>
      <xdr:row>10</xdr:row>
      <xdr:rowOff>505933</xdr:rowOff>
    </xdr:to>
    <xdr:sp macro="" textlink="">
      <xdr:nvSpPr>
        <xdr:cNvPr id="257" name="Овал 256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10</xdr:row>
      <xdr:rowOff>104775</xdr:rowOff>
    </xdr:from>
    <xdr:to>
      <xdr:col>6</xdr:col>
      <xdr:colOff>40500</xdr:colOff>
      <xdr:row>10</xdr:row>
      <xdr:rowOff>716775</xdr:rowOff>
    </xdr:to>
    <xdr:sp macro="" textlink="">
      <xdr:nvSpPr>
        <xdr:cNvPr id="258" name="Овал 257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10</xdr:row>
      <xdr:rowOff>247650</xdr:rowOff>
    </xdr:from>
    <xdr:to>
      <xdr:col>5</xdr:col>
      <xdr:colOff>466725</xdr:colOff>
      <xdr:row>10</xdr:row>
      <xdr:rowOff>971550</xdr:rowOff>
    </xdr:to>
    <xdr:cxnSp macro="">
      <xdr:nvCxnSpPr>
        <xdr:cNvPr id="259" name="Прямая соединительная линия 258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11</xdr:row>
      <xdr:rowOff>1439721</xdr:rowOff>
    </xdr:from>
    <xdr:to>
      <xdr:col>4</xdr:col>
      <xdr:colOff>56218</xdr:colOff>
      <xdr:row>11</xdr:row>
      <xdr:rowOff>1547721</xdr:rowOff>
    </xdr:to>
    <xdr:sp macro="" textlink="">
      <xdr:nvSpPr>
        <xdr:cNvPr id="260" name="Овал 259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11</xdr:row>
      <xdr:rowOff>131989</xdr:rowOff>
    </xdr:from>
    <xdr:to>
      <xdr:col>4</xdr:col>
      <xdr:colOff>857</xdr:colOff>
      <xdr:row>11</xdr:row>
      <xdr:rowOff>1495255</xdr:rowOff>
    </xdr:to>
    <xdr:cxnSp macro="">
      <xdr:nvCxnSpPr>
        <xdr:cNvPr id="261" name="Прямая соединительная линия 260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11</xdr:row>
      <xdr:rowOff>969433</xdr:rowOff>
    </xdr:from>
    <xdr:to>
      <xdr:col>4</xdr:col>
      <xdr:colOff>228891</xdr:colOff>
      <xdr:row>11</xdr:row>
      <xdr:rowOff>1077433</xdr:rowOff>
    </xdr:to>
    <xdr:sp macro="" textlink="">
      <xdr:nvSpPr>
        <xdr:cNvPr id="262" name="Овал 261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11</xdr:row>
      <xdr:rowOff>585107</xdr:rowOff>
    </xdr:from>
    <xdr:ext cx="609653" cy="609653"/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11</xdr:row>
      <xdr:rowOff>448717</xdr:rowOff>
    </xdr:from>
    <xdr:to>
      <xdr:col>4</xdr:col>
      <xdr:colOff>705970</xdr:colOff>
      <xdr:row>11</xdr:row>
      <xdr:rowOff>448717</xdr:rowOff>
    </xdr:to>
    <xdr:cxnSp macro="">
      <xdr:nvCxnSpPr>
        <xdr:cNvPr id="264" name="Прямая соединительная линия 263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11</xdr:row>
      <xdr:rowOff>911791</xdr:rowOff>
    </xdr:from>
    <xdr:to>
      <xdr:col>4</xdr:col>
      <xdr:colOff>126148</xdr:colOff>
      <xdr:row>11</xdr:row>
      <xdr:rowOff>1037676</xdr:rowOff>
    </xdr:to>
    <xdr:grpSp>
      <xdr:nvGrpSpPr>
        <xdr:cNvPr id="265" name="Группа 264"/>
        <xdr:cNvGrpSpPr/>
      </xdr:nvGrpSpPr>
      <xdr:grpSpPr>
        <a:xfrm rot="16200000" flipH="1" flipV="1">
          <a:off x="2600018" y="19023689"/>
          <a:ext cx="125885" cy="124303"/>
          <a:chOff x="1132242" y="1306343"/>
          <a:chExt cx="123151" cy="128030"/>
        </a:xfrm>
      </xdr:grpSpPr>
      <xdr:cxnSp macro="">
        <xdr:nvCxnSpPr>
          <xdr:cNvPr id="266" name="Прямая соединительная линия 26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7" name="Прямоугольник 26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11</xdr:row>
      <xdr:rowOff>856890</xdr:rowOff>
    </xdr:from>
    <xdr:to>
      <xdr:col>3</xdr:col>
      <xdr:colOff>719964</xdr:colOff>
      <xdr:row>11</xdr:row>
      <xdr:rowOff>1180890</xdr:rowOff>
    </xdr:to>
    <xdr:grpSp>
      <xdr:nvGrpSpPr>
        <xdr:cNvPr id="268" name="Группа 267"/>
        <xdr:cNvGrpSpPr/>
      </xdr:nvGrpSpPr>
      <xdr:grpSpPr>
        <a:xfrm rot="5400000" flipH="1" flipV="1">
          <a:off x="2185767" y="19070514"/>
          <a:ext cx="324000" cy="118966"/>
          <a:chOff x="2687221" y="3988161"/>
          <a:chExt cx="501812" cy="118966"/>
        </a:xfrm>
      </xdr:grpSpPr>
      <xdr:cxnSp macro="">
        <xdr:nvCxnSpPr>
          <xdr:cNvPr id="269" name="Прямая соединительная линия 268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0" name="Овал 26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71" name="Прямая со стрелкой 27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2" name="Овал 27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73" name="Прямая со стрелкой 27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11</xdr:row>
      <xdr:rowOff>1012935</xdr:rowOff>
    </xdr:from>
    <xdr:to>
      <xdr:col>3</xdr:col>
      <xdr:colOff>905995</xdr:colOff>
      <xdr:row>11</xdr:row>
      <xdr:rowOff>1012935</xdr:rowOff>
    </xdr:to>
    <xdr:cxnSp macro="">
      <xdr:nvCxnSpPr>
        <xdr:cNvPr id="274" name="Прямая соединительная линия 273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11</xdr:row>
      <xdr:rowOff>397933</xdr:rowOff>
    </xdr:from>
    <xdr:to>
      <xdr:col>3</xdr:col>
      <xdr:colOff>705141</xdr:colOff>
      <xdr:row>11</xdr:row>
      <xdr:rowOff>505933</xdr:rowOff>
    </xdr:to>
    <xdr:sp macro="" textlink="">
      <xdr:nvSpPr>
        <xdr:cNvPr id="275" name="Овал 274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11</xdr:row>
      <xdr:rowOff>104775</xdr:rowOff>
    </xdr:from>
    <xdr:to>
      <xdr:col>6</xdr:col>
      <xdr:colOff>40500</xdr:colOff>
      <xdr:row>11</xdr:row>
      <xdr:rowOff>716775</xdr:rowOff>
    </xdr:to>
    <xdr:sp macro="" textlink="">
      <xdr:nvSpPr>
        <xdr:cNvPr id="276" name="Овал 275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11</xdr:row>
      <xdr:rowOff>247650</xdr:rowOff>
    </xdr:from>
    <xdr:to>
      <xdr:col>5</xdr:col>
      <xdr:colOff>466725</xdr:colOff>
      <xdr:row>11</xdr:row>
      <xdr:rowOff>971550</xdr:rowOff>
    </xdr:to>
    <xdr:cxnSp macro="">
      <xdr:nvCxnSpPr>
        <xdr:cNvPr id="277" name="Прямая соединительная линия 276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12</xdr:row>
      <xdr:rowOff>1439721</xdr:rowOff>
    </xdr:from>
    <xdr:to>
      <xdr:col>4</xdr:col>
      <xdr:colOff>56218</xdr:colOff>
      <xdr:row>12</xdr:row>
      <xdr:rowOff>1547721</xdr:rowOff>
    </xdr:to>
    <xdr:sp macro="" textlink="">
      <xdr:nvSpPr>
        <xdr:cNvPr id="278" name="Овал 277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12</xdr:row>
      <xdr:rowOff>131989</xdr:rowOff>
    </xdr:from>
    <xdr:to>
      <xdr:col>4</xdr:col>
      <xdr:colOff>857</xdr:colOff>
      <xdr:row>12</xdr:row>
      <xdr:rowOff>1495255</xdr:rowOff>
    </xdr:to>
    <xdr:cxnSp macro="">
      <xdr:nvCxnSpPr>
        <xdr:cNvPr id="279" name="Прямая соединительная линия 278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12</xdr:row>
      <xdr:rowOff>969433</xdr:rowOff>
    </xdr:from>
    <xdr:to>
      <xdr:col>4</xdr:col>
      <xdr:colOff>228891</xdr:colOff>
      <xdr:row>12</xdr:row>
      <xdr:rowOff>1077433</xdr:rowOff>
    </xdr:to>
    <xdr:sp macro="" textlink="">
      <xdr:nvSpPr>
        <xdr:cNvPr id="280" name="Овал 279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12</xdr:row>
      <xdr:rowOff>585107</xdr:rowOff>
    </xdr:from>
    <xdr:ext cx="609653" cy="609653"/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12</xdr:row>
      <xdr:rowOff>448717</xdr:rowOff>
    </xdr:from>
    <xdr:to>
      <xdr:col>4</xdr:col>
      <xdr:colOff>705970</xdr:colOff>
      <xdr:row>12</xdr:row>
      <xdr:rowOff>448717</xdr:rowOff>
    </xdr:to>
    <xdr:cxnSp macro="">
      <xdr:nvCxnSpPr>
        <xdr:cNvPr id="282" name="Прямая соединительная линия 281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12</xdr:row>
      <xdr:rowOff>911791</xdr:rowOff>
    </xdr:from>
    <xdr:to>
      <xdr:col>4</xdr:col>
      <xdr:colOff>126148</xdr:colOff>
      <xdr:row>12</xdr:row>
      <xdr:rowOff>1037676</xdr:rowOff>
    </xdr:to>
    <xdr:grpSp>
      <xdr:nvGrpSpPr>
        <xdr:cNvPr id="283" name="Группа 282"/>
        <xdr:cNvGrpSpPr/>
      </xdr:nvGrpSpPr>
      <xdr:grpSpPr>
        <a:xfrm rot="16200000" flipH="1" flipV="1">
          <a:off x="2600018" y="20670153"/>
          <a:ext cx="125885" cy="124303"/>
          <a:chOff x="1132242" y="1306343"/>
          <a:chExt cx="123151" cy="128030"/>
        </a:xfrm>
      </xdr:grpSpPr>
      <xdr:cxnSp macro="">
        <xdr:nvCxnSpPr>
          <xdr:cNvPr id="284" name="Прямая соединительная линия 28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5" name="Прямоугольник 28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12</xdr:row>
      <xdr:rowOff>856890</xdr:rowOff>
    </xdr:from>
    <xdr:to>
      <xdr:col>3</xdr:col>
      <xdr:colOff>719964</xdr:colOff>
      <xdr:row>12</xdr:row>
      <xdr:rowOff>1180890</xdr:rowOff>
    </xdr:to>
    <xdr:grpSp>
      <xdr:nvGrpSpPr>
        <xdr:cNvPr id="286" name="Группа 285"/>
        <xdr:cNvGrpSpPr/>
      </xdr:nvGrpSpPr>
      <xdr:grpSpPr>
        <a:xfrm rot="5400000" flipH="1" flipV="1">
          <a:off x="2185767" y="20716978"/>
          <a:ext cx="324000" cy="118966"/>
          <a:chOff x="2687221" y="3988161"/>
          <a:chExt cx="501812" cy="118966"/>
        </a:xfrm>
      </xdr:grpSpPr>
      <xdr:cxnSp macro="">
        <xdr:nvCxnSpPr>
          <xdr:cNvPr id="287" name="Прямая соединительная линия 286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8" name="Овал 28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89" name="Прямая со стрелкой 28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0" name="Овал 28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91" name="Прямая со стрелкой 29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12</xdr:row>
      <xdr:rowOff>1012935</xdr:rowOff>
    </xdr:from>
    <xdr:to>
      <xdr:col>3</xdr:col>
      <xdr:colOff>905995</xdr:colOff>
      <xdr:row>12</xdr:row>
      <xdr:rowOff>1012935</xdr:rowOff>
    </xdr:to>
    <xdr:cxnSp macro="">
      <xdr:nvCxnSpPr>
        <xdr:cNvPr id="292" name="Прямая соединительная линия 291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12</xdr:row>
      <xdr:rowOff>397933</xdr:rowOff>
    </xdr:from>
    <xdr:to>
      <xdr:col>3</xdr:col>
      <xdr:colOff>705141</xdr:colOff>
      <xdr:row>12</xdr:row>
      <xdr:rowOff>505933</xdr:rowOff>
    </xdr:to>
    <xdr:sp macro="" textlink="">
      <xdr:nvSpPr>
        <xdr:cNvPr id="293" name="Овал 292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12</xdr:row>
      <xdr:rowOff>104775</xdr:rowOff>
    </xdr:from>
    <xdr:to>
      <xdr:col>6</xdr:col>
      <xdr:colOff>40500</xdr:colOff>
      <xdr:row>12</xdr:row>
      <xdr:rowOff>716775</xdr:rowOff>
    </xdr:to>
    <xdr:sp macro="" textlink="">
      <xdr:nvSpPr>
        <xdr:cNvPr id="294" name="Овал 293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12</xdr:row>
      <xdr:rowOff>247650</xdr:rowOff>
    </xdr:from>
    <xdr:to>
      <xdr:col>5</xdr:col>
      <xdr:colOff>466725</xdr:colOff>
      <xdr:row>12</xdr:row>
      <xdr:rowOff>971550</xdr:rowOff>
    </xdr:to>
    <xdr:cxnSp macro="">
      <xdr:nvCxnSpPr>
        <xdr:cNvPr id="295" name="Прямая соединительная линия 294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13</xdr:row>
      <xdr:rowOff>1439721</xdr:rowOff>
    </xdr:from>
    <xdr:to>
      <xdr:col>4</xdr:col>
      <xdr:colOff>56218</xdr:colOff>
      <xdr:row>13</xdr:row>
      <xdr:rowOff>1547721</xdr:rowOff>
    </xdr:to>
    <xdr:sp macro="" textlink="">
      <xdr:nvSpPr>
        <xdr:cNvPr id="296" name="Овал 295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13</xdr:row>
      <xdr:rowOff>131989</xdr:rowOff>
    </xdr:from>
    <xdr:to>
      <xdr:col>4</xdr:col>
      <xdr:colOff>857</xdr:colOff>
      <xdr:row>13</xdr:row>
      <xdr:rowOff>1495255</xdr:rowOff>
    </xdr:to>
    <xdr:cxnSp macro="">
      <xdr:nvCxnSpPr>
        <xdr:cNvPr id="297" name="Прямая соединительная линия 296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13</xdr:row>
      <xdr:rowOff>969433</xdr:rowOff>
    </xdr:from>
    <xdr:to>
      <xdr:col>4</xdr:col>
      <xdr:colOff>228891</xdr:colOff>
      <xdr:row>13</xdr:row>
      <xdr:rowOff>1077433</xdr:rowOff>
    </xdr:to>
    <xdr:sp macro="" textlink="">
      <xdr:nvSpPr>
        <xdr:cNvPr id="298" name="Овал 297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13</xdr:row>
      <xdr:rowOff>585107</xdr:rowOff>
    </xdr:from>
    <xdr:ext cx="609653" cy="609653"/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13</xdr:row>
      <xdr:rowOff>448717</xdr:rowOff>
    </xdr:from>
    <xdr:to>
      <xdr:col>4</xdr:col>
      <xdr:colOff>705970</xdr:colOff>
      <xdr:row>13</xdr:row>
      <xdr:rowOff>448717</xdr:rowOff>
    </xdr:to>
    <xdr:cxnSp macro="">
      <xdr:nvCxnSpPr>
        <xdr:cNvPr id="300" name="Прямая соединительная линия 299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13</xdr:row>
      <xdr:rowOff>911791</xdr:rowOff>
    </xdr:from>
    <xdr:to>
      <xdr:col>4</xdr:col>
      <xdr:colOff>126148</xdr:colOff>
      <xdr:row>13</xdr:row>
      <xdr:rowOff>1037676</xdr:rowOff>
    </xdr:to>
    <xdr:grpSp>
      <xdr:nvGrpSpPr>
        <xdr:cNvPr id="301" name="Группа 300"/>
        <xdr:cNvGrpSpPr/>
      </xdr:nvGrpSpPr>
      <xdr:grpSpPr>
        <a:xfrm rot="16200000" flipH="1" flipV="1">
          <a:off x="2600018" y="22316618"/>
          <a:ext cx="125885" cy="124303"/>
          <a:chOff x="1132242" y="1306343"/>
          <a:chExt cx="123151" cy="128030"/>
        </a:xfrm>
      </xdr:grpSpPr>
      <xdr:cxnSp macro="">
        <xdr:nvCxnSpPr>
          <xdr:cNvPr id="302" name="Прямая соединительная линия 301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3" name="Прямоугольник 302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13</xdr:row>
      <xdr:rowOff>856890</xdr:rowOff>
    </xdr:from>
    <xdr:to>
      <xdr:col>3</xdr:col>
      <xdr:colOff>719964</xdr:colOff>
      <xdr:row>13</xdr:row>
      <xdr:rowOff>1180890</xdr:rowOff>
    </xdr:to>
    <xdr:grpSp>
      <xdr:nvGrpSpPr>
        <xdr:cNvPr id="304" name="Группа 303"/>
        <xdr:cNvGrpSpPr/>
      </xdr:nvGrpSpPr>
      <xdr:grpSpPr>
        <a:xfrm rot="5400000" flipH="1" flipV="1">
          <a:off x="2185767" y="22363443"/>
          <a:ext cx="324000" cy="118966"/>
          <a:chOff x="2687221" y="3988161"/>
          <a:chExt cx="501812" cy="118966"/>
        </a:xfrm>
      </xdr:grpSpPr>
      <xdr:cxnSp macro="">
        <xdr:nvCxnSpPr>
          <xdr:cNvPr id="305" name="Прямая соединительная линия 304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6" name="Овал 30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07" name="Прямая со стрелкой 30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08" name="Овал 30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09" name="Прямая со стрелкой 30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13</xdr:row>
      <xdr:rowOff>1012935</xdr:rowOff>
    </xdr:from>
    <xdr:to>
      <xdr:col>3</xdr:col>
      <xdr:colOff>905995</xdr:colOff>
      <xdr:row>13</xdr:row>
      <xdr:rowOff>1012935</xdr:rowOff>
    </xdr:to>
    <xdr:cxnSp macro="">
      <xdr:nvCxnSpPr>
        <xdr:cNvPr id="310" name="Прямая соединительная линия 309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13</xdr:row>
      <xdr:rowOff>397933</xdr:rowOff>
    </xdr:from>
    <xdr:to>
      <xdr:col>3</xdr:col>
      <xdr:colOff>705141</xdr:colOff>
      <xdr:row>13</xdr:row>
      <xdr:rowOff>505933</xdr:rowOff>
    </xdr:to>
    <xdr:sp macro="" textlink="">
      <xdr:nvSpPr>
        <xdr:cNvPr id="311" name="Овал 310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13</xdr:row>
      <xdr:rowOff>104775</xdr:rowOff>
    </xdr:from>
    <xdr:to>
      <xdr:col>6</xdr:col>
      <xdr:colOff>40500</xdr:colOff>
      <xdr:row>13</xdr:row>
      <xdr:rowOff>716775</xdr:rowOff>
    </xdr:to>
    <xdr:sp macro="" textlink="">
      <xdr:nvSpPr>
        <xdr:cNvPr id="312" name="Овал 311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13</xdr:row>
      <xdr:rowOff>247650</xdr:rowOff>
    </xdr:from>
    <xdr:to>
      <xdr:col>5</xdr:col>
      <xdr:colOff>466725</xdr:colOff>
      <xdr:row>13</xdr:row>
      <xdr:rowOff>971550</xdr:rowOff>
    </xdr:to>
    <xdr:cxnSp macro="">
      <xdr:nvCxnSpPr>
        <xdr:cNvPr id="313" name="Прямая соединительная линия 312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14</xdr:row>
      <xdr:rowOff>1439721</xdr:rowOff>
    </xdr:from>
    <xdr:to>
      <xdr:col>4</xdr:col>
      <xdr:colOff>56218</xdr:colOff>
      <xdr:row>14</xdr:row>
      <xdr:rowOff>1547721</xdr:rowOff>
    </xdr:to>
    <xdr:sp macro="" textlink="">
      <xdr:nvSpPr>
        <xdr:cNvPr id="314" name="Овал 313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14</xdr:row>
      <xdr:rowOff>131989</xdr:rowOff>
    </xdr:from>
    <xdr:to>
      <xdr:col>4</xdr:col>
      <xdr:colOff>857</xdr:colOff>
      <xdr:row>14</xdr:row>
      <xdr:rowOff>1495255</xdr:rowOff>
    </xdr:to>
    <xdr:cxnSp macro="">
      <xdr:nvCxnSpPr>
        <xdr:cNvPr id="315" name="Прямая соединительная линия 314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14</xdr:row>
      <xdr:rowOff>969433</xdr:rowOff>
    </xdr:from>
    <xdr:to>
      <xdr:col>4</xdr:col>
      <xdr:colOff>228891</xdr:colOff>
      <xdr:row>14</xdr:row>
      <xdr:rowOff>1077433</xdr:rowOff>
    </xdr:to>
    <xdr:sp macro="" textlink="">
      <xdr:nvSpPr>
        <xdr:cNvPr id="316" name="Овал 315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14</xdr:row>
      <xdr:rowOff>585107</xdr:rowOff>
    </xdr:from>
    <xdr:ext cx="609653" cy="609653"/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14</xdr:row>
      <xdr:rowOff>448717</xdr:rowOff>
    </xdr:from>
    <xdr:to>
      <xdr:col>4</xdr:col>
      <xdr:colOff>705970</xdr:colOff>
      <xdr:row>14</xdr:row>
      <xdr:rowOff>448717</xdr:rowOff>
    </xdr:to>
    <xdr:cxnSp macro="">
      <xdr:nvCxnSpPr>
        <xdr:cNvPr id="318" name="Прямая соединительная линия 317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14</xdr:row>
      <xdr:rowOff>911791</xdr:rowOff>
    </xdr:from>
    <xdr:to>
      <xdr:col>4</xdr:col>
      <xdr:colOff>126148</xdr:colOff>
      <xdr:row>14</xdr:row>
      <xdr:rowOff>1037676</xdr:rowOff>
    </xdr:to>
    <xdr:grpSp>
      <xdr:nvGrpSpPr>
        <xdr:cNvPr id="319" name="Группа 318"/>
        <xdr:cNvGrpSpPr/>
      </xdr:nvGrpSpPr>
      <xdr:grpSpPr>
        <a:xfrm rot="16200000" flipH="1" flipV="1">
          <a:off x="2600018" y="23963082"/>
          <a:ext cx="125885" cy="124303"/>
          <a:chOff x="1132242" y="1306343"/>
          <a:chExt cx="123151" cy="128030"/>
        </a:xfrm>
      </xdr:grpSpPr>
      <xdr:cxnSp macro="">
        <xdr:nvCxnSpPr>
          <xdr:cNvPr id="320" name="Прямая соединительная линия 319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1" name="Прямоугольник 320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14</xdr:row>
      <xdr:rowOff>856890</xdr:rowOff>
    </xdr:from>
    <xdr:to>
      <xdr:col>3</xdr:col>
      <xdr:colOff>719964</xdr:colOff>
      <xdr:row>14</xdr:row>
      <xdr:rowOff>1180890</xdr:rowOff>
    </xdr:to>
    <xdr:grpSp>
      <xdr:nvGrpSpPr>
        <xdr:cNvPr id="322" name="Группа 321"/>
        <xdr:cNvGrpSpPr/>
      </xdr:nvGrpSpPr>
      <xdr:grpSpPr>
        <a:xfrm rot="5400000" flipH="1" flipV="1">
          <a:off x="2185767" y="24009907"/>
          <a:ext cx="324000" cy="118966"/>
          <a:chOff x="2687221" y="3988161"/>
          <a:chExt cx="501812" cy="118966"/>
        </a:xfrm>
      </xdr:grpSpPr>
      <xdr:cxnSp macro="">
        <xdr:nvCxnSpPr>
          <xdr:cNvPr id="323" name="Прямая соединительная линия 322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4" name="Овал 32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25" name="Прямая со стрелкой 32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26" name="Овал 32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27" name="Прямая со стрелкой 32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14</xdr:row>
      <xdr:rowOff>1012935</xdr:rowOff>
    </xdr:from>
    <xdr:to>
      <xdr:col>3</xdr:col>
      <xdr:colOff>905995</xdr:colOff>
      <xdr:row>14</xdr:row>
      <xdr:rowOff>1012935</xdr:rowOff>
    </xdr:to>
    <xdr:cxnSp macro="">
      <xdr:nvCxnSpPr>
        <xdr:cNvPr id="328" name="Прямая соединительная линия 327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14</xdr:row>
      <xdr:rowOff>397933</xdr:rowOff>
    </xdr:from>
    <xdr:to>
      <xdr:col>3</xdr:col>
      <xdr:colOff>705141</xdr:colOff>
      <xdr:row>14</xdr:row>
      <xdr:rowOff>505933</xdr:rowOff>
    </xdr:to>
    <xdr:sp macro="" textlink="">
      <xdr:nvSpPr>
        <xdr:cNvPr id="329" name="Овал 328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14</xdr:row>
      <xdr:rowOff>104775</xdr:rowOff>
    </xdr:from>
    <xdr:to>
      <xdr:col>6</xdr:col>
      <xdr:colOff>40500</xdr:colOff>
      <xdr:row>14</xdr:row>
      <xdr:rowOff>716775</xdr:rowOff>
    </xdr:to>
    <xdr:sp macro="" textlink="">
      <xdr:nvSpPr>
        <xdr:cNvPr id="330" name="Овал 329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14</xdr:row>
      <xdr:rowOff>247650</xdr:rowOff>
    </xdr:from>
    <xdr:to>
      <xdr:col>5</xdr:col>
      <xdr:colOff>466725</xdr:colOff>
      <xdr:row>14</xdr:row>
      <xdr:rowOff>971550</xdr:rowOff>
    </xdr:to>
    <xdr:cxnSp macro="">
      <xdr:nvCxnSpPr>
        <xdr:cNvPr id="331" name="Прямая соединительная линия 330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15</xdr:row>
      <xdr:rowOff>1439721</xdr:rowOff>
    </xdr:from>
    <xdr:to>
      <xdr:col>4</xdr:col>
      <xdr:colOff>56218</xdr:colOff>
      <xdr:row>15</xdr:row>
      <xdr:rowOff>1547721</xdr:rowOff>
    </xdr:to>
    <xdr:sp macro="" textlink="">
      <xdr:nvSpPr>
        <xdr:cNvPr id="332" name="Овал 331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15</xdr:row>
      <xdr:rowOff>131989</xdr:rowOff>
    </xdr:from>
    <xdr:to>
      <xdr:col>4</xdr:col>
      <xdr:colOff>857</xdr:colOff>
      <xdr:row>15</xdr:row>
      <xdr:rowOff>1495255</xdr:rowOff>
    </xdr:to>
    <xdr:cxnSp macro="">
      <xdr:nvCxnSpPr>
        <xdr:cNvPr id="333" name="Прямая соединительная линия 332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15</xdr:row>
      <xdr:rowOff>969433</xdr:rowOff>
    </xdr:from>
    <xdr:to>
      <xdr:col>4</xdr:col>
      <xdr:colOff>228891</xdr:colOff>
      <xdr:row>15</xdr:row>
      <xdr:rowOff>1077433</xdr:rowOff>
    </xdr:to>
    <xdr:sp macro="" textlink="">
      <xdr:nvSpPr>
        <xdr:cNvPr id="334" name="Овал 333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15</xdr:row>
      <xdr:rowOff>585107</xdr:rowOff>
    </xdr:from>
    <xdr:ext cx="609653" cy="609653"/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15</xdr:row>
      <xdr:rowOff>448717</xdr:rowOff>
    </xdr:from>
    <xdr:to>
      <xdr:col>4</xdr:col>
      <xdr:colOff>705970</xdr:colOff>
      <xdr:row>15</xdr:row>
      <xdr:rowOff>448717</xdr:rowOff>
    </xdr:to>
    <xdr:cxnSp macro="">
      <xdr:nvCxnSpPr>
        <xdr:cNvPr id="336" name="Прямая соединительная линия 335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15</xdr:row>
      <xdr:rowOff>911791</xdr:rowOff>
    </xdr:from>
    <xdr:to>
      <xdr:col>4</xdr:col>
      <xdr:colOff>126148</xdr:colOff>
      <xdr:row>15</xdr:row>
      <xdr:rowOff>1037676</xdr:rowOff>
    </xdr:to>
    <xdr:grpSp>
      <xdr:nvGrpSpPr>
        <xdr:cNvPr id="337" name="Группа 336"/>
        <xdr:cNvGrpSpPr/>
      </xdr:nvGrpSpPr>
      <xdr:grpSpPr>
        <a:xfrm rot="16200000" flipH="1" flipV="1">
          <a:off x="2600018" y="25609546"/>
          <a:ext cx="125885" cy="124303"/>
          <a:chOff x="1132242" y="1306343"/>
          <a:chExt cx="123151" cy="128030"/>
        </a:xfrm>
      </xdr:grpSpPr>
      <xdr:cxnSp macro="">
        <xdr:nvCxnSpPr>
          <xdr:cNvPr id="338" name="Прямая соединительная линия 337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9" name="Прямоугольник 338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15</xdr:row>
      <xdr:rowOff>856890</xdr:rowOff>
    </xdr:from>
    <xdr:to>
      <xdr:col>3</xdr:col>
      <xdr:colOff>719964</xdr:colOff>
      <xdr:row>15</xdr:row>
      <xdr:rowOff>1180890</xdr:rowOff>
    </xdr:to>
    <xdr:grpSp>
      <xdr:nvGrpSpPr>
        <xdr:cNvPr id="340" name="Группа 339"/>
        <xdr:cNvGrpSpPr/>
      </xdr:nvGrpSpPr>
      <xdr:grpSpPr>
        <a:xfrm rot="5400000" flipH="1" flipV="1">
          <a:off x="2185767" y="25656371"/>
          <a:ext cx="324000" cy="118966"/>
          <a:chOff x="2687221" y="3988161"/>
          <a:chExt cx="501812" cy="118966"/>
        </a:xfrm>
      </xdr:grpSpPr>
      <xdr:cxnSp macro="">
        <xdr:nvCxnSpPr>
          <xdr:cNvPr id="341" name="Прямая соединительная линия 340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2" name="Овал 34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43" name="Прямая со стрелкой 34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44" name="Овал 34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45" name="Прямая со стрелкой 34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15</xdr:row>
      <xdr:rowOff>1012935</xdr:rowOff>
    </xdr:from>
    <xdr:to>
      <xdr:col>3</xdr:col>
      <xdr:colOff>905995</xdr:colOff>
      <xdr:row>15</xdr:row>
      <xdr:rowOff>1012935</xdr:rowOff>
    </xdr:to>
    <xdr:cxnSp macro="">
      <xdr:nvCxnSpPr>
        <xdr:cNvPr id="346" name="Прямая соединительная линия 345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15</xdr:row>
      <xdr:rowOff>397933</xdr:rowOff>
    </xdr:from>
    <xdr:to>
      <xdr:col>3</xdr:col>
      <xdr:colOff>705141</xdr:colOff>
      <xdr:row>15</xdr:row>
      <xdr:rowOff>505933</xdr:rowOff>
    </xdr:to>
    <xdr:sp macro="" textlink="">
      <xdr:nvSpPr>
        <xdr:cNvPr id="347" name="Овал 346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15</xdr:row>
      <xdr:rowOff>104775</xdr:rowOff>
    </xdr:from>
    <xdr:to>
      <xdr:col>6</xdr:col>
      <xdr:colOff>40500</xdr:colOff>
      <xdr:row>15</xdr:row>
      <xdr:rowOff>716775</xdr:rowOff>
    </xdr:to>
    <xdr:sp macro="" textlink="">
      <xdr:nvSpPr>
        <xdr:cNvPr id="348" name="Овал 347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15</xdr:row>
      <xdr:rowOff>247650</xdr:rowOff>
    </xdr:from>
    <xdr:to>
      <xdr:col>5</xdr:col>
      <xdr:colOff>466725</xdr:colOff>
      <xdr:row>15</xdr:row>
      <xdr:rowOff>971550</xdr:rowOff>
    </xdr:to>
    <xdr:cxnSp macro="">
      <xdr:nvCxnSpPr>
        <xdr:cNvPr id="349" name="Прямая соединительная линия 348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16</xdr:row>
      <xdr:rowOff>1439721</xdr:rowOff>
    </xdr:from>
    <xdr:to>
      <xdr:col>4</xdr:col>
      <xdr:colOff>56218</xdr:colOff>
      <xdr:row>16</xdr:row>
      <xdr:rowOff>1547721</xdr:rowOff>
    </xdr:to>
    <xdr:sp macro="" textlink="">
      <xdr:nvSpPr>
        <xdr:cNvPr id="350" name="Овал 349"/>
        <xdr:cNvSpPr>
          <a:spLocks noChangeAspect="1"/>
        </xdr:cNvSpPr>
      </xdr:nvSpPr>
      <xdr:spPr>
        <a:xfrm rot="5400000">
          <a:off x="2548543" y="4734011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16</xdr:row>
      <xdr:rowOff>131989</xdr:rowOff>
    </xdr:from>
    <xdr:to>
      <xdr:col>4</xdr:col>
      <xdr:colOff>857</xdr:colOff>
      <xdr:row>16</xdr:row>
      <xdr:rowOff>1495255</xdr:rowOff>
    </xdr:to>
    <xdr:cxnSp macro="">
      <xdr:nvCxnSpPr>
        <xdr:cNvPr id="351" name="Прямая соединительная линия 350"/>
        <xdr:cNvCxnSpPr/>
      </xdr:nvCxnSpPr>
      <xdr:spPr>
        <a:xfrm>
          <a:off x="2599821" y="3424918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16</xdr:row>
      <xdr:rowOff>969433</xdr:rowOff>
    </xdr:from>
    <xdr:to>
      <xdr:col>4</xdr:col>
      <xdr:colOff>228891</xdr:colOff>
      <xdr:row>16</xdr:row>
      <xdr:rowOff>1077433</xdr:rowOff>
    </xdr:to>
    <xdr:sp macro="" textlink="">
      <xdr:nvSpPr>
        <xdr:cNvPr id="352" name="Овал 351"/>
        <xdr:cNvSpPr>
          <a:spLocks noChangeAspect="1"/>
        </xdr:cNvSpPr>
      </xdr:nvSpPr>
      <xdr:spPr>
        <a:xfrm>
          <a:off x="2724491" y="42623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16</xdr:row>
      <xdr:rowOff>585107</xdr:rowOff>
    </xdr:from>
    <xdr:ext cx="609653" cy="609653"/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3878036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16</xdr:row>
      <xdr:rowOff>448717</xdr:rowOff>
    </xdr:from>
    <xdr:to>
      <xdr:col>4</xdr:col>
      <xdr:colOff>705970</xdr:colOff>
      <xdr:row>16</xdr:row>
      <xdr:rowOff>448717</xdr:rowOff>
    </xdr:to>
    <xdr:cxnSp macro="">
      <xdr:nvCxnSpPr>
        <xdr:cNvPr id="354" name="Прямая соединительная линия 353"/>
        <xdr:cNvCxnSpPr/>
      </xdr:nvCxnSpPr>
      <xdr:spPr>
        <a:xfrm>
          <a:off x="2605366" y="3741646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16</xdr:row>
      <xdr:rowOff>911791</xdr:rowOff>
    </xdr:from>
    <xdr:to>
      <xdr:col>4</xdr:col>
      <xdr:colOff>126148</xdr:colOff>
      <xdr:row>16</xdr:row>
      <xdr:rowOff>1037676</xdr:rowOff>
    </xdr:to>
    <xdr:grpSp>
      <xdr:nvGrpSpPr>
        <xdr:cNvPr id="355" name="Группа 354"/>
        <xdr:cNvGrpSpPr/>
      </xdr:nvGrpSpPr>
      <xdr:grpSpPr>
        <a:xfrm rot="16200000" flipH="1" flipV="1">
          <a:off x="2600018" y="27256011"/>
          <a:ext cx="125885" cy="124303"/>
          <a:chOff x="1132242" y="1306343"/>
          <a:chExt cx="123151" cy="128030"/>
        </a:xfrm>
      </xdr:grpSpPr>
      <xdr:cxnSp macro="">
        <xdr:nvCxnSpPr>
          <xdr:cNvPr id="356" name="Прямая соединительная линия 355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7" name="Прямоугольник 356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16</xdr:row>
      <xdr:rowOff>856890</xdr:rowOff>
    </xdr:from>
    <xdr:to>
      <xdr:col>3</xdr:col>
      <xdr:colOff>719964</xdr:colOff>
      <xdr:row>16</xdr:row>
      <xdr:rowOff>1180890</xdr:rowOff>
    </xdr:to>
    <xdr:grpSp>
      <xdr:nvGrpSpPr>
        <xdr:cNvPr id="358" name="Группа 357"/>
        <xdr:cNvGrpSpPr/>
      </xdr:nvGrpSpPr>
      <xdr:grpSpPr>
        <a:xfrm rot="5400000" flipH="1" flipV="1">
          <a:off x="2185767" y="27302836"/>
          <a:ext cx="324000" cy="118966"/>
          <a:chOff x="2687221" y="3988161"/>
          <a:chExt cx="501812" cy="118966"/>
        </a:xfrm>
      </xdr:grpSpPr>
      <xdr:cxnSp macro="">
        <xdr:nvCxnSpPr>
          <xdr:cNvPr id="359" name="Прямая соединительная линия 358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0" name="Овал 35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61" name="Прямая со стрелкой 36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62" name="Овал 36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63" name="Прямая со стрелкой 36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16</xdr:row>
      <xdr:rowOff>1012935</xdr:rowOff>
    </xdr:from>
    <xdr:to>
      <xdr:col>3</xdr:col>
      <xdr:colOff>905995</xdr:colOff>
      <xdr:row>16</xdr:row>
      <xdr:rowOff>1012935</xdr:rowOff>
    </xdr:to>
    <xdr:cxnSp macro="">
      <xdr:nvCxnSpPr>
        <xdr:cNvPr id="364" name="Прямая соединительная линия 363"/>
        <xdr:cNvCxnSpPr/>
      </xdr:nvCxnSpPr>
      <xdr:spPr>
        <a:xfrm>
          <a:off x="1893713" y="4305864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16</xdr:row>
      <xdr:rowOff>397933</xdr:rowOff>
    </xdr:from>
    <xdr:to>
      <xdr:col>3</xdr:col>
      <xdr:colOff>705141</xdr:colOff>
      <xdr:row>16</xdr:row>
      <xdr:rowOff>505933</xdr:rowOff>
    </xdr:to>
    <xdr:sp macro="" textlink="">
      <xdr:nvSpPr>
        <xdr:cNvPr id="365" name="Овал 364"/>
        <xdr:cNvSpPr>
          <a:spLocks noChangeAspect="1"/>
        </xdr:cNvSpPr>
      </xdr:nvSpPr>
      <xdr:spPr>
        <a:xfrm>
          <a:off x="2289063" y="3690862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16</xdr:row>
      <xdr:rowOff>104775</xdr:rowOff>
    </xdr:from>
    <xdr:to>
      <xdr:col>6</xdr:col>
      <xdr:colOff>40500</xdr:colOff>
      <xdr:row>16</xdr:row>
      <xdr:rowOff>716775</xdr:rowOff>
    </xdr:to>
    <xdr:sp macro="" textlink="">
      <xdr:nvSpPr>
        <xdr:cNvPr id="366" name="Овал 365"/>
        <xdr:cNvSpPr/>
      </xdr:nvSpPr>
      <xdr:spPr>
        <a:xfrm>
          <a:off x="3663043" y="3397704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16</xdr:row>
      <xdr:rowOff>247650</xdr:rowOff>
    </xdr:from>
    <xdr:to>
      <xdr:col>5</xdr:col>
      <xdr:colOff>466725</xdr:colOff>
      <xdr:row>16</xdr:row>
      <xdr:rowOff>971550</xdr:rowOff>
    </xdr:to>
    <xdr:cxnSp macro="">
      <xdr:nvCxnSpPr>
        <xdr:cNvPr id="367" name="Прямая соединительная линия 366"/>
        <xdr:cNvCxnSpPr/>
      </xdr:nvCxnSpPr>
      <xdr:spPr>
        <a:xfrm>
          <a:off x="3977368" y="3540579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862618</xdr:colOff>
      <xdr:row>17</xdr:row>
      <xdr:rowOff>1439721</xdr:rowOff>
    </xdr:from>
    <xdr:to>
      <xdr:col>4</xdr:col>
      <xdr:colOff>56218</xdr:colOff>
      <xdr:row>17</xdr:row>
      <xdr:rowOff>1547721</xdr:rowOff>
    </xdr:to>
    <xdr:sp macro="" textlink="">
      <xdr:nvSpPr>
        <xdr:cNvPr id="368" name="Овал 367"/>
        <xdr:cNvSpPr>
          <a:spLocks noChangeAspect="1"/>
        </xdr:cNvSpPr>
      </xdr:nvSpPr>
      <xdr:spPr>
        <a:xfrm rot="5400000">
          <a:off x="2548543" y="3087546"/>
          <a:ext cx="108000" cy="105278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857</xdr:colOff>
      <xdr:row>17</xdr:row>
      <xdr:rowOff>131989</xdr:rowOff>
    </xdr:from>
    <xdr:to>
      <xdr:col>4</xdr:col>
      <xdr:colOff>857</xdr:colOff>
      <xdr:row>17</xdr:row>
      <xdr:rowOff>1495255</xdr:rowOff>
    </xdr:to>
    <xdr:cxnSp macro="">
      <xdr:nvCxnSpPr>
        <xdr:cNvPr id="369" name="Прямая соединительная линия 368"/>
        <xdr:cNvCxnSpPr/>
      </xdr:nvCxnSpPr>
      <xdr:spPr>
        <a:xfrm>
          <a:off x="2599821" y="1778453"/>
          <a:ext cx="0" cy="1363266"/>
        </a:xfrm>
        <a:prstGeom prst="line">
          <a:avLst/>
        </a:prstGeom>
        <a:ln w="34925">
          <a:solidFill>
            <a:schemeClr val="tx1"/>
          </a:solidFill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125527</xdr:colOff>
      <xdr:row>17</xdr:row>
      <xdr:rowOff>969433</xdr:rowOff>
    </xdr:from>
    <xdr:to>
      <xdr:col>4</xdr:col>
      <xdr:colOff>228891</xdr:colOff>
      <xdr:row>17</xdr:row>
      <xdr:rowOff>1077433</xdr:rowOff>
    </xdr:to>
    <xdr:sp macro="" textlink="">
      <xdr:nvSpPr>
        <xdr:cNvPr id="370" name="Овал 369"/>
        <xdr:cNvSpPr>
          <a:spLocks noChangeAspect="1"/>
        </xdr:cNvSpPr>
      </xdr:nvSpPr>
      <xdr:spPr>
        <a:xfrm>
          <a:off x="2724491" y="26158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6</xdr:col>
      <xdr:colOff>533400</xdr:colOff>
      <xdr:row>17</xdr:row>
      <xdr:rowOff>585107</xdr:rowOff>
    </xdr:from>
    <xdr:ext cx="609653" cy="609653"/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21" y="2231571"/>
          <a:ext cx="609653" cy="60965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twoCellAnchor>
    <xdr:from>
      <xdr:col>4</xdr:col>
      <xdr:colOff>6402</xdr:colOff>
      <xdr:row>17</xdr:row>
      <xdr:rowOff>448717</xdr:rowOff>
    </xdr:from>
    <xdr:to>
      <xdr:col>4</xdr:col>
      <xdr:colOff>705970</xdr:colOff>
      <xdr:row>17</xdr:row>
      <xdr:rowOff>448717</xdr:rowOff>
    </xdr:to>
    <xdr:cxnSp macro="">
      <xdr:nvCxnSpPr>
        <xdr:cNvPr id="372" name="Прямая соединительная линия 371"/>
        <xdr:cNvCxnSpPr/>
      </xdr:nvCxnSpPr>
      <xdr:spPr>
        <a:xfrm>
          <a:off x="2605366" y="2095181"/>
          <a:ext cx="699568" cy="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1845</xdr:colOff>
      <xdr:row>17</xdr:row>
      <xdr:rowOff>911791</xdr:rowOff>
    </xdr:from>
    <xdr:to>
      <xdr:col>4</xdr:col>
      <xdr:colOff>126148</xdr:colOff>
      <xdr:row>17</xdr:row>
      <xdr:rowOff>1037676</xdr:rowOff>
    </xdr:to>
    <xdr:grpSp>
      <xdr:nvGrpSpPr>
        <xdr:cNvPr id="373" name="Группа 372"/>
        <xdr:cNvGrpSpPr/>
      </xdr:nvGrpSpPr>
      <xdr:grpSpPr>
        <a:xfrm rot="16200000" flipH="1" flipV="1">
          <a:off x="2600018" y="28902475"/>
          <a:ext cx="125885" cy="124303"/>
          <a:chOff x="1132242" y="1306343"/>
          <a:chExt cx="123151" cy="128030"/>
        </a:xfrm>
      </xdr:grpSpPr>
      <xdr:cxnSp macro="">
        <xdr:nvCxnSpPr>
          <xdr:cNvPr id="374" name="Прямая соединительная линия 373"/>
          <xdr:cNvCxnSpPr/>
        </xdr:nvCxnSpPr>
        <xdr:spPr>
          <a:xfrm flipH="1" flipV="1">
            <a:off x="1185595" y="1363552"/>
            <a:ext cx="69798" cy="7082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5" name="Прямоугольник 374"/>
          <xdr:cNvSpPr/>
        </xdr:nvSpPr>
        <xdr:spPr>
          <a:xfrm flipH="1">
            <a:off x="1132242" y="1306343"/>
            <a:ext cx="58104" cy="59432"/>
          </a:xfrm>
          <a:prstGeom prst="rect">
            <a:avLst/>
          </a:prstGeom>
          <a:solidFill>
            <a:schemeClr val="bg1">
              <a:lumMod val="75000"/>
            </a:schemeClr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600998</xdr:colOff>
      <xdr:row>17</xdr:row>
      <xdr:rowOff>856890</xdr:rowOff>
    </xdr:from>
    <xdr:to>
      <xdr:col>3</xdr:col>
      <xdr:colOff>719964</xdr:colOff>
      <xdr:row>17</xdr:row>
      <xdr:rowOff>1180890</xdr:rowOff>
    </xdr:to>
    <xdr:grpSp>
      <xdr:nvGrpSpPr>
        <xdr:cNvPr id="376" name="Группа 375"/>
        <xdr:cNvGrpSpPr/>
      </xdr:nvGrpSpPr>
      <xdr:grpSpPr>
        <a:xfrm rot="5400000" flipH="1" flipV="1">
          <a:off x="2185767" y="28949300"/>
          <a:ext cx="324000" cy="118966"/>
          <a:chOff x="2687221" y="3988161"/>
          <a:chExt cx="501812" cy="118966"/>
        </a:xfrm>
      </xdr:grpSpPr>
      <xdr:cxnSp macro="">
        <xdr:nvCxnSpPr>
          <xdr:cNvPr id="377" name="Прямая соединительная линия 376"/>
          <xdr:cNvCxnSpPr/>
        </xdr:nvCxnSpPr>
        <xdr:spPr>
          <a:xfrm>
            <a:off x="2687221" y="410521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78" name="Овал 377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V="1">
            <a:off x="3141968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79" name="Прямая со стрелкой 378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 flipV="1">
            <a:off x="3069381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80" name="Овал 37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>
            <a:spLocks noChangeAspect="1"/>
          </xdr:cNvSpPr>
        </xdr:nvSpPr>
        <xdr:spPr>
          <a:xfrm flipH="1" flipV="1">
            <a:off x="2704356" y="4055748"/>
            <a:ext cx="47065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81" name="Прямая со стрелкой 38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V="1">
            <a:off x="2751600" y="3988161"/>
            <a:ext cx="72409" cy="7200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206427</xdr:colOff>
      <xdr:row>17</xdr:row>
      <xdr:rowOff>1012935</xdr:rowOff>
    </xdr:from>
    <xdr:to>
      <xdr:col>3</xdr:col>
      <xdr:colOff>905995</xdr:colOff>
      <xdr:row>17</xdr:row>
      <xdr:rowOff>1012935</xdr:rowOff>
    </xdr:to>
    <xdr:cxnSp macro="">
      <xdr:nvCxnSpPr>
        <xdr:cNvPr id="382" name="Прямая соединительная линия 381"/>
        <xdr:cNvCxnSpPr/>
      </xdr:nvCxnSpPr>
      <xdr:spPr>
        <a:xfrm>
          <a:off x="1893713" y="2659399"/>
          <a:ext cx="699568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601777</xdr:colOff>
      <xdr:row>17</xdr:row>
      <xdr:rowOff>397933</xdr:rowOff>
    </xdr:from>
    <xdr:to>
      <xdr:col>3</xdr:col>
      <xdr:colOff>705141</xdr:colOff>
      <xdr:row>17</xdr:row>
      <xdr:rowOff>505933</xdr:rowOff>
    </xdr:to>
    <xdr:sp macro="" textlink="">
      <xdr:nvSpPr>
        <xdr:cNvPr id="383" name="Овал 382"/>
        <xdr:cNvSpPr>
          <a:spLocks noChangeAspect="1"/>
        </xdr:cNvSpPr>
      </xdr:nvSpPr>
      <xdr:spPr>
        <a:xfrm>
          <a:off x="2289063" y="2044397"/>
          <a:ext cx="103364" cy="108000"/>
        </a:xfrm>
        <a:prstGeom prst="ellipse">
          <a:avLst/>
        </a:prstGeom>
        <a:solidFill>
          <a:schemeClr val="tx1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152400</xdr:colOff>
      <xdr:row>17</xdr:row>
      <xdr:rowOff>104775</xdr:rowOff>
    </xdr:from>
    <xdr:to>
      <xdr:col>6</xdr:col>
      <xdr:colOff>40500</xdr:colOff>
      <xdr:row>17</xdr:row>
      <xdr:rowOff>716775</xdr:rowOff>
    </xdr:to>
    <xdr:sp macro="" textlink="">
      <xdr:nvSpPr>
        <xdr:cNvPr id="384" name="Овал 383"/>
        <xdr:cNvSpPr/>
      </xdr:nvSpPr>
      <xdr:spPr>
        <a:xfrm>
          <a:off x="3663043" y="1751239"/>
          <a:ext cx="609278" cy="612000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466725</xdr:colOff>
      <xdr:row>17</xdr:row>
      <xdr:rowOff>247650</xdr:rowOff>
    </xdr:from>
    <xdr:to>
      <xdr:col>5</xdr:col>
      <xdr:colOff>466725</xdr:colOff>
      <xdr:row>17</xdr:row>
      <xdr:rowOff>971550</xdr:rowOff>
    </xdr:to>
    <xdr:cxnSp macro="">
      <xdr:nvCxnSpPr>
        <xdr:cNvPr id="385" name="Прямая соединительная линия 384"/>
        <xdr:cNvCxnSpPr/>
      </xdr:nvCxnSpPr>
      <xdr:spPr>
        <a:xfrm>
          <a:off x="3977368" y="1894114"/>
          <a:ext cx="0" cy="723900"/>
        </a:xfrm>
        <a:prstGeom prst="line">
          <a:avLst/>
        </a:prstGeom>
        <a:ln w="635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id="2" name="суперМЛ" displayName="суперМЛ" ref="A9:R70" totalsRowCount="1">
  <autoFilter ref="A9:R69"/>
  <tableColumns count="18">
    <tableColumn id="1" name="Судейский пункт" totalsRowLabel="Итого по ралли:" dataDxfId="238" totalsRowDxfId="237"/>
    <tableColumn id="2" name="Дистанция дорожного сектора, км" totalsRowFunction="sum" dataDxfId="236" totalsRowDxfId="235">
      <calculatedColumnFormula>IF(AND(LEFT(A10,2)="КВ",H10&gt;0),H10,"")</calculatedColumnFormula>
    </tableColumn>
    <tableColumn id="3" name="Норма времени, чч:мм" totalsRowFunction="sum" dataDxfId="234" totalsRowDxfId="233"/>
    <tableColumn id="4" name="Нейтрализация на секторе" totalsRowFunction="sum" dataDxfId="232" totalsRowDxfId="231">
      <calculatedColumnFormula>IF(AND(LEFT(A10,2)="КВ",L10&gt;0),L10,0)</calculatedColumnFormula>
    </tableColumn>
    <tableColumn id="5" name="Средняя скорость, км/ч" dataDxfId="230" totalsRowDxfId="229">
      <calculatedColumnFormula>IF(AND(LEFT(A10,2)="КВ",ISNUMBER(C10)),B10/(C10-D10)/24,"")</calculatedColumnFormula>
    </tableColumn>
    <tableColumn id="6" name="Дистанция ДС, км" dataDxfId="228" totalsRowDxfId="227"/>
    <tableColumn id="7" name="Расчетное время прибытия 1-го экипажа" dataDxfId="226" totalsRowDxfId="225">
      <calculatedColumnFormula>IF(ROW()=10,старт,G9+M10+K9)</calculatedColumnFormula>
    </tableColumn>
    <tableColumn id="8" name="Расстояние внутри сектора" dataDxfId="224" totalsRowDxfId="223"/>
    <tableColumn id="9" name="Дельта" dataDxfId="222" totalsRowDxfId="221">
      <calculatedColumnFormula>IF(AND(LEFT(A9,2)&lt;&gt;"КВ",ROW()&gt;10),H10-H9,H10)</calculatedColumnFormula>
    </tableColumn>
    <tableColumn id="10" name="Скорость на дельте" dataDxfId="220" totalsRowDxfId="219">
      <calculatedColumnFormula>IFERROR(VLOOKUP("КВ*",A10:G$69,5,FALSE),0)</calculatedColumnFormula>
    </tableColumn>
    <tableColumn id="11" name="Нейтрализация, чч:мм" dataDxfId="218" totalsRowDxfId="217"/>
    <tableColumn id="12" name="Нейтрализация, накопление на секторе" dataDxfId="216" totalsRowDxfId="215">
      <calculatedColumnFormula>IF(AND(LEFT(A9,2)&lt;&gt;"КВ",ROW()&gt;10),L9+K10,0)</calculatedColumnFormula>
    </tableColumn>
    <tableColumn id="13" name="Время на дельте при скорости дорожного сектора" dataDxfId="214" totalsRowDxfId="213">
      <calculatedColumnFormula>IF(AND(J10&lt;&gt;"",J10&lt;&gt;0),I10/J10/24,0)</calculatedColumnFormula>
    </tableColumn>
    <tableColumn id="14" name="Старший судья" totalsRowDxfId="212"/>
    <tableColumn id="20" name="Телефон" dataDxfId="211" totalsRowDxfId="210"/>
    <tableColumn id="15" name="Щиты" totalsRowDxfId="209"/>
    <tableColumn id="21" name="Открытие пункта план" dataDxfId="208" totalsRowDxfId="207">
      <calculatedColumnFormula>суперМЛ[[#This Row],[Расчетное время прибытия 1-го экипажа]]-времяОткрытия</calculatedColumnFormula>
    </tableColumn>
    <tableColumn id="22" name="Закрытие пункта план" dataDxfId="206" totalsRowDxfId="205">
      <calculatedColumnFormula>суперМЛ[[#This Row],[Расчетное время прибытия 1-го экипажа]]+TIME(0,числоЭкипажей,0)+времяЗакрытия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заявки" displayName="заявки" ref="A9:N70" totalsRowCount="1" headerRowDxfId="204" dataDxfId="203">
  <autoFilter ref="A9:N69"/>
  <tableColumns count="14">
    <tableColumn id="1" name="№ п/п" totalsRowLabel="Итого:" dataDxfId="202" totalsRowDxfId="201"/>
    <tableColumn id="2" name="Ст. №" totalsRowFunction="count" dataDxfId="200" totalsRowDxfId="199"/>
    <tableColumn id="3" name="Зачет" dataDxfId="198" totalsRowDxfId="197"/>
    <tableColumn id="4" name="Марка, модель автомобиля" dataDxfId="196" totalsRowDxfId="195"/>
    <tableColumn id="5" name="Госномер" dataDxfId="194" totalsRowDxfId="193"/>
    <tableColumn id="6" name="1-й пилот" dataDxfId="192" totalsRowDxfId="191"/>
    <tableColumn id="7" name="Подпись" dataDxfId="190" totalsRowDxfId="189"/>
    <tableColumn id="8" name="Контактный телефон" dataDxfId="188" totalsRowDxfId="187"/>
    <tableColumn id="9" name="Город" dataDxfId="186" totalsRowDxfId="185"/>
    <tableColumn id="10" name="2-й пилот" dataDxfId="184" totalsRowDxfId="183"/>
    <tableColumn id="11" name="Подпись " dataDxfId="182" totalsRowDxfId="181"/>
    <tableColumn id="12" name="Контактный телефон " dataDxfId="180" totalsRowDxfId="179"/>
    <tableColumn id="13" name="Город " dataDxfId="178" totalsRowDxfId="177"/>
    <tableColumn id="14" name="Город/Город" dataDxfId="176" totalsRowDxfId="175">
      <calculatedColumnFormula>IF(заявки[[#This Row],[Город]]=заявки[[#This Row],[Город ]],заявки[[#This Row],[Город]],заявки[[#This Row],[Город]]&amp;" / "&amp;заявки[[#This Row],[Город ]])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4" name="стартоваяВедомость" displayName="стартоваяВедомость" ref="A9:H70" totalsRowCount="1" headerRowDxfId="174" dataDxfId="172" totalsRowDxfId="170" headerRowBorderDxfId="173" tableBorderDxfId="171" totalsRowBorderDxfId="169">
  <autoFilter ref="A9:H69">
    <filterColumn colId="1">
      <customFilters>
        <customFilter operator="notEqual" val=" "/>
      </customFilters>
    </filterColumn>
  </autoFilter>
  <tableColumns count="8">
    <tableColumn id="1" name="№ п/п" totalsRowLabel="Итого:" dataDxfId="168" totalsRowDxfId="167"/>
    <tableColumn id="2" name="Старт. номер" totalsRowFunction="custom" dataDxfId="166" totalsRowDxfId="165">
      <calculatedColumnFormula>IF(LEN(заявки[Ст. №])&gt;0,заявки[Ст. №],"")</calculatedColumnFormula>
      <totalsRowFormula>заявки[[#Totals],[Ст. №]]</totalsRowFormula>
    </tableColumn>
    <tableColumn id="3" name="Автомобиль" dataDxfId="164" totalsRowDxfId="163">
      <calculatedColumnFormula>VLOOKUP($A10,заявки[],4)</calculatedColumnFormula>
    </tableColumn>
    <tableColumn id="4" name="1-й пилот" dataDxfId="162" totalsRowDxfId="161">
      <calculatedColumnFormula>VLOOKUP($A10,заявки[],6)</calculatedColumnFormula>
    </tableColumn>
    <tableColumn id="5" name="2-й пилот" dataDxfId="160" totalsRowDxfId="159">
      <calculatedColumnFormula>VLOOKUP($A10,заявки[],10)</calculatedColumnFormula>
    </tableColumn>
    <tableColumn id="6" name="Город" dataDxfId="158" totalsRowDxfId="157">
      <calculatedColumnFormula>VLOOKUP($A10,заявки[],14)</calculatedColumnFormula>
    </tableColumn>
    <tableColumn id="7" name="Зачет" dataDxfId="156" totalsRowDxfId="155">
      <calculatedColumnFormula>VLOOKUP($A10,заявки[],3)</calculatedColumnFormula>
    </tableColumn>
    <tableColumn id="8" name="Время старта" dataDxfId="154" totalsRowDxfId="153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6" name="итоговыеЛайт" displayName="итоговыеЛайт" ref="A9:F70" totalsRowCount="1" headerRowDxfId="152" dataDxfId="151" totalsRowDxfId="149" tableBorderDxfId="150">
  <autoFilter ref="A9:F69"/>
  <tableColumns count="6">
    <tableColumn id="1" name="Место итог." dataDxfId="148" totalsRowDxfId="147"/>
    <tableColumn id="2" name="Старт. номер" totalsRowFunction="count" dataDxfId="146" totalsRowDxfId="145"/>
    <tableColumn id="4" name="1-й пилот" totalsRowLabel="&lt;--стартовало" dataDxfId="144" totalsRowDxfId="143"/>
    <tableColumn id="5" name="2-й пилот" dataDxfId="142" totalsRowDxfId="141"/>
    <tableColumn id="6" name="Город" totalsRowLabel="DNF--&gt;" dataDxfId="140" totalsRowDxfId="139"/>
    <tableColumn id="7" name="Пенализация, итого" totalsRowFunction="custom" dataDxfId="138" totalsRowDxfId="137">
      <totalsRowFormula>COUNTIF(итоговыеЛайт[Пенализация, итого],"DNF")</totalsRow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7" name="итоговыеПро" displayName="итоговыеПро" ref="A86:F147" totalsRowCount="1" headerRowDxfId="136" dataDxfId="135" totalsRowDxfId="133" tableBorderDxfId="134">
  <autoFilter ref="A86:F146"/>
  <tableColumns count="6">
    <tableColumn id="1" name="Место итог." dataDxfId="132" totalsRowDxfId="131"/>
    <tableColumn id="2" name="Старт. номер" totalsRowFunction="count" dataDxfId="130" totalsRowDxfId="129"/>
    <tableColumn id="4" name="1-й пилот" totalsRowLabel="&lt;--стартовало" dataDxfId="128" totalsRowDxfId="127"/>
    <tableColumn id="5" name="2-й пилот" dataDxfId="126" totalsRowDxfId="125"/>
    <tableColumn id="6" name="Город" totalsRowLabel="DNF--&gt;" dataDxfId="124" totalsRowDxfId="123"/>
    <tableColumn id="7" name="Пенализация, итого" totalsRowFunction="custom" dataDxfId="122" totalsRowDxfId="121">
      <totalsRowFormula>COUNTIF(итоговыеПро[Пенализация, итого],"DNF")</totalsRow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1" name="МЛ" displayName="МЛ" ref="A9:G70" totalsRowCount="1" headerRowDxfId="120" dataDxfId="119" totalsRowDxfId="117" tableBorderDxfId="118" totalsRowBorderDxfId="116">
  <autoFilter ref="A9:G69">
    <filterColumn colId="0">
      <filters>
        <filter val="ДС-1 СЛ Аэропорт"/>
        <filter val="ДС-2 РДС Старая Смоленская дорога"/>
        <filter val="ДС-3 РДС Быльники"/>
        <filter val="ДС-4 СЛ Автобусный парк"/>
        <filter val="КВ-0 Старт"/>
        <filter val="КВ-1 Окружная"/>
        <filter val="КВ-2 Духовщина Вход"/>
        <filter val="КВ-3 Духовщина Выход"/>
        <filter val="КВ-4 М1"/>
        <filter val="КВ-5 Автобусный парк"/>
        <filter val="КВ-6 Центр"/>
        <filter val="КВ-7 Финиш"/>
      </filters>
    </filterColumn>
  </autoFilter>
  <tableColumns count="7">
    <tableColumn id="1" name="Судейский пункт" totalsRowLabel="Итого по ралли:" dataDxfId="115" totalsRowDxfId="114">
      <calculatedColumnFormula>общее!A10</calculatedColumnFormula>
    </tableColumn>
    <tableColumn id="2" name="Дистанция дорожного сектора, км" totalsRowFunction="sum" dataDxfId="113" totalsRowDxfId="112">
      <calculatedColumnFormula>общее!B10</calculatedColumnFormula>
    </tableColumn>
    <tableColumn id="3" name="Норма времени, чч:мм" totalsRowFunction="sum" dataDxfId="111" totalsRowDxfId="110">
      <calculatedColumnFormula>общее!C10</calculatedColumnFormula>
    </tableColumn>
    <tableColumn id="4" name="Нейтрализация (входит в норму времени), чч:мм" totalsRowFunction="sum" dataDxfId="109" totalsRowDxfId="108">
      <calculatedColumnFormula>общее!D10</calculatedColumnFormula>
    </tableColumn>
    <tableColumn id="5" name="Средняя скорость, км/ч" dataDxfId="107" totalsRowDxfId="106">
      <calculatedColumnFormula>общее!E10</calculatedColumnFormula>
    </tableColumn>
    <tableColumn id="6" name="Дистанция ДС, км" dataDxfId="105" totalsRowDxfId="104">
      <calculatedColumnFormula>общее!F10</calculatedColumnFormula>
    </tableColumn>
    <tableColumn id="7" name="Расчетное время прибытия 1-го экипажа" dataDxfId="103" totalsRowDxfId="102">
      <calculatedColumnFormula>общее!G10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chemeClr val="tx1"/>
          </a:solidFill>
          <a:tailEnd type="none" w="med" len="lg"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2.xml"/><Relationship Id="rId4" Type="http://schemas.openxmlformats.org/officeDocument/2006/relationships/ctrlProp" Target="../ctrlProps/ctrlProp9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92D050"/>
  </sheetPr>
  <dimension ref="A1:FI46"/>
  <sheetViews>
    <sheetView showZeros="0" tabSelected="1" view="pageBreakPreview" zoomScale="85" zoomScaleNormal="85" zoomScaleSheetLayoutView="85" workbookViewId="0">
      <pane xSplit="1" ySplit="4" topLeftCell="B18" activePane="bottomRight" state="frozen"/>
      <selection activeCell="D72" sqref="D72"/>
      <selection pane="topRight" activeCell="D72" sqref="D72"/>
      <selection pane="bottomLeft" activeCell="D72" sqref="D72"/>
      <selection pane="bottomRight" activeCell="A35" sqref="A35"/>
    </sheetView>
  </sheetViews>
  <sheetFormatPr defaultRowHeight="15.75" x14ac:dyDescent="0.25"/>
  <cols>
    <col min="1" max="1" width="11.85546875" style="254" customWidth="1"/>
    <col min="2" max="5" width="20.7109375" style="2" customWidth="1"/>
    <col min="6" max="9" width="11.85546875" style="2" customWidth="1"/>
    <col min="10" max="10" width="12.85546875" style="2" customWidth="1"/>
    <col min="11" max="12" width="8.7109375" style="2" customWidth="1"/>
    <col min="13" max="13" width="3.7109375" style="2" customWidth="1"/>
    <col min="14" max="19" width="8.7109375" style="2" customWidth="1"/>
    <col min="20" max="20" width="3.7109375" style="2" customWidth="1"/>
    <col min="21" max="23" width="8.7109375" style="2" customWidth="1"/>
    <col min="24" max="25" width="8.7109375" style="2" hidden="1" customWidth="1"/>
    <col min="26" max="27" width="8.7109375" style="2" customWidth="1"/>
    <col min="28" max="28" width="3.7109375" style="2" customWidth="1"/>
    <col min="29" max="31" width="8.7109375" style="2" customWidth="1"/>
    <col min="32" max="33" width="8.7109375" style="2" hidden="1" customWidth="1"/>
    <col min="34" max="35" width="8.7109375" style="2" customWidth="1"/>
    <col min="36" max="36" width="3.7109375" style="2" customWidth="1"/>
    <col min="37" max="39" width="8.7109375" style="2" customWidth="1"/>
    <col min="40" max="41" width="8.7109375" style="2" hidden="1" customWidth="1"/>
    <col min="42" max="43" width="8.7109375" style="2" customWidth="1"/>
    <col min="44" max="44" width="3.7109375" style="2" customWidth="1"/>
    <col min="45" max="47" width="8.7109375" style="2" customWidth="1"/>
    <col min="48" max="49" width="8.7109375" style="2" hidden="1" customWidth="1"/>
    <col min="50" max="51" width="8.7109375" style="2" customWidth="1"/>
    <col min="52" max="52" width="3.7109375" style="2" customWidth="1"/>
    <col min="53" max="55" width="8.7109375" style="2" customWidth="1"/>
    <col min="56" max="57" width="8.7109375" style="2" hidden="1" customWidth="1"/>
    <col min="58" max="59" width="8.7109375" style="2" customWidth="1"/>
    <col min="60" max="60" width="3.7109375" style="2" customWidth="1"/>
    <col min="61" max="63" width="8.7109375" style="2" customWidth="1"/>
    <col min="64" max="65" width="8.7109375" style="2" hidden="1" customWidth="1"/>
    <col min="66" max="67" width="8.7109375" style="2" customWidth="1"/>
    <col min="68" max="68" width="3.7109375" style="2" customWidth="1"/>
    <col min="69" max="70" width="8.7109375" style="2" customWidth="1"/>
    <col min="71" max="73" width="8.7109375" style="2" hidden="1" customWidth="1"/>
    <col min="74" max="79" width="8.7109375" style="2" customWidth="1"/>
    <col min="80" max="80" width="8.7109375" style="2" hidden="1" customWidth="1"/>
    <col min="81" max="81" width="8.7109375" style="2" customWidth="1"/>
    <col min="82" max="82" width="8.7109375" style="2" hidden="1" customWidth="1"/>
    <col min="83" max="84" width="1.140625" style="2" hidden="1" customWidth="1"/>
    <col min="85" max="86" width="8.7109375" style="2" customWidth="1"/>
    <col min="87" max="87" width="3.7109375" style="2" customWidth="1"/>
    <col min="88" max="91" width="8.7109375" style="2" customWidth="1"/>
    <col min="92" max="92" width="3.7109375" style="2" customWidth="1"/>
    <col min="93" max="94" width="8.7109375" style="2" customWidth="1"/>
    <col min="95" max="95" width="8.7109375" style="2" hidden="1" customWidth="1"/>
    <col min="96" max="96" width="8.7109375" style="2" customWidth="1"/>
    <col min="97" max="97" width="8.7109375" style="2" hidden="1" customWidth="1"/>
    <col min="98" max="99" width="1.140625" style="2" hidden="1" customWidth="1"/>
    <col min="100" max="101" width="8.7109375" style="2" customWidth="1"/>
    <col min="102" max="102" width="3.7109375" style="2" customWidth="1"/>
    <col min="103" max="106" width="8.7109375" style="2" customWidth="1"/>
    <col min="107" max="107" width="3.7109375" style="2" customWidth="1"/>
    <col min="108" max="109" width="8.7109375" style="2" customWidth="1"/>
    <col min="110" max="112" width="8.7109375" style="2" hidden="1" customWidth="1"/>
    <col min="113" max="118" width="8.7109375" style="2" customWidth="1"/>
    <col min="119" max="119" width="59" style="2" customWidth="1"/>
    <col min="120" max="120" width="8.7109375" style="2" customWidth="1"/>
    <col min="121" max="121" width="41.28515625" style="2" customWidth="1"/>
    <col min="122" max="126" width="8.7109375" style="2" customWidth="1"/>
    <col min="127" max="150" width="8.7109375" style="460" customWidth="1"/>
    <col min="151" max="152" width="8.7109375" style="2" customWidth="1"/>
    <col min="153" max="153" width="3.7109375" style="2" customWidth="1"/>
    <col min="154" max="164" width="8.7109375" style="2" customWidth="1"/>
    <col min="165" max="284" width="9.140625" style="2"/>
    <col min="285" max="285" width="18.7109375" style="2" customWidth="1"/>
    <col min="286" max="286" width="18.140625" style="2" customWidth="1"/>
    <col min="287" max="287" width="8.7109375" style="2" customWidth="1"/>
    <col min="288" max="288" width="9.140625" style="2"/>
    <col min="289" max="289" width="9.140625" style="2" customWidth="1"/>
    <col min="290" max="290" width="27.28515625" style="2" customWidth="1"/>
    <col min="291" max="326" width="9.140625" style="2" customWidth="1"/>
    <col min="327" max="540" width="9.140625" style="2"/>
    <col min="541" max="541" width="18.7109375" style="2" customWidth="1"/>
    <col min="542" max="542" width="18.140625" style="2" customWidth="1"/>
    <col min="543" max="543" width="8.7109375" style="2" customWidth="1"/>
    <col min="544" max="544" width="9.140625" style="2"/>
    <col min="545" max="545" width="9.140625" style="2" customWidth="1"/>
    <col min="546" max="546" width="27.28515625" style="2" customWidth="1"/>
    <col min="547" max="582" width="9.140625" style="2" customWidth="1"/>
    <col min="583" max="796" width="9.140625" style="2"/>
    <col min="797" max="797" width="18.7109375" style="2" customWidth="1"/>
    <col min="798" max="798" width="18.140625" style="2" customWidth="1"/>
    <col min="799" max="799" width="8.7109375" style="2" customWidth="1"/>
    <col min="800" max="800" width="9.140625" style="2"/>
    <col min="801" max="801" width="9.140625" style="2" customWidth="1"/>
    <col min="802" max="802" width="27.28515625" style="2" customWidth="1"/>
    <col min="803" max="838" width="9.140625" style="2" customWidth="1"/>
    <col min="839" max="1052" width="9.140625" style="2"/>
    <col min="1053" max="1053" width="18.7109375" style="2" customWidth="1"/>
    <col min="1054" max="1054" width="18.140625" style="2" customWidth="1"/>
    <col min="1055" max="1055" width="8.7109375" style="2" customWidth="1"/>
    <col min="1056" max="1056" width="9.140625" style="2"/>
    <col min="1057" max="1057" width="9.140625" style="2" customWidth="1"/>
    <col min="1058" max="1058" width="27.28515625" style="2" customWidth="1"/>
    <col min="1059" max="1094" width="9.140625" style="2" customWidth="1"/>
    <col min="1095" max="1308" width="9.140625" style="2"/>
    <col min="1309" max="1309" width="18.7109375" style="2" customWidth="1"/>
    <col min="1310" max="1310" width="18.140625" style="2" customWidth="1"/>
    <col min="1311" max="1311" width="8.7109375" style="2" customWidth="1"/>
    <col min="1312" max="1312" width="9.140625" style="2"/>
    <col min="1313" max="1313" width="9.140625" style="2" customWidth="1"/>
    <col min="1314" max="1314" width="27.28515625" style="2" customWidth="1"/>
    <col min="1315" max="1350" width="9.140625" style="2" customWidth="1"/>
    <col min="1351" max="1564" width="9.140625" style="2"/>
    <col min="1565" max="1565" width="18.7109375" style="2" customWidth="1"/>
    <col min="1566" max="1566" width="18.140625" style="2" customWidth="1"/>
    <col min="1567" max="1567" width="8.7109375" style="2" customWidth="1"/>
    <col min="1568" max="1568" width="9.140625" style="2"/>
    <col min="1569" max="1569" width="9.140625" style="2" customWidth="1"/>
    <col min="1570" max="1570" width="27.28515625" style="2" customWidth="1"/>
    <col min="1571" max="1606" width="9.140625" style="2" customWidth="1"/>
    <col min="1607" max="1820" width="9.140625" style="2"/>
    <col min="1821" max="1821" width="18.7109375" style="2" customWidth="1"/>
    <col min="1822" max="1822" width="18.140625" style="2" customWidth="1"/>
    <col min="1823" max="1823" width="8.7109375" style="2" customWidth="1"/>
    <col min="1824" max="1824" width="9.140625" style="2"/>
    <col min="1825" max="1825" width="9.140625" style="2" customWidth="1"/>
    <col min="1826" max="1826" width="27.28515625" style="2" customWidth="1"/>
    <col min="1827" max="1862" width="9.140625" style="2" customWidth="1"/>
    <col min="1863" max="2076" width="9.140625" style="2"/>
    <col min="2077" max="2077" width="18.7109375" style="2" customWidth="1"/>
    <col min="2078" max="2078" width="18.140625" style="2" customWidth="1"/>
    <col min="2079" max="2079" width="8.7109375" style="2" customWidth="1"/>
    <col min="2080" max="2080" width="9.140625" style="2"/>
    <col min="2081" max="2081" width="9.140625" style="2" customWidth="1"/>
    <col min="2082" max="2082" width="27.28515625" style="2" customWidth="1"/>
    <col min="2083" max="2118" width="9.140625" style="2" customWidth="1"/>
    <col min="2119" max="2332" width="9.140625" style="2"/>
    <col min="2333" max="2333" width="18.7109375" style="2" customWidth="1"/>
    <col min="2334" max="2334" width="18.140625" style="2" customWidth="1"/>
    <col min="2335" max="2335" width="8.7109375" style="2" customWidth="1"/>
    <col min="2336" max="2336" width="9.140625" style="2"/>
    <col min="2337" max="2337" width="9.140625" style="2" customWidth="1"/>
    <col min="2338" max="2338" width="27.28515625" style="2" customWidth="1"/>
    <col min="2339" max="2374" width="9.140625" style="2" customWidth="1"/>
    <col min="2375" max="2588" width="9.140625" style="2"/>
    <col min="2589" max="2589" width="18.7109375" style="2" customWidth="1"/>
    <col min="2590" max="2590" width="18.140625" style="2" customWidth="1"/>
    <col min="2591" max="2591" width="8.7109375" style="2" customWidth="1"/>
    <col min="2592" max="2592" width="9.140625" style="2"/>
    <col min="2593" max="2593" width="9.140625" style="2" customWidth="1"/>
    <col min="2594" max="2594" width="27.28515625" style="2" customWidth="1"/>
    <col min="2595" max="2630" width="9.140625" style="2" customWidth="1"/>
    <col min="2631" max="2844" width="9.140625" style="2"/>
    <col min="2845" max="2845" width="18.7109375" style="2" customWidth="1"/>
    <col min="2846" max="2846" width="18.140625" style="2" customWidth="1"/>
    <col min="2847" max="2847" width="8.7109375" style="2" customWidth="1"/>
    <col min="2848" max="2848" width="9.140625" style="2"/>
    <col min="2849" max="2849" width="9.140625" style="2" customWidth="1"/>
    <col min="2850" max="2850" width="27.28515625" style="2" customWidth="1"/>
    <col min="2851" max="2886" width="9.140625" style="2" customWidth="1"/>
    <col min="2887" max="3100" width="9.140625" style="2"/>
    <col min="3101" max="3101" width="18.7109375" style="2" customWidth="1"/>
    <col min="3102" max="3102" width="18.140625" style="2" customWidth="1"/>
    <col min="3103" max="3103" width="8.7109375" style="2" customWidth="1"/>
    <col min="3104" max="3104" width="9.140625" style="2"/>
    <col min="3105" max="3105" width="9.140625" style="2" customWidth="1"/>
    <col min="3106" max="3106" width="27.28515625" style="2" customWidth="1"/>
    <col min="3107" max="3142" width="9.140625" style="2" customWidth="1"/>
    <col min="3143" max="3356" width="9.140625" style="2"/>
    <col min="3357" max="3357" width="18.7109375" style="2" customWidth="1"/>
    <col min="3358" max="3358" width="18.140625" style="2" customWidth="1"/>
    <col min="3359" max="3359" width="8.7109375" style="2" customWidth="1"/>
    <col min="3360" max="3360" width="9.140625" style="2"/>
    <col min="3361" max="3361" width="9.140625" style="2" customWidth="1"/>
    <col min="3362" max="3362" width="27.28515625" style="2" customWidth="1"/>
    <col min="3363" max="3398" width="9.140625" style="2" customWidth="1"/>
    <col min="3399" max="3612" width="9.140625" style="2"/>
    <col min="3613" max="3613" width="18.7109375" style="2" customWidth="1"/>
    <col min="3614" max="3614" width="18.140625" style="2" customWidth="1"/>
    <col min="3615" max="3615" width="8.7109375" style="2" customWidth="1"/>
    <col min="3616" max="3616" width="9.140625" style="2"/>
    <col min="3617" max="3617" width="9.140625" style="2" customWidth="1"/>
    <col min="3618" max="3618" width="27.28515625" style="2" customWidth="1"/>
    <col min="3619" max="3654" width="9.140625" style="2" customWidth="1"/>
    <col min="3655" max="3868" width="9.140625" style="2"/>
    <col min="3869" max="3869" width="18.7109375" style="2" customWidth="1"/>
    <col min="3870" max="3870" width="18.140625" style="2" customWidth="1"/>
    <col min="3871" max="3871" width="8.7109375" style="2" customWidth="1"/>
    <col min="3872" max="3872" width="9.140625" style="2"/>
    <col min="3873" max="3873" width="9.140625" style="2" customWidth="1"/>
    <col min="3874" max="3874" width="27.28515625" style="2" customWidth="1"/>
    <col min="3875" max="3910" width="9.140625" style="2" customWidth="1"/>
    <col min="3911" max="4124" width="9.140625" style="2"/>
    <col min="4125" max="4125" width="18.7109375" style="2" customWidth="1"/>
    <col min="4126" max="4126" width="18.140625" style="2" customWidth="1"/>
    <col min="4127" max="4127" width="8.7109375" style="2" customWidth="1"/>
    <col min="4128" max="4128" width="9.140625" style="2"/>
    <col min="4129" max="4129" width="9.140625" style="2" customWidth="1"/>
    <col min="4130" max="4130" width="27.28515625" style="2" customWidth="1"/>
    <col min="4131" max="4166" width="9.140625" style="2" customWidth="1"/>
    <col min="4167" max="4380" width="9.140625" style="2"/>
    <col min="4381" max="4381" width="18.7109375" style="2" customWidth="1"/>
    <col min="4382" max="4382" width="18.140625" style="2" customWidth="1"/>
    <col min="4383" max="4383" width="8.7109375" style="2" customWidth="1"/>
    <col min="4384" max="4384" width="9.140625" style="2"/>
    <col min="4385" max="4385" width="9.140625" style="2" customWidth="1"/>
    <col min="4386" max="4386" width="27.28515625" style="2" customWidth="1"/>
    <col min="4387" max="4422" width="9.140625" style="2" customWidth="1"/>
    <col min="4423" max="4636" width="9.140625" style="2"/>
    <col min="4637" max="4637" width="18.7109375" style="2" customWidth="1"/>
    <col min="4638" max="4638" width="18.140625" style="2" customWidth="1"/>
    <col min="4639" max="4639" width="8.7109375" style="2" customWidth="1"/>
    <col min="4640" max="4640" width="9.140625" style="2"/>
    <col min="4641" max="4641" width="9.140625" style="2" customWidth="1"/>
    <col min="4642" max="4642" width="27.28515625" style="2" customWidth="1"/>
    <col min="4643" max="4678" width="9.140625" style="2" customWidth="1"/>
    <col min="4679" max="4892" width="9.140625" style="2"/>
    <col min="4893" max="4893" width="18.7109375" style="2" customWidth="1"/>
    <col min="4894" max="4894" width="18.140625" style="2" customWidth="1"/>
    <col min="4895" max="4895" width="8.7109375" style="2" customWidth="1"/>
    <col min="4896" max="4896" width="9.140625" style="2"/>
    <col min="4897" max="4897" width="9.140625" style="2" customWidth="1"/>
    <col min="4898" max="4898" width="27.28515625" style="2" customWidth="1"/>
    <col min="4899" max="4934" width="9.140625" style="2" customWidth="1"/>
    <col min="4935" max="5148" width="9.140625" style="2"/>
    <col min="5149" max="5149" width="18.7109375" style="2" customWidth="1"/>
    <col min="5150" max="5150" width="18.140625" style="2" customWidth="1"/>
    <col min="5151" max="5151" width="8.7109375" style="2" customWidth="1"/>
    <col min="5152" max="5152" width="9.140625" style="2"/>
    <col min="5153" max="5153" width="9.140625" style="2" customWidth="1"/>
    <col min="5154" max="5154" width="27.28515625" style="2" customWidth="1"/>
    <col min="5155" max="5190" width="9.140625" style="2" customWidth="1"/>
    <col min="5191" max="5404" width="9.140625" style="2"/>
    <col min="5405" max="5405" width="18.7109375" style="2" customWidth="1"/>
    <col min="5406" max="5406" width="18.140625" style="2" customWidth="1"/>
    <col min="5407" max="5407" width="8.7109375" style="2" customWidth="1"/>
    <col min="5408" max="5408" width="9.140625" style="2"/>
    <col min="5409" max="5409" width="9.140625" style="2" customWidth="1"/>
    <col min="5410" max="5410" width="27.28515625" style="2" customWidth="1"/>
    <col min="5411" max="5446" width="9.140625" style="2" customWidth="1"/>
    <col min="5447" max="5660" width="9.140625" style="2"/>
    <col min="5661" max="5661" width="18.7109375" style="2" customWidth="1"/>
    <col min="5662" max="5662" width="18.140625" style="2" customWidth="1"/>
    <col min="5663" max="5663" width="8.7109375" style="2" customWidth="1"/>
    <col min="5664" max="5664" width="9.140625" style="2"/>
    <col min="5665" max="5665" width="9.140625" style="2" customWidth="1"/>
    <col min="5666" max="5666" width="27.28515625" style="2" customWidth="1"/>
    <col min="5667" max="5702" width="9.140625" style="2" customWidth="1"/>
    <col min="5703" max="5916" width="9.140625" style="2"/>
    <col min="5917" max="5917" width="18.7109375" style="2" customWidth="1"/>
    <col min="5918" max="5918" width="18.140625" style="2" customWidth="1"/>
    <col min="5919" max="5919" width="8.7109375" style="2" customWidth="1"/>
    <col min="5920" max="5920" width="9.140625" style="2"/>
    <col min="5921" max="5921" width="9.140625" style="2" customWidth="1"/>
    <col min="5922" max="5922" width="27.28515625" style="2" customWidth="1"/>
    <col min="5923" max="5958" width="9.140625" style="2" customWidth="1"/>
    <col min="5959" max="6172" width="9.140625" style="2"/>
    <col min="6173" max="6173" width="18.7109375" style="2" customWidth="1"/>
    <col min="6174" max="6174" width="18.140625" style="2" customWidth="1"/>
    <col min="6175" max="6175" width="8.7109375" style="2" customWidth="1"/>
    <col min="6176" max="6176" width="9.140625" style="2"/>
    <col min="6177" max="6177" width="9.140625" style="2" customWidth="1"/>
    <col min="6178" max="6178" width="27.28515625" style="2" customWidth="1"/>
    <col min="6179" max="6214" width="9.140625" style="2" customWidth="1"/>
    <col min="6215" max="6428" width="9.140625" style="2"/>
    <col min="6429" max="6429" width="18.7109375" style="2" customWidth="1"/>
    <col min="6430" max="6430" width="18.140625" style="2" customWidth="1"/>
    <col min="6431" max="6431" width="8.7109375" style="2" customWidth="1"/>
    <col min="6432" max="6432" width="9.140625" style="2"/>
    <col min="6433" max="6433" width="9.140625" style="2" customWidth="1"/>
    <col min="6434" max="6434" width="27.28515625" style="2" customWidth="1"/>
    <col min="6435" max="6470" width="9.140625" style="2" customWidth="1"/>
    <col min="6471" max="6684" width="9.140625" style="2"/>
    <col min="6685" max="6685" width="18.7109375" style="2" customWidth="1"/>
    <col min="6686" max="6686" width="18.140625" style="2" customWidth="1"/>
    <col min="6687" max="6687" width="8.7109375" style="2" customWidth="1"/>
    <col min="6688" max="6688" width="9.140625" style="2"/>
    <col min="6689" max="6689" width="9.140625" style="2" customWidth="1"/>
    <col min="6690" max="6690" width="27.28515625" style="2" customWidth="1"/>
    <col min="6691" max="6726" width="9.140625" style="2" customWidth="1"/>
    <col min="6727" max="6940" width="9.140625" style="2"/>
    <col min="6941" max="6941" width="18.7109375" style="2" customWidth="1"/>
    <col min="6942" max="6942" width="18.140625" style="2" customWidth="1"/>
    <col min="6943" max="6943" width="8.7109375" style="2" customWidth="1"/>
    <col min="6944" max="6944" width="9.140625" style="2"/>
    <col min="6945" max="6945" width="9.140625" style="2" customWidth="1"/>
    <col min="6946" max="6946" width="27.28515625" style="2" customWidth="1"/>
    <col min="6947" max="6982" width="9.140625" style="2" customWidth="1"/>
    <col min="6983" max="7196" width="9.140625" style="2"/>
    <col min="7197" max="7197" width="18.7109375" style="2" customWidth="1"/>
    <col min="7198" max="7198" width="18.140625" style="2" customWidth="1"/>
    <col min="7199" max="7199" width="8.7109375" style="2" customWidth="1"/>
    <col min="7200" max="7200" width="9.140625" style="2"/>
    <col min="7201" max="7201" width="9.140625" style="2" customWidth="1"/>
    <col min="7202" max="7202" width="27.28515625" style="2" customWidth="1"/>
    <col min="7203" max="7238" width="9.140625" style="2" customWidth="1"/>
    <col min="7239" max="7452" width="9.140625" style="2"/>
    <col min="7453" max="7453" width="18.7109375" style="2" customWidth="1"/>
    <col min="7454" max="7454" width="18.140625" style="2" customWidth="1"/>
    <col min="7455" max="7455" width="8.7109375" style="2" customWidth="1"/>
    <col min="7456" max="7456" width="9.140625" style="2"/>
    <col min="7457" max="7457" width="9.140625" style="2" customWidth="1"/>
    <col min="7458" max="7458" width="27.28515625" style="2" customWidth="1"/>
    <col min="7459" max="7494" width="9.140625" style="2" customWidth="1"/>
    <col min="7495" max="7708" width="9.140625" style="2"/>
    <col min="7709" max="7709" width="18.7109375" style="2" customWidth="1"/>
    <col min="7710" max="7710" width="18.140625" style="2" customWidth="1"/>
    <col min="7711" max="7711" width="8.7109375" style="2" customWidth="1"/>
    <col min="7712" max="7712" width="9.140625" style="2"/>
    <col min="7713" max="7713" width="9.140625" style="2" customWidth="1"/>
    <col min="7714" max="7714" width="27.28515625" style="2" customWidth="1"/>
    <col min="7715" max="7750" width="9.140625" style="2" customWidth="1"/>
    <col min="7751" max="7964" width="9.140625" style="2"/>
    <col min="7965" max="7965" width="18.7109375" style="2" customWidth="1"/>
    <col min="7966" max="7966" width="18.140625" style="2" customWidth="1"/>
    <col min="7967" max="7967" width="8.7109375" style="2" customWidth="1"/>
    <col min="7968" max="7968" width="9.140625" style="2"/>
    <col min="7969" max="7969" width="9.140625" style="2" customWidth="1"/>
    <col min="7970" max="7970" width="27.28515625" style="2" customWidth="1"/>
    <col min="7971" max="8006" width="9.140625" style="2" customWidth="1"/>
    <col min="8007" max="8220" width="9.140625" style="2"/>
    <col min="8221" max="8221" width="18.7109375" style="2" customWidth="1"/>
    <col min="8222" max="8222" width="18.140625" style="2" customWidth="1"/>
    <col min="8223" max="8223" width="8.7109375" style="2" customWidth="1"/>
    <col min="8224" max="8224" width="9.140625" style="2"/>
    <col min="8225" max="8225" width="9.140625" style="2" customWidth="1"/>
    <col min="8226" max="8226" width="27.28515625" style="2" customWidth="1"/>
    <col min="8227" max="8262" width="9.140625" style="2" customWidth="1"/>
    <col min="8263" max="8476" width="9.140625" style="2"/>
    <col min="8477" max="8477" width="18.7109375" style="2" customWidth="1"/>
    <col min="8478" max="8478" width="18.140625" style="2" customWidth="1"/>
    <col min="8479" max="8479" width="8.7109375" style="2" customWidth="1"/>
    <col min="8480" max="8480" width="9.140625" style="2"/>
    <col min="8481" max="8481" width="9.140625" style="2" customWidth="1"/>
    <col min="8482" max="8482" width="27.28515625" style="2" customWidth="1"/>
    <col min="8483" max="8518" width="9.140625" style="2" customWidth="1"/>
    <col min="8519" max="8732" width="9.140625" style="2"/>
    <col min="8733" max="8733" width="18.7109375" style="2" customWidth="1"/>
    <col min="8734" max="8734" width="18.140625" style="2" customWidth="1"/>
    <col min="8735" max="8735" width="8.7109375" style="2" customWidth="1"/>
    <col min="8736" max="8736" width="9.140625" style="2"/>
    <col min="8737" max="8737" width="9.140625" style="2" customWidth="1"/>
    <col min="8738" max="8738" width="27.28515625" style="2" customWidth="1"/>
    <col min="8739" max="8774" width="9.140625" style="2" customWidth="1"/>
    <col min="8775" max="8988" width="9.140625" style="2"/>
    <col min="8989" max="8989" width="18.7109375" style="2" customWidth="1"/>
    <col min="8990" max="8990" width="18.140625" style="2" customWidth="1"/>
    <col min="8991" max="8991" width="8.7109375" style="2" customWidth="1"/>
    <col min="8992" max="8992" width="9.140625" style="2"/>
    <col min="8993" max="8993" width="9.140625" style="2" customWidth="1"/>
    <col min="8994" max="8994" width="27.28515625" style="2" customWidth="1"/>
    <col min="8995" max="9030" width="9.140625" style="2" customWidth="1"/>
    <col min="9031" max="9244" width="9.140625" style="2"/>
    <col min="9245" max="9245" width="18.7109375" style="2" customWidth="1"/>
    <col min="9246" max="9246" width="18.140625" style="2" customWidth="1"/>
    <col min="9247" max="9247" width="8.7109375" style="2" customWidth="1"/>
    <col min="9248" max="9248" width="9.140625" style="2"/>
    <col min="9249" max="9249" width="9.140625" style="2" customWidth="1"/>
    <col min="9250" max="9250" width="27.28515625" style="2" customWidth="1"/>
    <col min="9251" max="9286" width="9.140625" style="2" customWidth="1"/>
    <col min="9287" max="9500" width="9.140625" style="2"/>
    <col min="9501" max="9501" width="18.7109375" style="2" customWidth="1"/>
    <col min="9502" max="9502" width="18.140625" style="2" customWidth="1"/>
    <col min="9503" max="9503" width="8.7109375" style="2" customWidth="1"/>
    <col min="9504" max="9504" width="9.140625" style="2"/>
    <col min="9505" max="9505" width="9.140625" style="2" customWidth="1"/>
    <col min="9506" max="9506" width="27.28515625" style="2" customWidth="1"/>
    <col min="9507" max="9542" width="9.140625" style="2" customWidth="1"/>
    <col min="9543" max="9756" width="9.140625" style="2"/>
    <col min="9757" max="9757" width="18.7109375" style="2" customWidth="1"/>
    <col min="9758" max="9758" width="18.140625" style="2" customWidth="1"/>
    <col min="9759" max="9759" width="8.7109375" style="2" customWidth="1"/>
    <col min="9760" max="9760" width="9.140625" style="2"/>
    <col min="9761" max="9761" width="9.140625" style="2" customWidth="1"/>
    <col min="9762" max="9762" width="27.28515625" style="2" customWidth="1"/>
    <col min="9763" max="9798" width="9.140625" style="2" customWidth="1"/>
    <col min="9799" max="10012" width="9.140625" style="2"/>
    <col min="10013" max="10013" width="18.7109375" style="2" customWidth="1"/>
    <col min="10014" max="10014" width="18.140625" style="2" customWidth="1"/>
    <col min="10015" max="10015" width="8.7109375" style="2" customWidth="1"/>
    <col min="10016" max="10016" width="9.140625" style="2"/>
    <col min="10017" max="10017" width="9.140625" style="2" customWidth="1"/>
    <col min="10018" max="10018" width="27.28515625" style="2" customWidth="1"/>
    <col min="10019" max="10054" width="9.140625" style="2" customWidth="1"/>
    <col min="10055" max="10268" width="9.140625" style="2"/>
    <col min="10269" max="10269" width="18.7109375" style="2" customWidth="1"/>
    <col min="10270" max="10270" width="18.140625" style="2" customWidth="1"/>
    <col min="10271" max="10271" width="8.7109375" style="2" customWidth="1"/>
    <col min="10272" max="10272" width="9.140625" style="2"/>
    <col min="10273" max="10273" width="9.140625" style="2" customWidth="1"/>
    <col min="10274" max="10274" width="27.28515625" style="2" customWidth="1"/>
    <col min="10275" max="10310" width="9.140625" style="2" customWidth="1"/>
    <col min="10311" max="10524" width="9.140625" style="2"/>
    <col min="10525" max="10525" width="18.7109375" style="2" customWidth="1"/>
    <col min="10526" max="10526" width="18.140625" style="2" customWidth="1"/>
    <col min="10527" max="10527" width="8.7109375" style="2" customWidth="1"/>
    <col min="10528" max="10528" width="9.140625" style="2"/>
    <col min="10529" max="10529" width="9.140625" style="2" customWidth="1"/>
    <col min="10530" max="10530" width="27.28515625" style="2" customWidth="1"/>
    <col min="10531" max="10566" width="9.140625" style="2" customWidth="1"/>
    <col min="10567" max="10780" width="9.140625" style="2"/>
    <col min="10781" max="10781" width="18.7109375" style="2" customWidth="1"/>
    <col min="10782" max="10782" width="18.140625" style="2" customWidth="1"/>
    <col min="10783" max="10783" width="8.7109375" style="2" customWidth="1"/>
    <col min="10784" max="10784" width="9.140625" style="2"/>
    <col min="10785" max="10785" width="9.140625" style="2" customWidth="1"/>
    <col min="10786" max="10786" width="27.28515625" style="2" customWidth="1"/>
    <col min="10787" max="10822" width="9.140625" style="2" customWidth="1"/>
    <col min="10823" max="11036" width="9.140625" style="2"/>
    <col min="11037" max="11037" width="18.7109375" style="2" customWidth="1"/>
    <col min="11038" max="11038" width="18.140625" style="2" customWidth="1"/>
    <col min="11039" max="11039" width="8.7109375" style="2" customWidth="1"/>
    <col min="11040" max="11040" width="9.140625" style="2"/>
    <col min="11041" max="11041" width="9.140625" style="2" customWidth="1"/>
    <col min="11042" max="11042" width="27.28515625" style="2" customWidth="1"/>
    <col min="11043" max="11078" width="9.140625" style="2" customWidth="1"/>
    <col min="11079" max="11292" width="9.140625" style="2"/>
    <col min="11293" max="11293" width="18.7109375" style="2" customWidth="1"/>
    <col min="11294" max="11294" width="18.140625" style="2" customWidth="1"/>
    <col min="11295" max="11295" width="8.7109375" style="2" customWidth="1"/>
    <col min="11296" max="11296" width="9.140625" style="2"/>
    <col min="11297" max="11297" width="9.140625" style="2" customWidth="1"/>
    <col min="11298" max="11298" width="27.28515625" style="2" customWidth="1"/>
    <col min="11299" max="11334" width="9.140625" style="2" customWidth="1"/>
    <col min="11335" max="11548" width="9.140625" style="2"/>
    <col min="11549" max="11549" width="18.7109375" style="2" customWidth="1"/>
    <col min="11550" max="11550" width="18.140625" style="2" customWidth="1"/>
    <col min="11551" max="11551" width="8.7109375" style="2" customWidth="1"/>
    <col min="11552" max="11552" width="9.140625" style="2"/>
    <col min="11553" max="11553" width="9.140625" style="2" customWidth="1"/>
    <col min="11554" max="11554" width="27.28515625" style="2" customWidth="1"/>
    <col min="11555" max="11590" width="9.140625" style="2" customWidth="1"/>
    <col min="11591" max="11804" width="9.140625" style="2"/>
    <col min="11805" max="11805" width="18.7109375" style="2" customWidth="1"/>
    <col min="11806" max="11806" width="18.140625" style="2" customWidth="1"/>
    <col min="11807" max="11807" width="8.7109375" style="2" customWidth="1"/>
    <col min="11808" max="11808" width="9.140625" style="2"/>
    <col min="11809" max="11809" width="9.140625" style="2" customWidth="1"/>
    <col min="11810" max="11810" width="27.28515625" style="2" customWidth="1"/>
    <col min="11811" max="11846" width="9.140625" style="2" customWidth="1"/>
    <col min="11847" max="12060" width="9.140625" style="2"/>
    <col min="12061" max="12061" width="18.7109375" style="2" customWidth="1"/>
    <col min="12062" max="12062" width="18.140625" style="2" customWidth="1"/>
    <col min="12063" max="12063" width="8.7109375" style="2" customWidth="1"/>
    <col min="12064" max="12064" width="9.140625" style="2"/>
    <col min="12065" max="12065" width="9.140625" style="2" customWidth="1"/>
    <col min="12066" max="12066" width="27.28515625" style="2" customWidth="1"/>
    <col min="12067" max="12102" width="9.140625" style="2" customWidth="1"/>
    <col min="12103" max="12316" width="9.140625" style="2"/>
    <col min="12317" max="12317" width="18.7109375" style="2" customWidth="1"/>
    <col min="12318" max="12318" width="18.140625" style="2" customWidth="1"/>
    <col min="12319" max="12319" width="8.7109375" style="2" customWidth="1"/>
    <col min="12320" max="12320" width="9.140625" style="2"/>
    <col min="12321" max="12321" width="9.140625" style="2" customWidth="1"/>
    <col min="12322" max="12322" width="27.28515625" style="2" customWidth="1"/>
    <col min="12323" max="12358" width="9.140625" style="2" customWidth="1"/>
    <col min="12359" max="12572" width="9.140625" style="2"/>
    <col min="12573" max="12573" width="18.7109375" style="2" customWidth="1"/>
    <col min="12574" max="12574" width="18.140625" style="2" customWidth="1"/>
    <col min="12575" max="12575" width="8.7109375" style="2" customWidth="1"/>
    <col min="12576" max="12576" width="9.140625" style="2"/>
    <col min="12577" max="12577" width="9.140625" style="2" customWidth="1"/>
    <col min="12578" max="12578" width="27.28515625" style="2" customWidth="1"/>
    <col min="12579" max="12614" width="9.140625" style="2" customWidth="1"/>
    <col min="12615" max="12828" width="9.140625" style="2"/>
    <col min="12829" max="12829" width="18.7109375" style="2" customWidth="1"/>
    <col min="12830" max="12830" width="18.140625" style="2" customWidth="1"/>
    <col min="12831" max="12831" width="8.7109375" style="2" customWidth="1"/>
    <col min="12832" max="12832" width="9.140625" style="2"/>
    <col min="12833" max="12833" width="9.140625" style="2" customWidth="1"/>
    <col min="12834" max="12834" width="27.28515625" style="2" customWidth="1"/>
    <col min="12835" max="12870" width="9.140625" style="2" customWidth="1"/>
    <col min="12871" max="13084" width="9.140625" style="2"/>
    <col min="13085" max="13085" width="18.7109375" style="2" customWidth="1"/>
    <col min="13086" max="13086" width="18.140625" style="2" customWidth="1"/>
    <col min="13087" max="13087" width="8.7109375" style="2" customWidth="1"/>
    <col min="13088" max="13088" width="9.140625" style="2"/>
    <col min="13089" max="13089" width="9.140625" style="2" customWidth="1"/>
    <col min="13090" max="13090" width="27.28515625" style="2" customWidth="1"/>
    <col min="13091" max="13126" width="9.140625" style="2" customWidth="1"/>
    <col min="13127" max="13340" width="9.140625" style="2"/>
    <col min="13341" max="13341" width="18.7109375" style="2" customWidth="1"/>
    <col min="13342" max="13342" width="18.140625" style="2" customWidth="1"/>
    <col min="13343" max="13343" width="8.7109375" style="2" customWidth="1"/>
    <col min="13344" max="13344" width="9.140625" style="2"/>
    <col min="13345" max="13345" width="9.140625" style="2" customWidth="1"/>
    <col min="13346" max="13346" width="27.28515625" style="2" customWidth="1"/>
    <col min="13347" max="13382" width="9.140625" style="2" customWidth="1"/>
    <col min="13383" max="13596" width="9.140625" style="2"/>
    <col min="13597" max="13597" width="18.7109375" style="2" customWidth="1"/>
    <col min="13598" max="13598" width="18.140625" style="2" customWidth="1"/>
    <col min="13599" max="13599" width="8.7109375" style="2" customWidth="1"/>
    <col min="13600" max="13600" width="9.140625" style="2"/>
    <col min="13601" max="13601" width="9.140625" style="2" customWidth="1"/>
    <col min="13602" max="13602" width="27.28515625" style="2" customWidth="1"/>
    <col min="13603" max="13638" width="9.140625" style="2" customWidth="1"/>
    <col min="13639" max="13852" width="9.140625" style="2"/>
    <col min="13853" max="13853" width="18.7109375" style="2" customWidth="1"/>
    <col min="13854" max="13854" width="18.140625" style="2" customWidth="1"/>
    <col min="13855" max="13855" width="8.7109375" style="2" customWidth="1"/>
    <col min="13856" max="13856" width="9.140625" style="2"/>
    <col min="13857" max="13857" width="9.140625" style="2" customWidth="1"/>
    <col min="13858" max="13858" width="27.28515625" style="2" customWidth="1"/>
    <col min="13859" max="13894" width="9.140625" style="2" customWidth="1"/>
    <col min="13895" max="14108" width="9.140625" style="2"/>
    <col min="14109" max="14109" width="18.7109375" style="2" customWidth="1"/>
    <col min="14110" max="14110" width="18.140625" style="2" customWidth="1"/>
    <col min="14111" max="14111" width="8.7109375" style="2" customWidth="1"/>
    <col min="14112" max="14112" width="9.140625" style="2"/>
    <col min="14113" max="14113" width="9.140625" style="2" customWidth="1"/>
    <col min="14114" max="14114" width="27.28515625" style="2" customWidth="1"/>
    <col min="14115" max="14150" width="9.140625" style="2" customWidth="1"/>
    <col min="14151" max="14364" width="9.140625" style="2"/>
    <col min="14365" max="14365" width="18.7109375" style="2" customWidth="1"/>
    <col min="14366" max="14366" width="18.140625" style="2" customWidth="1"/>
    <col min="14367" max="14367" width="8.7109375" style="2" customWidth="1"/>
    <col min="14368" max="14368" width="9.140625" style="2"/>
    <col min="14369" max="14369" width="9.140625" style="2" customWidth="1"/>
    <col min="14370" max="14370" width="27.28515625" style="2" customWidth="1"/>
    <col min="14371" max="14406" width="9.140625" style="2" customWidth="1"/>
    <col min="14407" max="14620" width="9.140625" style="2"/>
    <col min="14621" max="14621" width="18.7109375" style="2" customWidth="1"/>
    <col min="14622" max="14622" width="18.140625" style="2" customWidth="1"/>
    <col min="14623" max="14623" width="8.7109375" style="2" customWidth="1"/>
    <col min="14624" max="14624" width="9.140625" style="2"/>
    <col min="14625" max="14625" width="9.140625" style="2" customWidth="1"/>
    <col min="14626" max="14626" width="27.28515625" style="2" customWidth="1"/>
    <col min="14627" max="14662" width="9.140625" style="2" customWidth="1"/>
    <col min="14663" max="14876" width="9.140625" style="2"/>
    <col min="14877" max="14877" width="18.7109375" style="2" customWidth="1"/>
    <col min="14878" max="14878" width="18.140625" style="2" customWidth="1"/>
    <col min="14879" max="14879" width="8.7109375" style="2" customWidth="1"/>
    <col min="14880" max="14880" width="9.140625" style="2"/>
    <col min="14881" max="14881" width="9.140625" style="2" customWidth="1"/>
    <col min="14882" max="14882" width="27.28515625" style="2" customWidth="1"/>
    <col min="14883" max="14918" width="9.140625" style="2" customWidth="1"/>
    <col min="14919" max="15132" width="9.140625" style="2"/>
    <col min="15133" max="15133" width="18.7109375" style="2" customWidth="1"/>
    <col min="15134" max="15134" width="18.140625" style="2" customWidth="1"/>
    <col min="15135" max="15135" width="8.7109375" style="2" customWidth="1"/>
    <col min="15136" max="15136" width="9.140625" style="2"/>
    <col min="15137" max="15137" width="9.140625" style="2" customWidth="1"/>
    <col min="15138" max="15138" width="27.28515625" style="2" customWidth="1"/>
    <col min="15139" max="15174" width="9.140625" style="2" customWidth="1"/>
    <col min="15175" max="15388" width="9.140625" style="2"/>
    <col min="15389" max="15389" width="18.7109375" style="2" customWidth="1"/>
    <col min="15390" max="15390" width="18.140625" style="2" customWidth="1"/>
    <col min="15391" max="15391" width="8.7109375" style="2" customWidth="1"/>
    <col min="15392" max="15392" width="9.140625" style="2"/>
    <col min="15393" max="15393" width="9.140625" style="2" customWidth="1"/>
    <col min="15394" max="15394" width="27.28515625" style="2" customWidth="1"/>
    <col min="15395" max="15430" width="9.140625" style="2" customWidth="1"/>
    <col min="15431" max="15644" width="9.140625" style="2"/>
    <col min="15645" max="15645" width="18.7109375" style="2" customWidth="1"/>
    <col min="15646" max="15646" width="18.140625" style="2" customWidth="1"/>
    <col min="15647" max="15647" width="8.7109375" style="2" customWidth="1"/>
    <col min="15648" max="15648" width="9.140625" style="2"/>
    <col min="15649" max="15649" width="9.140625" style="2" customWidth="1"/>
    <col min="15650" max="15650" width="27.28515625" style="2" customWidth="1"/>
    <col min="15651" max="15686" width="9.140625" style="2" customWidth="1"/>
    <col min="15687" max="16384" width="9.140625" style="2"/>
  </cols>
  <sheetData>
    <row r="1" spans="1:165" s="20" customFormat="1" ht="21" x14ac:dyDescent="0.25">
      <c r="A1" s="250"/>
      <c r="B1" s="220" t="s">
        <v>882</v>
      </c>
      <c r="C1" s="217"/>
      <c r="D1" s="217"/>
      <c r="E1" s="217"/>
      <c r="F1" s="217"/>
      <c r="G1" s="217"/>
      <c r="H1" s="217"/>
      <c r="I1" s="217"/>
      <c r="J1" s="217"/>
      <c r="DP1" s="218"/>
      <c r="DR1" s="218"/>
      <c r="DW1" s="460"/>
      <c r="DX1" s="460"/>
      <c r="DY1" s="460"/>
      <c r="DZ1" s="460"/>
      <c r="EA1" s="460"/>
      <c r="EB1" s="460"/>
      <c r="EC1" s="460"/>
      <c r="ED1" s="460"/>
      <c r="EE1" s="460"/>
      <c r="EF1" s="460"/>
      <c r="EG1" s="460"/>
      <c r="EH1" s="460"/>
      <c r="EI1" s="460"/>
      <c r="EJ1" s="460"/>
      <c r="EK1" s="460"/>
      <c r="EL1" s="460"/>
      <c r="EM1" s="460"/>
      <c r="EN1" s="460"/>
      <c r="EO1" s="460"/>
      <c r="EP1" s="460"/>
      <c r="EQ1" s="460"/>
      <c r="ER1" s="460"/>
      <c r="ES1" s="460"/>
      <c r="ET1" s="460"/>
    </row>
    <row r="2" spans="1:165" s="219" customFormat="1" ht="19.5" thickBot="1" x14ac:dyDescent="0.3">
      <c r="A2" s="251"/>
      <c r="B2" s="221" t="s">
        <v>453</v>
      </c>
      <c r="C2" s="128"/>
      <c r="D2" s="128"/>
      <c r="E2" s="128"/>
      <c r="F2" s="128"/>
      <c r="G2" s="128"/>
      <c r="H2" s="128"/>
      <c r="I2" s="128"/>
      <c r="J2" s="128"/>
      <c r="K2" s="45"/>
      <c r="L2" s="128"/>
      <c r="M2" s="128"/>
      <c r="N2" s="128"/>
      <c r="O2" s="128"/>
      <c r="P2" s="128"/>
      <c r="Q2" s="128"/>
      <c r="R2" s="45"/>
      <c r="S2" s="128"/>
      <c r="T2" s="128"/>
      <c r="U2" s="128"/>
      <c r="V2" s="128"/>
      <c r="W2" s="128"/>
      <c r="X2" s="128"/>
      <c r="Y2" s="128"/>
      <c r="Z2" s="45"/>
      <c r="AA2" s="128"/>
      <c r="AB2" s="128"/>
      <c r="AC2" s="128"/>
      <c r="AD2" s="128"/>
      <c r="AE2" s="128"/>
      <c r="AF2" s="128"/>
      <c r="AG2" s="128"/>
      <c r="AH2" s="45"/>
      <c r="AI2" s="128"/>
      <c r="AJ2" s="128"/>
      <c r="AK2" s="128"/>
      <c r="AL2" s="128"/>
      <c r="AM2" s="128"/>
      <c r="AN2" s="128"/>
      <c r="AO2" s="128"/>
      <c r="AP2" s="45"/>
      <c r="AQ2" s="128"/>
      <c r="AR2" s="128"/>
      <c r="AS2" s="128"/>
      <c r="AT2" s="128"/>
      <c r="AU2" s="128"/>
      <c r="AV2" s="128"/>
      <c r="AW2" s="128"/>
      <c r="AX2" s="45"/>
      <c r="AY2" s="128"/>
      <c r="AZ2" s="128"/>
      <c r="BA2" s="128"/>
      <c r="BB2" s="128"/>
      <c r="BC2" s="128"/>
      <c r="BD2" s="128"/>
      <c r="BE2" s="128"/>
      <c r="BF2" s="45"/>
      <c r="BG2" s="128"/>
      <c r="BH2" s="128"/>
      <c r="BI2" s="128"/>
      <c r="BJ2" s="128"/>
      <c r="BK2" s="128"/>
      <c r="BL2" s="128"/>
      <c r="BM2" s="128"/>
      <c r="BN2" s="45"/>
      <c r="BO2" s="128"/>
      <c r="BP2" s="128"/>
      <c r="BQ2" s="128"/>
      <c r="BR2" s="128"/>
      <c r="BS2" s="45"/>
      <c r="BT2" s="128"/>
      <c r="BU2" s="128"/>
      <c r="BV2" s="128"/>
      <c r="BW2" s="128"/>
      <c r="BX2" s="128"/>
      <c r="BY2" s="128"/>
      <c r="BZ2" s="128"/>
      <c r="CA2" s="128"/>
      <c r="CB2" s="45"/>
      <c r="CC2" s="128"/>
      <c r="CD2" s="128"/>
      <c r="CE2" s="128"/>
      <c r="CF2" s="128"/>
      <c r="CG2" s="129"/>
      <c r="CH2" s="45"/>
      <c r="CI2" s="128"/>
      <c r="CJ2" s="128"/>
      <c r="CK2" s="128"/>
      <c r="CL2" s="129"/>
      <c r="CM2" s="45"/>
      <c r="CN2" s="128"/>
      <c r="CO2" s="128"/>
      <c r="CP2" s="128"/>
      <c r="CQ2" s="45"/>
      <c r="CR2" s="128"/>
      <c r="CS2" s="128"/>
      <c r="CT2" s="128"/>
      <c r="CU2" s="128"/>
      <c r="CV2" s="129"/>
      <c r="CW2" s="45"/>
      <c r="CX2" s="128"/>
      <c r="CY2" s="128"/>
      <c r="CZ2" s="128"/>
      <c r="DA2" s="129"/>
      <c r="DB2" s="45"/>
      <c r="DC2" s="128"/>
      <c r="DD2" s="128"/>
      <c r="DE2" s="128"/>
      <c r="DF2" s="45"/>
      <c r="DG2" s="128"/>
      <c r="DH2" s="128"/>
      <c r="DI2" s="128"/>
      <c r="DJ2" s="128"/>
      <c r="DK2" s="128"/>
      <c r="DL2" s="128"/>
      <c r="DM2" s="128"/>
      <c r="DN2" s="128"/>
      <c r="DO2" s="45"/>
      <c r="DP2" s="128"/>
      <c r="DQ2" s="45"/>
      <c r="DR2" s="128"/>
      <c r="DS2" s="45"/>
      <c r="DT2" s="128"/>
      <c r="DU2" s="45"/>
      <c r="DV2" s="128"/>
      <c r="DW2" s="128"/>
      <c r="DX2" s="128"/>
      <c r="DY2" s="128"/>
      <c r="DZ2" s="128"/>
      <c r="EA2" s="128"/>
      <c r="EB2" s="128"/>
      <c r="EC2" s="128"/>
      <c r="ED2" s="128"/>
      <c r="EE2" s="128"/>
      <c r="EF2" s="128"/>
      <c r="EG2" s="128"/>
      <c r="EH2" s="128"/>
      <c r="EI2" s="128"/>
      <c r="EJ2" s="128"/>
      <c r="EK2" s="128"/>
      <c r="EL2" s="128"/>
      <c r="EM2" s="128"/>
      <c r="EN2" s="128"/>
      <c r="EO2" s="128"/>
      <c r="EP2" s="128"/>
      <c r="EQ2" s="128"/>
      <c r="ER2" s="128"/>
      <c r="ES2" s="128"/>
      <c r="ET2" s="128"/>
      <c r="EU2" s="128"/>
      <c r="EV2" s="45"/>
      <c r="EW2" s="128"/>
      <c r="EX2" s="128"/>
      <c r="EY2" s="128"/>
      <c r="EZ2" s="45"/>
      <c r="FA2" s="128"/>
      <c r="FB2" s="128"/>
      <c r="FC2" s="128"/>
      <c r="FD2" s="128"/>
      <c r="FE2" s="128"/>
      <c r="FF2" s="128"/>
      <c r="FG2" s="128"/>
      <c r="FH2" s="128"/>
    </row>
    <row r="3" spans="1:165" ht="19.5" thickBot="1" x14ac:dyDescent="0.3">
      <c r="A3" s="252"/>
      <c r="B3" s="197" t="s">
        <v>265</v>
      </c>
      <c r="C3" s="196">
        <v>42</v>
      </c>
      <c r="D3" s="197" t="s">
        <v>266</v>
      </c>
      <c r="E3" s="196">
        <v>42</v>
      </c>
      <c r="F3" s="35"/>
      <c r="H3" s="35"/>
      <c r="I3" s="35"/>
      <c r="K3" s="202" t="s">
        <v>71</v>
      </c>
      <c r="L3" s="203"/>
      <c r="M3" s="203"/>
      <c r="N3" s="203"/>
      <c r="O3" s="296"/>
      <c r="P3" s="297" t="s">
        <v>63</v>
      </c>
      <c r="Q3" s="291"/>
      <c r="R3" s="202" t="s">
        <v>580</v>
      </c>
      <c r="S3" s="208"/>
      <c r="T3" s="203"/>
      <c r="U3" s="208"/>
      <c r="V3" s="302"/>
      <c r="W3" s="297" t="s">
        <v>63</v>
      </c>
      <c r="X3" s="295"/>
      <c r="Y3" s="291"/>
      <c r="Z3" s="202" t="s">
        <v>581</v>
      </c>
      <c r="AA3" s="208"/>
      <c r="AB3" s="203"/>
      <c r="AC3" s="208"/>
      <c r="AD3" s="302"/>
      <c r="AE3" s="297" t="s">
        <v>63</v>
      </c>
      <c r="AF3" s="295"/>
      <c r="AG3" s="291"/>
      <c r="AH3" s="202" t="s">
        <v>582</v>
      </c>
      <c r="AI3" s="208"/>
      <c r="AJ3" s="203"/>
      <c r="AK3" s="208"/>
      <c r="AL3" s="302"/>
      <c r="AM3" s="297" t="s">
        <v>63</v>
      </c>
      <c r="AN3" s="295"/>
      <c r="AO3" s="291"/>
      <c r="AP3" s="202" t="s">
        <v>696</v>
      </c>
      <c r="AQ3" s="208"/>
      <c r="AR3" s="203"/>
      <c r="AS3" s="208"/>
      <c r="AT3" s="302"/>
      <c r="AU3" s="297" t="s">
        <v>63</v>
      </c>
      <c r="AV3" s="295"/>
      <c r="AW3" s="291"/>
      <c r="AX3" s="202" t="s">
        <v>583</v>
      </c>
      <c r="AY3" s="208"/>
      <c r="AZ3" s="203"/>
      <c r="BA3" s="208"/>
      <c r="BB3" s="302"/>
      <c r="BC3" s="297" t="s">
        <v>63</v>
      </c>
      <c r="BD3" s="295"/>
      <c r="BE3" s="291"/>
      <c r="BF3" s="202" t="s">
        <v>584</v>
      </c>
      <c r="BG3" s="208"/>
      <c r="BH3" s="203"/>
      <c r="BI3" s="208"/>
      <c r="BJ3" s="302"/>
      <c r="BK3" s="297" t="s">
        <v>63</v>
      </c>
      <c r="BL3" s="295"/>
      <c r="BM3" s="291"/>
      <c r="BN3" s="202" t="s">
        <v>585</v>
      </c>
      <c r="BO3" s="208"/>
      <c r="BP3" s="203"/>
      <c r="BQ3" s="208"/>
      <c r="BR3" s="209"/>
      <c r="BS3" s="202" t="s">
        <v>489</v>
      </c>
      <c r="BT3" s="208"/>
      <c r="BU3" s="214"/>
      <c r="BV3" s="208" t="s">
        <v>489</v>
      </c>
      <c r="BW3" s="208"/>
      <c r="BX3" s="208"/>
      <c r="BY3" s="208"/>
      <c r="BZ3" s="208"/>
      <c r="CA3" s="209"/>
      <c r="CB3" s="202" t="s">
        <v>638</v>
      </c>
      <c r="CC3" s="208" t="s">
        <v>638</v>
      </c>
      <c r="CD3" s="208"/>
      <c r="CE3" s="208"/>
      <c r="CF3" s="208"/>
      <c r="CG3" s="212"/>
      <c r="CH3" s="208"/>
      <c r="CI3" s="203"/>
      <c r="CJ3" s="208"/>
      <c r="CK3" s="210"/>
      <c r="CL3" s="212"/>
      <c r="CM3" s="208"/>
      <c r="CN3" s="203"/>
      <c r="CO3" s="208"/>
      <c r="CP3" s="210"/>
      <c r="CQ3" s="202" t="s">
        <v>519</v>
      </c>
      <c r="CR3" s="208" t="s">
        <v>519</v>
      </c>
      <c r="CS3" s="208"/>
      <c r="CT3" s="208"/>
      <c r="CU3" s="208"/>
      <c r="CV3" s="212"/>
      <c r="CW3" s="208"/>
      <c r="CX3" s="203"/>
      <c r="CY3" s="208"/>
      <c r="CZ3" s="210"/>
      <c r="DA3" s="212"/>
      <c r="DB3" s="208"/>
      <c r="DC3" s="203"/>
      <c r="DD3" s="208"/>
      <c r="DE3" s="210"/>
      <c r="DF3" s="202" t="s">
        <v>530</v>
      </c>
      <c r="DG3" s="208"/>
      <c r="DH3" s="214"/>
      <c r="DI3" s="208" t="s">
        <v>530</v>
      </c>
      <c r="DJ3" s="208"/>
      <c r="DK3" s="208"/>
      <c r="DL3" s="208"/>
      <c r="DM3" s="208"/>
      <c r="DN3" s="209"/>
      <c r="DO3" s="202" t="s">
        <v>317</v>
      </c>
      <c r="DP3" s="209"/>
      <c r="DQ3" s="202" t="s">
        <v>807</v>
      </c>
      <c r="DR3" s="209"/>
      <c r="DS3" s="202" t="s">
        <v>779</v>
      </c>
      <c r="DT3" s="209"/>
      <c r="DU3" s="202" t="s">
        <v>780</v>
      </c>
      <c r="DV3" s="209"/>
      <c r="DW3" s="458"/>
      <c r="DX3" s="458"/>
      <c r="DY3" s="458"/>
      <c r="DZ3" s="458"/>
      <c r="EA3" s="458"/>
      <c r="EB3" s="458"/>
      <c r="EC3" s="458"/>
      <c r="ED3" s="458"/>
      <c r="EE3" s="458"/>
      <c r="EF3" s="458"/>
      <c r="EG3" s="458"/>
      <c r="EH3" s="458"/>
      <c r="EI3" s="458"/>
      <c r="EJ3" s="458"/>
      <c r="EK3" s="458"/>
      <c r="EL3" s="458"/>
      <c r="EM3" s="458"/>
      <c r="EN3" s="458"/>
      <c r="EO3" s="458"/>
      <c r="EP3" s="458"/>
      <c r="EQ3" s="458"/>
      <c r="ER3" s="458"/>
      <c r="ES3" s="458"/>
      <c r="ET3" s="458"/>
      <c r="EU3" s="202" t="e">
        <v>#REF!</v>
      </c>
      <c r="EV3" s="237"/>
      <c r="EW3" s="203"/>
      <c r="EX3" s="208"/>
      <c r="EY3" s="209"/>
      <c r="EZ3" s="202" t="s">
        <v>489</v>
      </c>
      <c r="FA3" s="208"/>
      <c r="FB3" s="214"/>
      <c r="FC3" s="208"/>
      <c r="FD3" s="208"/>
      <c r="FE3" s="208"/>
      <c r="FF3" s="208"/>
      <c r="FG3" s="208"/>
      <c r="FH3" s="209"/>
    </row>
    <row r="4" spans="1:165" s="34" customFormat="1" ht="51" x14ac:dyDescent="0.25">
      <c r="A4" s="198" t="s">
        <v>0</v>
      </c>
      <c r="B4" s="216" t="s">
        <v>10</v>
      </c>
      <c r="C4" s="216" t="s">
        <v>372</v>
      </c>
      <c r="D4" s="216" t="s">
        <v>373</v>
      </c>
      <c r="E4" s="216" t="s">
        <v>31</v>
      </c>
      <c r="F4" s="198" t="s">
        <v>242</v>
      </c>
      <c r="G4" s="504" t="s">
        <v>15</v>
      </c>
      <c r="H4" s="504" t="s">
        <v>101</v>
      </c>
      <c r="I4" s="504" t="s">
        <v>100</v>
      </c>
      <c r="J4" s="503" t="s">
        <v>99</v>
      </c>
      <c r="K4" s="204" t="s">
        <v>118</v>
      </c>
      <c r="L4" s="198" t="s">
        <v>62</v>
      </c>
      <c r="M4" s="198"/>
      <c r="N4" s="198" t="s">
        <v>97</v>
      </c>
      <c r="O4" s="504" t="s">
        <v>11</v>
      </c>
      <c r="P4" s="198" t="s">
        <v>7</v>
      </c>
      <c r="Q4" s="292" t="s">
        <v>95</v>
      </c>
      <c r="R4" s="204" t="s">
        <v>32</v>
      </c>
      <c r="S4" s="198" t="s">
        <v>62</v>
      </c>
      <c r="T4" s="198"/>
      <c r="U4" s="198" t="s">
        <v>97</v>
      </c>
      <c r="V4" s="504" t="s">
        <v>11</v>
      </c>
      <c r="W4" s="198" t="s">
        <v>7</v>
      </c>
      <c r="X4" s="199" t="s">
        <v>95</v>
      </c>
      <c r="Y4" s="292" t="s">
        <v>197</v>
      </c>
      <c r="Z4" s="204" t="s">
        <v>682</v>
      </c>
      <c r="AA4" s="198" t="s">
        <v>62</v>
      </c>
      <c r="AB4" s="198"/>
      <c r="AC4" s="198" t="s">
        <v>97</v>
      </c>
      <c r="AD4" s="504" t="s">
        <v>11</v>
      </c>
      <c r="AE4" s="198" t="s">
        <v>7</v>
      </c>
      <c r="AF4" s="199" t="s">
        <v>95</v>
      </c>
      <c r="AG4" s="292" t="s">
        <v>197</v>
      </c>
      <c r="AH4" s="204" t="s">
        <v>32</v>
      </c>
      <c r="AI4" s="198" t="s">
        <v>62</v>
      </c>
      <c r="AJ4" s="198"/>
      <c r="AK4" s="198" t="s">
        <v>97</v>
      </c>
      <c r="AL4" s="504" t="s">
        <v>11</v>
      </c>
      <c r="AM4" s="198" t="s">
        <v>7</v>
      </c>
      <c r="AN4" s="199" t="s">
        <v>95</v>
      </c>
      <c r="AO4" s="292" t="s">
        <v>197</v>
      </c>
      <c r="AP4" s="204" t="s">
        <v>32</v>
      </c>
      <c r="AQ4" s="198" t="s">
        <v>62</v>
      </c>
      <c r="AR4" s="198"/>
      <c r="AS4" s="198" t="s">
        <v>97</v>
      </c>
      <c r="AT4" s="504" t="s">
        <v>11</v>
      </c>
      <c r="AU4" s="198" t="s">
        <v>7</v>
      </c>
      <c r="AV4" s="199" t="s">
        <v>95</v>
      </c>
      <c r="AW4" s="292" t="s">
        <v>197</v>
      </c>
      <c r="AX4" s="204" t="s">
        <v>683</v>
      </c>
      <c r="AY4" s="198" t="s">
        <v>62</v>
      </c>
      <c r="AZ4" s="198"/>
      <c r="BA4" s="198" t="s">
        <v>97</v>
      </c>
      <c r="BB4" s="504" t="s">
        <v>11</v>
      </c>
      <c r="BC4" s="198" t="s">
        <v>7</v>
      </c>
      <c r="BD4" s="199" t="s">
        <v>95</v>
      </c>
      <c r="BE4" s="292" t="s">
        <v>197</v>
      </c>
      <c r="BF4" s="204" t="s">
        <v>32</v>
      </c>
      <c r="BG4" s="198" t="s">
        <v>62</v>
      </c>
      <c r="BH4" s="198"/>
      <c r="BI4" s="198" t="s">
        <v>97</v>
      </c>
      <c r="BJ4" s="504" t="s">
        <v>11</v>
      </c>
      <c r="BK4" s="198" t="s">
        <v>7</v>
      </c>
      <c r="BL4" s="199" t="s">
        <v>95</v>
      </c>
      <c r="BM4" s="292" t="s">
        <v>197</v>
      </c>
      <c r="BN4" s="204" t="s">
        <v>32</v>
      </c>
      <c r="BO4" s="198" t="s">
        <v>62</v>
      </c>
      <c r="BP4" s="198"/>
      <c r="BQ4" s="198" t="s">
        <v>97</v>
      </c>
      <c r="BR4" s="205" t="s">
        <v>11</v>
      </c>
      <c r="BS4" s="204" t="s">
        <v>96</v>
      </c>
      <c r="BT4" s="198" t="s">
        <v>25</v>
      </c>
      <c r="BU4" s="198" t="s">
        <v>26</v>
      </c>
      <c r="BV4" s="198" t="s">
        <v>98</v>
      </c>
      <c r="BW4" s="198" t="s">
        <v>103</v>
      </c>
      <c r="BX4" s="198" t="s">
        <v>124</v>
      </c>
      <c r="BY4" s="198" t="s">
        <v>661</v>
      </c>
      <c r="BZ4" s="198" t="s">
        <v>848</v>
      </c>
      <c r="CA4" s="205" t="s">
        <v>11</v>
      </c>
      <c r="CB4" s="204" t="s">
        <v>96</v>
      </c>
      <c r="CC4" s="198" t="s">
        <v>25</v>
      </c>
      <c r="CD4" s="198" t="s">
        <v>26</v>
      </c>
      <c r="CE4" s="198"/>
      <c r="CF4" s="284"/>
      <c r="CG4" s="204" t="s">
        <v>356</v>
      </c>
      <c r="CH4" s="198" t="s">
        <v>357</v>
      </c>
      <c r="CI4" s="198"/>
      <c r="CJ4" s="198" t="s">
        <v>97</v>
      </c>
      <c r="CK4" s="211" t="s">
        <v>11</v>
      </c>
      <c r="CL4" s="204" t="s">
        <v>352</v>
      </c>
      <c r="CM4" s="198" t="s">
        <v>353</v>
      </c>
      <c r="CN4" s="198"/>
      <c r="CO4" s="198" t="s">
        <v>97</v>
      </c>
      <c r="CP4" s="211" t="s">
        <v>11</v>
      </c>
      <c r="CQ4" s="204" t="s">
        <v>96</v>
      </c>
      <c r="CR4" s="198" t="s">
        <v>25</v>
      </c>
      <c r="CS4" s="198" t="s">
        <v>26</v>
      </c>
      <c r="CT4" s="198"/>
      <c r="CU4" s="284"/>
      <c r="CV4" s="204" t="s">
        <v>356</v>
      </c>
      <c r="CW4" s="198" t="s">
        <v>357</v>
      </c>
      <c r="CX4" s="198"/>
      <c r="CY4" s="198" t="s">
        <v>97</v>
      </c>
      <c r="CZ4" s="211" t="s">
        <v>11</v>
      </c>
      <c r="DA4" s="204" t="s">
        <v>352</v>
      </c>
      <c r="DB4" s="198" t="s">
        <v>353</v>
      </c>
      <c r="DC4" s="198"/>
      <c r="DD4" s="198" t="s">
        <v>97</v>
      </c>
      <c r="DE4" s="211" t="s">
        <v>11</v>
      </c>
      <c r="DF4" s="204" t="s">
        <v>96</v>
      </c>
      <c r="DG4" s="198" t="s">
        <v>25</v>
      </c>
      <c r="DH4" s="198" t="s">
        <v>26</v>
      </c>
      <c r="DI4" s="198" t="s">
        <v>98</v>
      </c>
      <c r="DJ4" s="198" t="s">
        <v>103</v>
      </c>
      <c r="DK4" s="198" t="s">
        <v>124</v>
      </c>
      <c r="DL4" s="198" t="s">
        <v>661</v>
      </c>
      <c r="DM4" s="198" t="s">
        <v>848</v>
      </c>
      <c r="DN4" s="205" t="s">
        <v>11</v>
      </c>
      <c r="DO4" s="204" t="s">
        <v>88</v>
      </c>
      <c r="DP4" s="211" t="s">
        <v>11</v>
      </c>
      <c r="DQ4" s="204" t="s">
        <v>88</v>
      </c>
      <c r="DR4" s="211" t="s">
        <v>11</v>
      </c>
      <c r="DS4" s="204" t="s">
        <v>62</v>
      </c>
      <c r="DT4" s="205" t="s">
        <v>11</v>
      </c>
      <c r="DU4" s="204" t="s">
        <v>62</v>
      </c>
      <c r="DV4" s="205" t="s">
        <v>11</v>
      </c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238" t="s">
        <v>32</v>
      </c>
      <c r="EV4" s="201" t="s">
        <v>62</v>
      </c>
      <c r="EW4" s="198"/>
      <c r="EX4" s="198" t="s">
        <v>97</v>
      </c>
      <c r="EY4" s="205" t="s">
        <v>11</v>
      </c>
      <c r="EZ4" s="204" t="s">
        <v>96</v>
      </c>
      <c r="FA4" s="198" t="s">
        <v>25</v>
      </c>
      <c r="FB4" s="198" t="s">
        <v>26</v>
      </c>
      <c r="FC4" s="198" t="s">
        <v>98</v>
      </c>
      <c r="FD4" s="198" t="s">
        <v>103</v>
      </c>
      <c r="FE4" s="198" t="s">
        <v>315</v>
      </c>
      <c r="FF4" s="198" t="s">
        <v>124</v>
      </c>
      <c r="FG4" s="198" t="s">
        <v>358</v>
      </c>
      <c r="FH4" s="205" t="s">
        <v>11</v>
      </c>
    </row>
    <row r="5" spans="1:165" s="236" customFormat="1" x14ac:dyDescent="0.25">
      <c r="A5" s="388">
        <v>1</v>
      </c>
      <c r="B5" s="389" t="s">
        <v>672</v>
      </c>
      <c r="C5" s="389" t="s">
        <v>674</v>
      </c>
      <c r="D5" s="389" t="s">
        <v>676</v>
      </c>
      <c r="E5" s="389" t="s">
        <v>179</v>
      </c>
      <c r="F5" s="389" t="s">
        <v>627</v>
      </c>
      <c r="G5" s="486">
        <v>622.29999999999995</v>
      </c>
      <c r="H5" s="486">
        <v>0</v>
      </c>
      <c r="I5" s="486">
        <v>382.3</v>
      </c>
      <c r="J5" s="486">
        <v>240</v>
      </c>
      <c r="K5" s="390">
        <v>0.41736111111111113</v>
      </c>
      <c r="L5" s="391">
        <v>0.41736111111111113</v>
      </c>
      <c r="M5" s="392" t="s">
        <v>94</v>
      </c>
      <c r="N5" s="391">
        <v>0</v>
      </c>
      <c r="O5" s="393">
        <v>0</v>
      </c>
      <c r="P5" s="394">
        <v>4.86111119389534E-2</v>
      </c>
      <c r="Q5" s="395"/>
      <c r="R5" s="390">
        <v>0.46597222305006453</v>
      </c>
      <c r="S5" s="391">
        <v>0.46597222222222223</v>
      </c>
      <c r="T5" s="392" t="s">
        <v>94</v>
      </c>
      <c r="U5" s="391">
        <v>0</v>
      </c>
      <c r="V5" s="393">
        <v>0</v>
      </c>
      <c r="W5" s="394">
        <v>4.86111119389534E-2</v>
      </c>
      <c r="X5" s="391"/>
      <c r="Y5" s="395">
        <v>0</v>
      </c>
      <c r="Z5" s="390">
        <v>0.51666666749450885</v>
      </c>
      <c r="AA5" s="391">
        <v>0.51666666666666672</v>
      </c>
      <c r="AB5" s="392" t="s">
        <v>94</v>
      </c>
      <c r="AC5" s="391">
        <v>0</v>
      </c>
      <c r="AD5" s="393">
        <v>0</v>
      </c>
      <c r="AE5" s="394">
        <v>2.43055559694767E-2</v>
      </c>
      <c r="AF5" s="391"/>
      <c r="AG5" s="395">
        <v>0</v>
      </c>
      <c r="AH5" s="390">
        <v>0.54097222263614342</v>
      </c>
      <c r="AI5" s="391">
        <v>0.54097222222222219</v>
      </c>
      <c r="AJ5" s="392" t="s">
        <v>94</v>
      </c>
      <c r="AK5" s="391">
        <v>0</v>
      </c>
      <c r="AL5" s="393">
        <v>0</v>
      </c>
      <c r="AM5" s="394">
        <v>2.43055559694767E-2</v>
      </c>
      <c r="AN5" s="391"/>
      <c r="AO5" s="395">
        <v>0</v>
      </c>
      <c r="AP5" s="390">
        <v>0.56527777819169889</v>
      </c>
      <c r="AQ5" s="391">
        <v>0.56527777777777777</v>
      </c>
      <c r="AR5" s="392" t="s">
        <v>94</v>
      </c>
      <c r="AS5" s="391">
        <v>0</v>
      </c>
      <c r="AT5" s="393">
        <v>0</v>
      </c>
      <c r="AU5" s="394">
        <v>3.125E-2</v>
      </c>
      <c r="AV5" s="391"/>
      <c r="AW5" s="395">
        <v>0</v>
      </c>
      <c r="AX5" s="390">
        <v>0.59861111111111109</v>
      </c>
      <c r="AY5" s="391">
        <v>0.59861111111111109</v>
      </c>
      <c r="AZ5" s="392" t="s">
        <v>94</v>
      </c>
      <c r="BA5" s="391">
        <v>0</v>
      </c>
      <c r="BB5" s="393">
        <v>0</v>
      </c>
      <c r="BC5" s="394">
        <v>4.1666667908430099E-2</v>
      </c>
      <c r="BD5" s="391"/>
      <c r="BE5" s="395">
        <v>0</v>
      </c>
      <c r="BF5" s="390">
        <v>0.64027777901954119</v>
      </c>
      <c r="BG5" s="391">
        <v>0.64027777777777783</v>
      </c>
      <c r="BH5" s="392" t="s">
        <v>94</v>
      </c>
      <c r="BI5" s="391">
        <v>0</v>
      </c>
      <c r="BJ5" s="393">
        <v>0</v>
      </c>
      <c r="BK5" s="394">
        <v>2.777777798473835E-2</v>
      </c>
      <c r="BL5" s="391"/>
      <c r="BM5" s="395">
        <v>0</v>
      </c>
      <c r="BN5" s="390">
        <v>0.66805555576251618</v>
      </c>
      <c r="BO5" s="391">
        <v>0.66388888888888886</v>
      </c>
      <c r="BP5" s="392" t="s">
        <v>883</v>
      </c>
      <c r="BQ5" s="391">
        <v>4.1666626930236816E-3</v>
      </c>
      <c r="BR5" s="396">
        <v>0</v>
      </c>
      <c r="BS5" s="390">
        <v>0</v>
      </c>
      <c r="BT5" s="391">
        <v>0</v>
      </c>
      <c r="BU5" s="391">
        <v>0</v>
      </c>
      <c r="BV5" s="401">
        <v>63</v>
      </c>
      <c r="BW5" s="401">
        <v>0</v>
      </c>
      <c r="BX5" s="392">
        <v>0</v>
      </c>
      <c r="BY5" s="392">
        <v>0</v>
      </c>
      <c r="BZ5" s="392">
        <v>0</v>
      </c>
      <c r="CA5" s="462">
        <v>189</v>
      </c>
      <c r="CB5" s="390">
        <v>0.4680555555555555</v>
      </c>
      <c r="CC5" s="391">
        <v>0.4680555555555555</v>
      </c>
      <c r="CD5" s="391">
        <v>0</v>
      </c>
      <c r="CE5" s="391"/>
      <c r="CF5" s="391"/>
      <c r="CG5" s="397">
        <v>0.47584490740740737</v>
      </c>
      <c r="CH5" s="398">
        <v>0.47546296296296298</v>
      </c>
      <c r="CI5" s="399" t="s">
        <v>883</v>
      </c>
      <c r="CJ5" s="398">
        <v>3.8194656372070313E-4</v>
      </c>
      <c r="CK5" s="462">
        <v>33</v>
      </c>
      <c r="CL5" s="397">
        <v>0.48972222222222223</v>
      </c>
      <c r="CM5" s="398">
        <v>0.48972222222222223</v>
      </c>
      <c r="CN5" s="392" t="s">
        <v>94</v>
      </c>
      <c r="CO5" s="398">
        <v>0</v>
      </c>
      <c r="CP5" s="462">
        <v>0</v>
      </c>
      <c r="CQ5" s="390">
        <v>0.56736111111111109</v>
      </c>
      <c r="CR5" s="391">
        <v>0.56736111111111109</v>
      </c>
      <c r="CS5" s="391">
        <v>0</v>
      </c>
      <c r="CT5" s="391"/>
      <c r="CU5" s="391"/>
      <c r="CV5" s="397">
        <v>0.57431712962962966</v>
      </c>
      <c r="CW5" s="398">
        <v>0.57406250000000003</v>
      </c>
      <c r="CX5" s="399" t="s">
        <v>883</v>
      </c>
      <c r="CY5" s="398">
        <v>2.5463104248046875E-4</v>
      </c>
      <c r="CZ5" s="462">
        <v>22</v>
      </c>
      <c r="DA5" s="397">
        <v>0.57454861111111111</v>
      </c>
      <c r="DB5" s="398">
        <v>0.57454861111111111</v>
      </c>
      <c r="DC5" s="392" t="s">
        <v>94</v>
      </c>
      <c r="DD5" s="398">
        <v>0</v>
      </c>
      <c r="DE5" s="462">
        <v>0</v>
      </c>
      <c r="DF5" s="390">
        <v>0</v>
      </c>
      <c r="DG5" s="391">
        <v>0</v>
      </c>
      <c r="DH5" s="391">
        <v>0</v>
      </c>
      <c r="DI5" s="401">
        <v>46.1</v>
      </c>
      <c r="DJ5" s="401">
        <v>0</v>
      </c>
      <c r="DK5" s="392">
        <v>0</v>
      </c>
      <c r="DL5" s="392">
        <v>0</v>
      </c>
      <c r="DM5" s="392">
        <v>0</v>
      </c>
      <c r="DN5" s="462">
        <v>138.30000000000001</v>
      </c>
      <c r="DO5" s="402">
        <v>0</v>
      </c>
      <c r="DP5" s="400">
        <v>0</v>
      </c>
      <c r="DQ5" s="402">
        <v>0</v>
      </c>
      <c r="DR5" s="400">
        <v>240</v>
      </c>
      <c r="DS5" s="390">
        <v>0.65138888888888891</v>
      </c>
      <c r="DT5" s="396">
        <v>0</v>
      </c>
      <c r="DU5" s="390">
        <v>0.66041666666666665</v>
      </c>
      <c r="DV5" s="396">
        <v>0</v>
      </c>
      <c r="DW5" s="459"/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59"/>
      <c r="EL5" s="459"/>
      <c r="EM5" s="459"/>
      <c r="EN5" s="459"/>
      <c r="EO5" s="459"/>
      <c r="EP5" s="459"/>
      <c r="EQ5" s="459"/>
      <c r="ER5" s="459"/>
      <c r="ES5" s="459"/>
      <c r="ET5" s="459"/>
      <c r="EU5" s="390" t="e">
        <v>#VALUE!</v>
      </c>
      <c r="EV5" s="391">
        <v>0</v>
      </c>
      <c r="EW5" s="392" t="e">
        <v>#VALUE!</v>
      </c>
      <c r="EX5" s="391">
        <v>0</v>
      </c>
      <c r="EY5" s="396">
        <v>900</v>
      </c>
      <c r="EZ5" s="390">
        <v>0</v>
      </c>
      <c r="FA5" s="391">
        <v>0</v>
      </c>
      <c r="FB5" s="391">
        <v>0</v>
      </c>
      <c r="FC5" s="401">
        <v>63</v>
      </c>
      <c r="FD5" s="401">
        <v>0</v>
      </c>
      <c r="FE5" s="401">
        <v>0</v>
      </c>
      <c r="FF5" s="392">
        <v>0</v>
      </c>
      <c r="FG5" s="392">
        <v>0</v>
      </c>
      <c r="FH5" s="462">
        <v>189</v>
      </c>
      <c r="FI5" s="403"/>
    </row>
    <row r="6" spans="1:165" s="20" customFormat="1" x14ac:dyDescent="0.25">
      <c r="A6" s="253">
        <v>2</v>
      </c>
      <c r="B6" s="241" t="s">
        <v>726</v>
      </c>
      <c r="C6" s="241" t="s">
        <v>728</v>
      </c>
      <c r="D6" s="241" t="s">
        <v>729</v>
      </c>
      <c r="E6" s="241" t="s">
        <v>884</v>
      </c>
      <c r="F6" s="241" t="s">
        <v>379</v>
      </c>
      <c r="G6" s="487">
        <v>1368.4</v>
      </c>
      <c r="H6" s="487">
        <v>60</v>
      </c>
      <c r="I6" s="487">
        <v>1068.4000000000001</v>
      </c>
      <c r="J6" s="487">
        <v>240</v>
      </c>
      <c r="K6" s="242">
        <v>0.41805555555555557</v>
      </c>
      <c r="L6" s="122">
        <v>0.41805555555555557</v>
      </c>
      <c r="M6" s="243" t="s">
        <v>94</v>
      </c>
      <c r="N6" s="122">
        <v>0</v>
      </c>
      <c r="O6" s="301">
        <v>0</v>
      </c>
      <c r="P6" s="300">
        <v>4.86111119389534E-2</v>
      </c>
      <c r="Q6" s="294"/>
      <c r="R6" s="242">
        <v>0.46666666749450897</v>
      </c>
      <c r="S6" s="122">
        <v>0.46666666666666662</v>
      </c>
      <c r="T6" s="243" t="s">
        <v>94</v>
      </c>
      <c r="U6" s="122">
        <v>0</v>
      </c>
      <c r="V6" s="301">
        <v>0</v>
      </c>
      <c r="W6" s="300">
        <v>4.86111119389534E-2</v>
      </c>
      <c r="X6" s="122"/>
      <c r="Y6" s="294">
        <v>0</v>
      </c>
      <c r="Z6" s="242">
        <v>0.5173611119389534</v>
      </c>
      <c r="AA6" s="122">
        <v>0.51736111111111105</v>
      </c>
      <c r="AB6" s="243" t="s">
        <v>94</v>
      </c>
      <c r="AC6" s="122">
        <v>0</v>
      </c>
      <c r="AD6" s="301">
        <v>0</v>
      </c>
      <c r="AE6" s="300">
        <v>2.43055559694767E-2</v>
      </c>
      <c r="AF6" s="122"/>
      <c r="AG6" s="294">
        <v>0</v>
      </c>
      <c r="AH6" s="242">
        <v>0.54166666708058775</v>
      </c>
      <c r="AI6" s="122">
        <v>0.54166666666666663</v>
      </c>
      <c r="AJ6" s="243" t="s">
        <v>94</v>
      </c>
      <c r="AK6" s="122">
        <v>0</v>
      </c>
      <c r="AL6" s="301">
        <v>0</v>
      </c>
      <c r="AM6" s="300">
        <v>2.43055559694767E-2</v>
      </c>
      <c r="AN6" s="122"/>
      <c r="AO6" s="294">
        <v>0</v>
      </c>
      <c r="AP6" s="242">
        <v>0.56597222263614333</v>
      </c>
      <c r="AQ6" s="122">
        <v>0.56597222222222221</v>
      </c>
      <c r="AR6" s="243" t="s">
        <v>94</v>
      </c>
      <c r="AS6" s="122">
        <v>0</v>
      </c>
      <c r="AT6" s="301">
        <v>0</v>
      </c>
      <c r="AU6" s="300">
        <v>3.125E-2</v>
      </c>
      <c r="AV6" s="122"/>
      <c r="AW6" s="294">
        <v>0</v>
      </c>
      <c r="AX6" s="242">
        <v>0.59930555555555554</v>
      </c>
      <c r="AY6" s="122">
        <v>0.59930555555555554</v>
      </c>
      <c r="AZ6" s="243" t="s">
        <v>94</v>
      </c>
      <c r="BA6" s="122">
        <v>0</v>
      </c>
      <c r="BB6" s="301">
        <v>0</v>
      </c>
      <c r="BC6" s="300">
        <v>4.1666667908430099E-2</v>
      </c>
      <c r="BD6" s="122"/>
      <c r="BE6" s="294">
        <v>0</v>
      </c>
      <c r="BF6" s="242">
        <v>0.64097222346398564</v>
      </c>
      <c r="BG6" s="122">
        <v>0.64097222222222217</v>
      </c>
      <c r="BH6" s="243" t="s">
        <v>94</v>
      </c>
      <c r="BI6" s="122">
        <v>0</v>
      </c>
      <c r="BJ6" s="301">
        <v>0</v>
      </c>
      <c r="BK6" s="300">
        <v>2.777777798473835E-2</v>
      </c>
      <c r="BL6" s="122"/>
      <c r="BM6" s="294">
        <v>0</v>
      </c>
      <c r="BN6" s="242">
        <v>0.66875000020696052</v>
      </c>
      <c r="BO6" s="122">
        <v>0.6694444444444444</v>
      </c>
      <c r="BP6" s="243" t="s">
        <v>885</v>
      </c>
      <c r="BQ6" s="122">
        <v>6.9445371627807617E-4</v>
      </c>
      <c r="BR6" s="244">
        <v>60</v>
      </c>
      <c r="BS6" s="242">
        <v>0</v>
      </c>
      <c r="BT6" s="122">
        <v>0</v>
      </c>
      <c r="BU6" s="122">
        <v>0</v>
      </c>
      <c r="BV6" s="248">
        <v>61.1</v>
      </c>
      <c r="BW6" s="248">
        <v>0</v>
      </c>
      <c r="BX6" s="243">
        <v>0</v>
      </c>
      <c r="BY6" s="243">
        <v>0</v>
      </c>
      <c r="BZ6" s="243">
        <v>0</v>
      </c>
      <c r="CA6" s="463">
        <v>183.3</v>
      </c>
      <c r="CB6" s="242">
        <v>0.46875</v>
      </c>
      <c r="CC6" s="122">
        <v>0.46875</v>
      </c>
      <c r="CD6" s="122">
        <v>0</v>
      </c>
      <c r="CE6" s="122"/>
      <c r="CF6" s="122"/>
      <c r="CG6" s="247">
        <v>0.47653935185185187</v>
      </c>
      <c r="CH6" s="245">
        <v>0.47642361111111109</v>
      </c>
      <c r="CI6" s="240" t="s">
        <v>883</v>
      </c>
      <c r="CJ6" s="245">
        <v>1.157224178314209E-4</v>
      </c>
      <c r="CK6" s="463">
        <v>10</v>
      </c>
      <c r="CL6" s="247">
        <v>0.49068287037037034</v>
      </c>
      <c r="CM6" s="245">
        <v>0.48993055555555554</v>
      </c>
      <c r="CN6" s="243" t="s">
        <v>883</v>
      </c>
      <c r="CO6" s="245">
        <v>7.5230002403259277E-4</v>
      </c>
      <c r="CP6" s="463">
        <v>65</v>
      </c>
      <c r="CQ6" s="242">
        <v>0.56805555555555554</v>
      </c>
      <c r="CR6" s="122">
        <v>0.56805555555555554</v>
      </c>
      <c r="CS6" s="122">
        <v>0</v>
      </c>
      <c r="CT6" s="122"/>
      <c r="CU6" s="122"/>
      <c r="CV6" s="247">
        <v>0.57501157407407411</v>
      </c>
      <c r="CW6" s="245">
        <v>0.57881944444444444</v>
      </c>
      <c r="CX6" s="240" t="s">
        <v>885</v>
      </c>
      <c r="CY6" s="245">
        <v>3.8079023361206055E-3</v>
      </c>
      <c r="CZ6" s="463">
        <v>329</v>
      </c>
      <c r="DA6" s="247">
        <v>0.57930555555555552</v>
      </c>
      <c r="DB6" s="245">
        <v>0.57914351851851853</v>
      </c>
      <c r="DC6" s="243" t="s">
        <v>883</v>
      </c>
      <c r="DD6" s="245">
        <v>1.6200542449951172E-4</v>
      </c>
      <c r="DE6" s="463">
        <v>14</v>
      </c>
      <c r="DF6" s="242">
        <v>0</v>
      </c>
      <c r="DG6" s="122">
        <v>0</v>
      </c>
      <c r="DH6" s="122">
        <v>0</v>
      </c>
      <c r="DI6" s="248">
        <v>55.7</v>
      </c>
      <c r="DJ6" s="248">
        <v>0</v>
      </c>
      <c r="DK6" s="243">
        <v>0</v>
      </c>
      <c r="DL6" s="243">
        <v>0</v>
      </c>
      <c r="DM6" s="243" t="s">
        <v>870</v>
      </c>
      <c r="DN6" s="463">
        <v>467.1</v>
      </c>
      <c r="DO6" s="249">
        <v>0</v>
      </c>
      <c r="DP6" s="246">
        <v>0</v>
      </c>
      <c r="DQ6" s="249">
        <v>0</v>
      </c>
      <c r="DR6" s="246">
        <v>240</v>
      </c>
      <c r="DS6" s="242">
        <v>0.65208333333333335</v>
      </c>
      <c r="DT6" s="244">
        <v>0</v>
      </c>
      <c r="DU6" s="242">
        <v>0.6645833333333333</v>
      </c>
      <c r="DV6" s="244">
        <v>0</v>
      </c>
      <c r="DW6" s="459"/>
      <c r="DX6" s="459"/>
      <c r="DY6" s="459"/>
      <c r="DZ6" s="459"/>
      <c r="EA6" s="459"/>
      <c r="EB6" s="459"/>
      <c r="EC6" s="459"/>
      <c r="ED6" s="459"/>
      <c r="EE6" s="459"/>
      <c r="EF6" s="459"/>
      <c r="EG6" s="459"/>
      <c r="EH6" s="459"/>
      <c r="EI6" s="459"/>
      <c r="EJ6" s="459"/>
      <c r="EK6" s="459"/>
      <c r="EL6" s="459"/>
      <c r="EM6" s="459"/>
      <c r="EN6" s="459"/>
      <c r="EO6" s="459"/>
      <c r="EP6" s="459"/>
      <c r="EQ6" s="459"/>
      <c r="ER6" s="459"/>
      <c r="ES6" s="459"/>
      <c r="ET6" s="459"/>
      <c r="EU6" s="242" t="e">
        <v>#VALUE!</v>
      </c>
      <c r="EV6" s="122">
        <v>0</v>
      </c>
      <c r="EW6" s="243" t="e">
        <v>#VALUE!</v>
      </c>
      <c r="EX6" s="122">
        <v>0</v>
      </c>
      <c r="EY6" s="244">
        <v>900</v>
      </c>
      <c r="EZ6" s="242">
        <v>0</v>
      </c>
      <c r="FA6" s="122">
        <v>0</v>
      </c>
      <c r="FB6" s="122">
        <v>0</v>
      </c>
      <c r="FC6" s="248">
        <v>61.1</v>
      </c>
      <c r="FD6" s="248">
        <v>0</v>
      </c>
      <c r="FE6" s="248">
        <v>0</v>
      </c>
      <c r="FF6" s="243">
        <v>0</v>
      </c>
      <c r="FG6" s="243">
        <v>0</v>
      </c>
      <c r="FH6" s="463">
        <v>183.3</v>
      </c>
    </row>
    <row r="7" spans="1:165" s="236" customFormat="1" x14ac:dyDescent="0.25">
      <c r="A7" s="388">
        <v>3</v>
      </c>
      <c r="B7" s="389" t="s">
        <v>651</v>
      </c>
      <c r="C7" s="389" t="s">
        <v>653</v>
      </c>
      <c r="D7" s="389" t="s">
        <v>655</v>
      </c>
      <c r="E7" s="389" t="s">
        <v>179</v>
      </c>
      <c r="F7" s="389" t="s">
        <v>379</v>
      </c>
      <c r="G7" s="486">
        <v>7289.3</v>
      </c>
      <c r="H7" s="486">
        <v>5220</v>
      </c>
      <c r="I7" s="486">
        <v>2069.3000000000002</v>
      </c>
      <c r="J7" s="486">
        <v>0</v>
      </c>
      <c r="K7" s="390">
        <v>0.41875000000000001</v>
      </c>
      <c r="L7" s="391">
        <v>0.41875000000000001</v>
      </c>
      <c r="M7" s="392" t="s">
        <v>94</v>
      </c>
      <c r="N7" s="391">
        <v>0</v>
      </c>
      <c r="O7" s="393">
        <v>0</v>
      </c>
      <c r="P7" s="394">
        <v>4.86111119389534E-2</v>
      </c>
      <c r="Q7" s="395"/>
      <c r="R7" s="390">
        <v>0.46736111193895341</v>
      </c>
      <c r="S7" s="391">
        <v>0.4680555555555555</v>
      </c>
      <c r="T7" s="392" t="s">
        <v>94</v>
      </c>
      <c r="U7" s="391">
        <v>6.9442391395568848E-4</v>
      </c>
      <c r="V7" s="393">
        <v>60</v>
      </c>
      <c r="W7" s="394">
        <v>4.86111119389534E-2</v>
      </c>
      <c r="X7" s="391"/>
      <c r="Y7" s="395">
        <v>0</v>
      </c>
      <c r="Z7" s="390">
        <v>0.51944444527228684</v>
      </c>
      <c r="AA7" s="391">
        <v>0.55763888888888891</v>
      </c>
      <c r="AB7" s="392" t="s">
        <v>885</v>
      </c>
      <c r="AC7" s="391">
        <v>3.8194417953491211E-2</v>
      </c>
      <c r="AD7" s="393">
        <v>600</v>
      </c>
      <c r="AE7" s="394">
        <v>2.43055559694767E-2</v>
      </c>
      <c r="AF7" s="391"/>
      <c r="AG7" s="395">
        <v>0</v>
      </c>
      <c r="AH7" s="390">
        <v>0.58194444485836561</v>
      </c>
      <c r="AI7" s="391">
        <v>0.58472222222222225</v>
      </c>
      <c r="AJ7" s="392" t="s">
        <v>885</v>
      </c>
      <c r="AK7" s="391">
        <v>2.7777552604675293E-3</v>
      </c>
      <c r="AL7" s="393">
        <v>240</v>
      </c>
      <c r="AM7" s="394">
        <v>2.43055559694767E-2</v>
      </c>
      <c r="AN7" s="391"/>
      <c r="AO7" s="395">
        <v>0</v>
      </c>
      <c r="AP7" s="390">
        <v>0.60902777819169895</v>
      </c>
      <c r="AQ7" s="391">
        <v>0.6069444444444444</v>
      </c>
      <c r="AR7" s="392" t="s">
        <v>883</v>
      </c>
      <c r="AS7" s="391">
        <v>2.0833611488342285E-3</v>
      </c>
      <c r="AT7" s="393" t="s">
        <v>902</v>
      </c>
      <c r="AU7" s="394">
        <v>3.125E-2</v>
      </c>
      <c r="AV7" s="391"/>
      <c r="AW7" s="395">
        <v>0</v>
      </c>
      <c r="AX7" s="390">
        <v>0.64027777777777783</v>
      </c>
      <c r="AY7" s="391">
        <v>0.63541666666666663</v>
      </c>
      <c r="AZ7" s="392" t="s">
        <v>883</v>
      </c>
      <c r="BA7" s="391">
        <v>4.8611164093017578E-3</v>
      </c>
      <c r="BB7" s="393">
        <v>420</v>
      </c>
      <c r="BC7" s="394">
        <v>4.1666667908430099E-2</v>
      </c>
      <c r="BD7" s="391"/>
      <c r="BE7" s="395">
        <v>0</v>
      </c>
      <c r="BF7" s="390">
        <v>0.67708333457509673</v>
      </c>
      <c r="BG7" s="391">
        <v>0.64861111111111114</v>
      </c>
      <c r="BH7" s="392" t="s">
        <v>883</v>
      </c>
      <c r="BI7" s="391">
        <v>2.8472185134887695E-2</v>
      </c>
      <c r="BJ7" s="393">
        <v>2460</v>
      </c>
      <c r="BK7" s="394">
        <v>2.777777798473835E-2</v>
      </c>
      <c r="BL7" s="391"/>
      <c r="BM7" s="395">
        <v>0</v>
      </c>
      <c r="BN7" s="390">
        <v>0.67638888909584949</v>
      </c>
      <c r="BO7" s="391">
        <v>0.68055555555555547</v>
      </c>
      <c r="BP7" s="392" t="s">
        <v>885</v>
      </c>
      <c r="BQ7" s="391">
        <v>4.166722297668457E-3</v>
      </c>
      <c r="BR7" s="396">
        <v>360</v>
      </c>
      <c r="BS7" s="390">
        <v>0</v>
      </c>
      <c r="BT7" s="391">
        <v>0</v>
      </c>
      <c r="BU7" s="391">
        <v>0</v>
      </c>
      <c r="BV7" s="401">
        <v>10</v>
      </c>
      <c r="BW7" s="401">
        <v>0</v>
      </c>
      <c r="BX7" s="392">
        <v>0</v>
      </c>
      <c r="BY7" s="392">
        <v>0</v>
      </c>
      <c r="BZ7" s="392" t="s">
        <v>870</v>
      </c>
      <c r="CA7" s="462">
        <v>330</v>
      </c>
      <c r="CB7" s="390">
        <v>0.47083333333333338</v>
      </c>
      <c r="CC7" s="391">
        <v>0.47083333333333338</v>
      </c>
      <c r="CD7" s="391">
        <v>0</v>
      </c>
      <c r="CE7" s="391"/>
      <c r="CF7" s="391"/>
      <c r="CG7" s="397">
        <v>0.47862268518518525</v>
      </c>
      <c r="CH7" s="398">
        <v>0.51825231481481482</v>
      </c>
      <c r="CI7" s="399" t="s">
        <v>885</v>
      </c>
      <c r="CJ7" s="398">
        <v>3.9629638195037842E-2</v>
      </c>
      <c r="CK7" s="462">
        <v>600</v>
      </c>
      <c r="CL7" s="397">
        <v>0.53251157407407412</v>
      </c>
      <c r="CM7" s="398">
        <v>0</v>
      </c>
      <c r="CN7" s="392" t="s">
        <v>94</v>
      </c>
      <c r="CO7" s="398">
        <v>0</v>
      </c>
      <c r="CP7" s="462">
        <v>900</v>
      </c>
      <c r="CQ7" s="390">
        <v>0.60902777777777783</v>
      </c>
      <c r="CR7" s="391">
        <v>0.60902777777777783</v>
      </c>
      <c r="CS7" s="391">
        <v>0</v>
      </c>
      <c r="CT7" s="391"/>
      <c r="CU7" s="391"/>
      <c r="CV7" s="397">
        <v>0.6159837962962964</v>
      </c>
      <c r="CW7" s="398">
        <v>0.61579861111111112</v>
      </c>
      <c r="CX7" s="399" t="s">
        <v>883</v>
      </c>
      <c r="CY7" s="398">
        <v>1.8519163131713867E-4</v>
      </c>
      <c r="CZ7" s="462">
        <v>16</v>
      </c>
      <c r="DA7" s="397">
        <v>0.61628472222222219</v>
      </c>
      <c r="DB7" s="398">
        <v>0.6162037037037037</v>
      </c>
      <c r="DC7" s="392" t="s">
        <v>883</v>
      </c>
      <c r="DD7" s="398">
        <v>8.1002712249755859E-5</v>
      </c>
      <c r="DE7" s="462">
        <v>7</v>
      </c>
      <c r="DF7" s="390">
        <v>0</v>
      </c>
      <c r="DG7" s="391">
        <v>0</v>
      </c>
      <c r="DH7" s="391">
        <v>0</v>
      </c>
      <c r="DI7" s="401">
        <v>52.1</v>
      </c>
      <c r="DJ7" s="401">
        <v>0</v>
      </c>
      <c r="DK7" s="392">
        <v>0</v>
      </c>
      <c r="DL7" s="392" t="s">
        <v>870</v>
      </c>
      <c r="DM7" s="392">
        <v>0</v>
      </c>
      <c r="DN7" s="462">
        <v>216.3</v>
      </c>
      <c r="DO7" s="402">
        <v>0</v>
      </c>
      <c r="DP7" s="400">
        <v>0</v>
      </c>
      <c r="DQ7" s="402">
        <v>0</v>
      </c>
      <c r="DR7" s="400">
        <v>0</v>
      </c>
      <c r="DS7" s="390">
        <v>0.66388888888888886</v>
      </c>
      <c r="DT7" s="396">
        <v>0</v>
      </c>
      <c r="DU7" s="390">
        <v>0</v>
      </c>
      <c r="DV7" s="396">
        <v>900</v>
      </c>
      <c r="DW7" s="459"/>
      <c r="DX7" s="459"/>
      <c r="DY7" s="459"/>
      <c r="DZ7" s="459"/>
      <c r="EA7" s="459"/>
      <c r="EB7" s="459"/>
      <c r="EC7" s="459"/>
      <c r="ED7" s="459"/>
      <c r="EE7" s="459"/>
      <c r="EF7" s="459"/>
      <c r="EG7" s="459"/>
      <c r="EH7" s="459"/>
      <c r="EI7" s="459"/>
      <c r="EJ7" s="459"/>
      <c r="EK7" s="459"/>
      <c r="EL7" s="459"/>
      <c r="EM7" s="459"/>
      <c r="EN7" s="459"/>
      <c r="EO7" s="459"/>
      <c r="EP7" s="459"/>
      <c r="EQ7" s="459"/>
      <c r="ER7" s="459"/>
      <c r="ES7" s="459"/>
      <c r="ET7" s="459"/>
      <c r="EU7" s="390" t="e">
        <v>#VALUE!</v>
      </c>
      <c r="EV7" s="391">
        <v>0</v>
      </c>
      <c r="EW7" s="392" t="e">
        <v>#VALUE!</v>
      </c>
      <c r="EX7" s="391">
        <v>0</v>
      </c>
      <c r="EY7" s="396">
        <v>900</v>
      </c>
      <c r="EZ7" s="390">
        <v>0</v>
      </c>
      <c r="FA7" s="391">
        <v>0</v>
      </c>
      <c r="FB7" s="391">
        <v>0</v>
      </c>
      <c r="FC7" s="401">
        <v>10</v>
      </c>
      <c r="FD7" s="401">
        <v>0</v>
      </c>
      <c r="FE7" s="401">
        <v>0</v>
      </c>
      <c r="FF7" s="392">
        <v>0</v>
      </c>
      <c r="FG7" s="392" t="s">
        <v>870</v>
      </c>
      <c r="FH7" s="462">
        <v>90</v>
      </c>
      <c r="FI7" s="403"/>
    </row>
    <row r="8" spans="1:165" s="20" customFormat="1" x14ac:dyDescent="0.25">
      <c r="A8" s="253">
        <v>4</v>
      </c>
      <c r="B8" s="241" t="s">
        <v>703</v>
      </c>
      <c r="C8" s="241" t="s">
        <v>811</v>
      </c>
      <c r="D8" s="241" t="s">
        <v>813</v>
      </c>
      <c r="E8" s="241" t="s">
        <v>6</v>
      </c>
      <c r="F8" s="241" t="s">
        <v>627</v>
      </c>
      <c r="G8" s="487">
        <v>1088.9000000000001</v>
      </c>
      <c r="H8" s="487">
        <v>0</v>
      </c>
      <c r="I8" s="487">
        <v>728.9</v>
      </c>
      <c r="J8" s="487">
        <v>360</v>
      </c>
      <c r="K8" s="242">
        <v>0.41944444444444445</v>
      </c>
      <c r="L8" s="122">
        <v>0.41944444444444445</v>
      </c>
      <c r="M8" s="243" t="s">
        <v>94</v>
      </c>
      <c r="N8" s="122">
        <v>0</v>
      </c>
      <c r="O8" s="301">
        <v>0</v>
      </c>
      <c r="P8" s="300">
        <v>4.86111119389534E-2</v>
      </c>
      <c r="Q8" s="294"/>
      <c r="R8" s="242">
        <v>0.46805555638339785</v>
      </c>
      <c r="S8" s="122">
        <v>0.4680555555555555</v>
      </c>
      <c r="T8" s="243" t="s">
        <v>94</v>
      </c>
      <c r="U8" s="122">
        <v>0</v>
      </c>
      <c r="V8" s="301">
        <v>0</v>
      </c>
      <c r="W8" s="300">
        <v>4.86111119389534E-2</v>
      </c>
      <c r="X8" s="122"/>
      <c r="Y8" s="294">
        <v>0</v>
      </c>
      <c r="Z8" s="242">
        <v>0.51875000082784228</v>
      </c>
      <c r="AA8" s="122">
        <v>0.51874999999999993</v>
      </c>
      <c r="AB8" s="243" t="s">
        <v>94</v>
      </c>
      <c r="AC8" s="122">
        <v>0</v>
      </c>
      <c r="AD8" s="301">
        <v>0</v>
      </c>
      <c r="AE8" s="300">
        <v>2.43055559694767E-2</v>
      </c>
      <c r="AF8" s="122"/>
      <c r="AG8" s="294">
        <v>0</v>
      </c>
      <c r="AH8" s="242">
        <v>0.54305555596947663</v>
      </c>
      <c r="AI8" s="122">
        <v>0.54305555555555551</v>
      </c>
      <c r="AJ8" s="243" t="s">
        <v>94</v>
      </c>
      <c r="AK8" s="122">
        <v>0</v>
      </c>
      <c r="AL8" s="301">
        <v>0</v>
      </c>
      <c r="AM8" s="300">
        <v>2.43055559694767E-2</v>
      </c>
      <c r="AN8" s="122"/>
      <c r="AO8" s="294">
        <v>0</v>
      </c>
      <c r="AP8" s="242">
        <v>0.56736111152503221</v>
      </c>
      <c r="AQ8" s="122">
        <v>0.56736111111111109</v>
      </c>
      <c r="AR8" s="243" t="s">
        <v>94</v>
      </c>
      <c r="AS8" s="122">
        <v>0</v>
      </c>
      <c r="AT8" s="301">
        <v>0</v>
      </c>
      <c r="AU8" s="300">
        <v>3.125E-2</v>
      </c>
      <c r="AV8" s="122"/>
      <c r="AW8" s="294">
        <v>0</v>
      </c>
      <c r="AX8" s="242">
        <v>0.60069444444444442</v>
      </c>
      <c r="AY8" s="122">
        <v>0.60069444444444442</v>
      </c>
      <c r="AZ8" s="243" t="s">
        <v>94</v>
      </c>
      <c r="BA8" s="122">
        <v>0</v>
      </c>
      <c r="BB8" s="301">
        <v>0</v>
      </c>
      <c r="BC8" s="300">
        <v>4.1666667908430099E-2</v>
      </c>
      <c r="BD8" s="122"/>
      <c r="BE8" s="294">
        <v>0</v>
      </c>
      <c r="BF8" s="242">
        <v>0.64236111235287452</v>
      </c>
      <c r="BG8" s="122">
        <v>0.64236111111111105</v>
      </c>
      <c r="BH8" s="243" t="s">
        <v>94</v>
      </c>
      <c r="BI8" s="122">
        <v>0</v>
      </c>
      <c r="BJ8" s="301">
        <v>0</v>
      </c>
      <c r="BK8" s="300">
        <v>2.777777798473835E-2</v>
      </c>
      <c r="BL8" s="122"/>
      <c r="BM8" s="294">
        <v>0</v>
      </c>
      <c r="BN8" s="242">
        <v>0.6701388890958494</v>
      </c>
      <c r="BO8" s="122">
        <v>0.66597222222222219</v>
      </c>
      <c r="BP8" s="243" t="s">
        <v>883</v>
      </c>
      <c r="BQ8" s="122">
        <v>4.1666626930236816E-3</v>
      </c>
      <c r="BR8" s="244">
        <v>0</v>
      </c>
      <c r="BS8" s="242">
        <v>0</v>
      </c>
      <c r="BT8" s="122">
        <v>0</v>
      </c>
      <c r="BU8" s="122">
        <v>0</v>
      </c>
      <c r="BV8" s="248">
        <v>62</v>
      </c>
      <c r="BW8" s="248">
        <v>0</v>
      </c>
      <c r="BX8" s="243">
        <v>0</v>
      </c>
      <c r="BY8" s="243" t="s">
        <v>870</v>
      </c>
      <c r="BZ8" s="243">
        <v>0</v>
      </c>
      <c r="CA8" s="463">
        <v>246</v>
      </c>
      <c r="CB8" s="242">
        <v>0.47013888888888888</v>
      </c>
      <c r="CC8" s="122">
        <v>0.47013888888888888</v>
      </c>
      <c r="CD8" s="122">
        <v>0</v>
      </c>
      <c r="CE8" s="122"/>
      <c r="CF8" s="122"/>
      <c r="CG8" s="247">
        <v>0.47792824074074075</v>
      </c>
      <c r="CH8" s="245">
        <v>0.47767361111111112</v>
      </c>
      <c r="CI8" s="240" t="s">
        <v>883</v>
      </c>
      <c r="CJ8" s="245">
        <v>2.5463104248046875E-4</v>
      </c>
      <c r="CK8" s="463">
        <v>22</v>
      </c>
      <c r="CL8" s="247">
        <v>0.49193287037037037</v>
      </c>
      <c r="CM8" s="245">
        <v>0.4918865740740741</v>
      </c>
      <c r="CN8" s="243" t="s">
        <v>883</v>
      </c>
      <c r="CO8" s="245">
        <v>4.628300666809082E-5</v>
      </c>
      <c r="CP8" s="463">
        <v>4</v>
      </c>
      <c r="CQ8" s="242">
        <v>0.56944444444444442</v>
      </c>
      <c r="CR8" s="122">
        <v>0.56944444444444442</v>
      </c>
      <c r="CS8" s="122">
        <v>0</v>
      </c>
      <c r="CT8" s="122"/>
      <c r="CU8" s="122"/>
      <c r="CV8" s="247">
        <v>0.57640046296296299</v>
      </c>
      <c r="CW8" s="245">
        <v>0.57633101851851853</v>
      </c>
      <c r="CX8" s="240" t="s">
        <v>883</v>
      </c>
      <c r="CY8" s="245">
        <v>6.9439411163330078E-5</v>
      </c>
      <c r="CZ8" s="463">
        <v>6</v>
      </c>
      <c r="DA8" s="247">
        <v>0.57681712962962961</v>
      </c>
      <c r="DB8" s="245">
        <v>0.57681712962962961</v>
      </c>
      <c r="DC8" s="243" t="s">
        <v>94</v>
      </c>
      <c r="DD8" s="245">
        <v>0</v>
      </c>
      <c r="DE8" s="463">
        <v>0</v>
      </c>
      <c r="DF8" s="242">
        <v>0</v>
      </c>
      <c r="DG8" s="122">
        <v>0</v>
      </c>
      <c r="DH8" s="122">
        <v>0</v>
      </c>
      <c r="DI8" s="248">
        <v>50.3</v>
      </c>
      <c r="DJ8" s="248">
        <v>0</v>
      </c>
      <c r="DK8" s="243">
        <v>0</v>
      </c>
      <c r="DL8" s="243">
        <v>0</v>
      </c>
      <c r="DM8" s="243" t="s">
        <v>870</v>
      </c>
      <c r="DN8" s="463">
        <v>450.9</v>
      </c>
      <c r="DO8" s="249">
        <v>0</v>
      </c>
      <c r="DP8" s="246">
        <v>0</v>
      </c>
      <c r="DQ8" s="249">
        <v>0</v>
      </c>
      <c r="DR8" s="246">
        <v>360</v>
      </c>
      <c r="DS8" s="242">
        <v>0.64930555555555558</v>
      </c>
      <c r="DT8" s="244">
        <v>0</v>
      </c>
      <c r="DU8" s="242">
        <v>0.66041666666666665</v>
      </c>
      <c r="DV8" s="244">
        <v>0</v>
      </c>
      <c r="DW8" s="459"/>
      <c r="DX8" s="459"/>
      <c r="DY8" s="459"/>
      <c r="DZ8" s="459"/>
      <c r="EA8" s="459"/>
      <c r="EB8" s="459"/>
      <c r="EC8" s="459"/>
      <c r="ED8" s="459"/>
      <c r="EE8" s="459"/>
      <c r="EF8" s="459"/>
      <c r="EG8" s="459"/>
      <c r="EH8" s="459"/>
      <c r="EI8" s="459"/>
      <c r="EJ8" s="459"/>
      <c r="EK8" s="459"/>
      <c r="EL8" s="459"/>
      <c r="EM8" s="459"/>
      <c r="EN8" s="459"/>
      <c r="EO8" s="459"/>
      <c r="EP8" s="459"/>
      <c r="EQ8" s="459"/>
      <c r="ER8" s="459"/>
      <c r="ES8" s="459"/>
      <c r="ET8" s="459"/>
      <c r="EU8" s="242" t="e">
        <v>#VALUE!</v>
      </c>
      <c r="EV8" s="122">
        <v>0</v>
      </c>
      <c r="EW8" s="243" t="e">
        <v>#VALUE!</v>
      </c>
      <c r="EX8" s="122">
        <v>0</v>
      </c>
      <c r="EY8" s="244">
        <v>900</v>
      </c>
      <c r="EZ8" s="242">
        <v>0</v>
      </c>
      <c r="FA8" s="122">
        <v>0</v>
      </c>
      <c r="FB8" s="122">
        <v>0</v>
      </c>
      <c r="FC8" s="248">
        <v>62</v>
      </c>
      <c r="FD8" s="248">
        <v>0</v>
      </c>
      <c r="FE8" s="248">
        <v>0</v>
      </c>
      <c r="FF8" s="243" t="s">
        <v>870</v>
      </c>
      <c r="FG8" s="243">
        <v>0</v>
      </c>
      <c r="FH8" s="463">
        <v>216</v>
      </c>
    </row>
    <row r="9" spans="1:165" s="236" customFormat="1" x14ac:dyDescent="0.25">
      <c r="A9" s="388">
        <v>5</v>
      </c>
      <c r="B9" s="389" t="s">
        <v>586</v>
      </c>
      <c r="C9" s="389" t="s">
        <v>588</v>
      </c>
      <c r="D9" s="389" t="s">
        <v>589</v>
      </c>
      <c r="E9" s="389" t="s">
        <v>179</v>
      </c>
      <c r="F9" s="389" t="s">
        <v>379</v>
      </c>
      <c r="G9" s="486">
        <v>1826</v>
      </c>
      <c r="H9" s="486">
        <v>1020</v>
      </c>
      <c r="I9" s="486">
        <v>566</v>
      </c>
      <c r="J9" s="486">
        <v>240</v>
      </c>
      <c r="K9" s="390">
        <v>0.4201388888888889</v>
      </c>
      <c r="L9" s="391">
        <v>0.4201388888888889</v>
      </c>
      <c r="M9" s="392" t="s">
        <v>94</v>
      </c>
      <c r="N9" s="391">
        <v>0</v>
      </c>
      <c r="O9" s="393">
        <v>0</v>
      </c>
      <c r="P9" s="394">
        <v>4.86111119389534E-2</v>
      </c>
      <c r="Q9" s="395"/>
      <c r="R9" s="390">
        <v>0.46875000082784229</v>
      </c>
      <c r="S9" s="391">
        <v>0.46875</v>
      </c>
      <c r="T9" s="392" t="s">
        <v>94</v>
      </c>
      <c r="U9" s="391">
        <v>0</v>
      </c>
      <c r="V9" s="393">
        <v>0</v>
      </c>
      <c r="W9" s="394">
        <v>4.86111119389534E-2</v>
      </c>
      <c r="X9" s="391"/>
      <c r="Y9" s="395">
        <v>0</v>
      </c>
      <c r="Z9" s="390">
        <v>0.52013888971673117</v>
      </c>
      <c r="AA9" s="391">
        <v>0.52013888888888882</v>
      </c>
      <c r="AB9" s="392"/>
      <c r="AC9" s="391">
        <v>0</v>
      </c>
      <c r="AD9" s="393">
        <v>0</v>
      </c>
      <c r="AE9" s="394">
        <v>2.43055559694767E-2</v>
      </c>
      <c r="AF9" s="391"/>
      <c r="AG9" s="395">
        <v>0</v>
      </c>
      <c r="AH9" s="390">
        <v>0.54444444485836552</v>
      </c>
      <c r="AI9" s="391">
        <v>0.5444444444444444</v>
      </c>
      <c r="AJ9" s="392" t="s">
        <v>94</v>
      </c>
      <c r="AK9" s="391">
        <v>0</v>
      </c>
      <c r="AL9" s="393">
        <v>0</v>
      </c>
      <c r="AM9" s="394">
        <v>2.43055559694767E-2</v>
      </c>
      <c r="AN9" s="391"/>
      <c r="AO9" s="395">
        <v>0</v>
      </c>
      <c r="AP9" s="390">
        <v>0.5687500004139211</v>
      </c>
      <c r="AQ9" s="391">
        <v>0.56874999999999998</v>
      </c>
      <c r="AR9" s="392" t="s">
        <v>94</v>
      </c>
      <c r="AS9" s="391">
        <v>0</v>
      </c>
      <c r="AT9" s="393">
        <v>0</v>
      </c>
      <c r="AU9" s="394">
        <v>3.125E-2</v>
      </c>
      <c r="AV9" s="391"/>
      <c r="AW9" s="395">
        <v>0</v>
      </c>
      <c r="AX9" s="390">
        <v>0.6020833333333333</v>
      </c>
      <c r="AY9" s="391">
        <v>0.6020833333333333</v>
      </c>
      <c r="AZ9" s="392" t="s">
        <v>94</v>
      </c>
      <c r="BA9" s="391">
        <v>0</v>
      </c>
      <c r="BB9" s="393">
        <v>0</v>
      </c>
      <c r="BC9" s="394">
        <v>4.1666667908430099E-2</v>
      </c>
      <c r="BD9" s="391"/>
      <c r="BE9" s="395">
        <v>0</v>
      </c>
      <c r="BF9" s="390">
        <v>0.6437500012417634</v>
      </c>
      <c r="BG9" s="391">
        <v>0.64374999999999993</v>
      </c>
      <c r="BH9" s="392" t="s">
        <v>94</v>
      </c>
      <c r="BI9" s="391">
        <v>0</v>
      </c>
      <c r="BJ9" s="393">
        <v>0</v>
      </c>
      <c r="BK9" s="394">
        <v>2.777777798473835E-2</v>
      </c>
      <c r="BL9" s="391"/>
      <c r="BM9" s="395">
        <v>0</v>
      </c>
      <c r="BN9" s="390">
        <v>0.67152777798473828</v>
      </c>
      <c r="BO9" s="391">
        <v>0.67291666666666661</v>
      </c>
      <c r="BP9" s="392" t="s">
        <v>885</v>
      </c>
      <c r="BQ9" s="391">
        <v>1.388847827911377E-3</v>
      </c>
      <c r="BR9" s="396">
        <v>120</v>
      </c>
      <c r="BS9" s="390">
        <v>0</v>
      </c>
      <c r="BT9" s="391">
        <v>0</v>
      </c>
      <c r="BU9" s="391">
        <v>0</v>
      </c>
      <c r="BV9" s="401">
        <v>63.1</v>
      </c>
      <c r="BW9" s="401">
        <v>0</v>
      </c>
      <c r="BX9" s="392">
        <v>0</v>
      </c>
      <c r="BY9" s="392">
        <v>0</v>
      </c>
      <c r="BZ9" s="392">
        <v>0</v>
      </c>
      <c r="CA9" s="462">
        <v>189.3</v>
      </c>
      <c r="CB9" s="390">
        <v>0.47152777777777777</v>
      </c>
      <c r="CC9" s="391">
        <v>0.47152777777777777</v>
      </c>
      <c r="CD9" s="391">
        <v>0</v>
      </c>
      <c r="CE9" s="391"/>
      <c r="CF9" s="391"/>
      <c r="CG9" s="397">
        <v>0.47931712962962963</v>
      </c>
      <c r="CH9" s="398">
        <v>0.47881944444444446</v>
      </c>
      <c r="CI9" s="399" t="s">
        <v>883</v>
      </c>
      <c r="CJ9" s="398">
        <v>4.9769878387451172E-4</v>
      </c>
      <c r="CK9" s="462">
        <v>43</v>
      </c>
      <c r="CL9" s="397">
        <v>0.49307870370370371</v>
      </c>
      <c r="CM9" s="398">
        <v>0.49105324074074069</v>
      </c>
      <c r="CN9" s="392" t="s">
        <v>883</v>
      </c>
      <c r="CO9" s="398">
        <v>2.0254552364349365E-3</v>
      </c>
      <c r="CP9" s="462">
        <v>175</v>
      </c>
      <c r="CQ9" s="390">
        <v>0.5708333333333333</v>
      </c>
      <c r="CR9" s="391">
        <v>0.5708333333333333</v>
      </c>
      <c r="CS9" s="391">
        <v>0</v>
      </c>
      <c r="CT9" s="391"/>
      <c r="CU9" s="391"/>
      <c r="CV9" s="397">
        <v>0.57778935185185187</v>
      </c>
      <c r="CW9" s="398">
        <v>0.57740740740740748</v>
      </c>
      <c r="CX9" s="399" t="s">
        <v>883</v>
      </c>
      <c r="CY9" s="398">
        <v>3.8194656372070313E-4</v>
      </c>
      <c r="CZ9" s="462">
        <v>33</v>
      </c>
      <c r="DA9" s="397">
        <v>0.57789351851851856</v>
      </c>
      <c r="DB9" s="398">
        <v>0.57789351851851845</v>
      </c>
      <c r="DC9" s="392" t="s">
        <v>94</v>
      </c>
      <c r="DD9" s="398">
        <v>0</v>
      </c>
      <c r="DE9" s="462">
        <v>0</v>
      </c>
      <c r="DF9" s="390">
        <v>0</v>
      </c>
      <c r="DG9" s="391">
        <v>0</v>
      </c>
      <c r="DH9" s="391">
        <v>0</v>
      </c>
      <c r="DI9" s="401">
        <v>41.9</v>
      </c>
      <c r="DJ9" s="401">
        <v>0</v>
      </c>
      <c r="DK9" s="392">
        <v>0</v>
      </c>
      <c r="DL9" s="392">
        <v>0</v>
      </c>
      <c r="DM9" s="392">
        <v>0</v>
      </c>
      <c r="DN9" s="462">
        <v>125.69999999999999</v>
      </c>
      <c r="DO9" s="402">
        <v>0</v>
      </c>
      <c r="DP9" s="400">
        <v>0</v>
      </c>
      <c r="DQ9" s="402">
        <v>0</v>
      </c>
      <c r="DR9" s="400">
        <v>240</v>
      </c>
      <c r="DS9" s="390">
        <v>0.65138888888888891</v>
      </c>
      <c r="DT9" s="396">
        <v>0</v>
      </c>
      <c r="DU9" s="390">
        <v>0</v>
      </c>
      <c r="DV9" s="396">
        <v>900</v>
      </c>
      <c r="DW9" s="459"/>
      <c r="DX9" s="459"/>
      <c r="DY9" s="459"/>
      <c r="DZ9" s="459"/>
      <c r="EA9" s="459"/>
      <c r="EB9" s="459"/>
      <c r="EC9" s="459"/>
      <c r="ED9" s="459"/>
      <c r="EE9" s="459"/>
      <c r="EF9" s="459"/>
      <c r="EG9" s="459"/>
      <c r="EH9" s="459"/>
      <c r="EI9" s="459"/>
      <c r="EJ9" s="459"/>
      <c r="EK9" s="459"/>
      <c r="EL9" s="459"/>
      <c r="EM9" s="459"/>
      <c r="EN9" s="459"/>
      <c r="EO9" s="459"/>
      <c r="EP9" s="459"/>
      <c r="EQ9" s="459"/>
      <c r="ER9" s="459"/>
      <c r="ES9" s="459"/>
      <c r="ET9" s="459"/>
      <c r="EU9" s="390" t="e">
        <v>#VALUE!</v>
      </c>
      <c r="EV9" s="391">
        <v>0</v>
      </c>
      <c r="EW9" s="392" t="e">
        <v>#VALUE!</v>
      </c>
      <c r="EX9" s="391">
        <v>0</v>
      </c>
      <c r="EY9" s="396">
        <v>900</v>
      </c>
      <c r="EZ9" s="390">
        <v>0</v>
      </c>
      <c r="FA9" s="391">
        <v>0</v>
      </c>
      <c r="FB9" s="391">
        <v>0</v>
      </c>
      <c r="FC9" s="401">
        <v>63.1</v>
      </c>
      <c r="FD9" s="401">
        <v>0</v>
      </c>
      <c r="FE9" s="401">
        <v>0</v>
      </c>
      <c r="FF9" s="392">
        <v>0</v>
      </c>
      <c r="FG9" s="392">
        <v>0</v>
      </c>
      <c r="FH9" s="462">
        <v>189.3</v>
      </c>
      <c r="FI9" s="403"/>
    </row>
    <row r="10" spans="1:165" s="20" customFormat="1" x14ac:dyDescent="0.25">
      <c r="A10" s="253">
        <v>6</v>
      </c>
      <c r="B10" s="241" t="s">
        <v>360</v>
      </c>
      <c r="C10" s="241" t="s">
        <v>361</v>
      </c>
      <c r="D10" s="241" t="s">
        <v>364</v>
      </c>
      <c r="E10" s="241" t="s">
        <v>363</v>
      </c>
      <c r="F10" s="241" t="s">
        <v>590</v>
      </c>
      <c r="G10" s="487">
        <v>3388.6</v>
      </c>
      <c r="H10" s="487">
        <v>1500</v>
      </c>
      <c r="I10" s="487">
        <v>808.59999999999991</v>
      </c>
      <c r="J10" s="487">
        <v>1080</v>
      </c>
      <c r="K10" s="242">
        <v>0.42083333333333334</v>
      </c>
      <c r="L10" s="122">
        <v>0.42083333333333334</v>
      </c>
      <c r="M10" s="243" t="s">
        <v>94</v>
      </c>
      <c r="N10" s="122">
        <v>0</v>
      </c>
      <c r="O10" s="301">
        <v>0</v>
      </c>
      <c r="P10" s="300">
        <v>4.86111119389534E-2</v>
      </c>
      <c r="Q10" s="294"/>
      <c r="R10" s="242">
        <v>0.46944444527228674</v>
      </c>
      <c r="S10" s="122">
        <v>0.4694444444444445</v>
      </c>
      <c r="T10" s="243" t="s">
        <v>94</v>
      </c>
      <c r="U10" s="122">
        <v>0</v>
      </c>
      <c r="V10" s="301">
        <v>0</v>
      </c>
      <c r="W10" s="300">
        <v>4.86111119389534E-2</v>
      </c>
      <c r="X10" s="122"/>
      <c r="Y10" s="294">
        <v>0</v>
      </c>
      <c r="Z10" s="242">
        <v>0.52083333416117572</v>
      </c>
      <c r="AA10" s="122">
        <v>0.52083333333333337</v>
      </c>
      <c r="AB10" s="243" t="s">
        <v>94</v>
      </c>
      <c r="AC10" s="122">
        <v>0</v>
      </c>
      <c r="AD10" s="301">
        <v>0</v>
      </c>
      <c r="AE10" s="300">
        <v>2.43055559694767E-2</v>
      </c>
      <c r="AF10" s="122"/>
      <c r="AG10" s="294">
        <v>0</v>
      </c>
      <c r="AH10" s="242">
        <v>0.54513888930281007</v>
      </c>
      <c r="AI10" s="122">
        <v>0.55625000000000002</v>
      </c>
      <c r="AJ10" s="243" t="s">
        <v>885</v>
      </c>
      <c r="AK10" s="122">
        <v>1.1111080646514893E-2</v>
      </c>
      <c r="AL10" s="301">
        <v>600</v>
      </c>
      <c r="AM10" s="300">
        <v>2.43055559694767E-2</v>
      </c>
      <c r="AN10" s="122"/>
      <c r="AO10" s="294">
        <v>0</v>
      </c>
      <c r="AP10" s="242">
        <v>0.58055555596947672</v>
      </c>
      <c r="AQ10" s="122">
        <v>0.5805555555555556</v>
      </c>
      <c r="AR10" s="243" t="s">
        <v>94</v>
      </c>
      <c r="AS10" s="122">
        <v>0</v>
      </c>
      <c r="AT10" s="301">
        <v>0</v>
      </c>
      <c r="AU10" s="300">
        <v>3.125E-2</v>
      </c>
      <c r="AV10" s="122"/>
      <c r="AW10" s="294">
        <v>0</v>
      </c>
      <c r="AX10" s="242">
        <v>0.61388888888888882</v>
      </c>
      <c r="AY10" s="122">
        <v>0.61388888888888882</v>
      </c>
      <c r="AZ10" s="243" t="s">
        <v>94</v>
      </c>
      <c r="BA10" s="122">
        <v>0</v>
      </c>
      <c r="BB10" s="301">
        <v>0</v>
      </c>
      <c r="BC10" s="300">
        <v>4.1666667908430099E-2</v>
      </c>
      <c r="BD10" s="122"/>
      <c r="BE10" s="294">
        <v>0</v>
      </c>
      <c r="BF10" s="242">
        <v>0.65555555679731892</v>
      </c>
      <c r="BG10" s="122">
        <v>0.65555555555555556</v>
      </c>
      <c r="BH10" s="243" t="s">
        <v>94</v>
      </c>
      <c r="BI10" s="122">
        <v>0</v>
      </c>
      <c r="BJ10" s="301">
        <v>0</v>
      </c>
      <c r="BK10" s="300">
        <v>2.777777798473835E-2</v>
      </c>
      <c r="BL10" s="122"/>
      <c r="BM10" s="294">
        <v>0</v>
      </c>
      <c r="BN10" s="242">
        <v>0.68333333354029391</v>
      </c>
      <c r="BO10" s="122">
        <v>0.68194444444444446</v>
      </c>
      <c r="BP10" s="243" t="s">
        <v>883</v>
      </c>
      <c r="BQ10" s="122">
        <v>1.3889074325561523E-3</v>
      </c>
      <c r="BR10" s="244">
        <v>0</v>
      </c>
      <c r="BS10" s="242">
        <v>0</v>
      </c>
      <c r="BT10" s="122">
        <v>0</v>
      </c>
      <c r="BU10" s="122">
        <v>0</v>
      </c>
      <c r="BV10" s="248">
        <v>83.1</v>
      </c>
      <c r="BW10" s="248">
        <v>0</v>
      </c>
      <c r="BX10" s="243">
        <v>0</v>
      </c>
      <c r="BY10" s="243">
        <v>0</v>
      </c>
      <c r="BZ10" s="243">
        <v>0</v>
      </c>
      <c r="CA10" s="463">
        <v>249.29999999999998</v>
      </c>
      <c r="CB10" s="242">
        <v>0.47222222222222227</v>
      </c>
      <c r="CC10" s="122">
        <v>0.47222222222222227</v>
      </c>
      <c r="CD10" s="122">
        <v>0</v>
      </c>
      <c r="CE10" s="122"/>
      <c r="CF10" s="122"/>
      <c r="CG10" s="247">
        <v>0.48001157407407413</v>
      </c>
      <c r="CH10" s="245">
        <v>0.48026620370370371</v>
      </c>
      <c r="CI10" s="240" t="s">
        <v>885</v>
      </c>
      <c r="CJ10" s="245">
        <v>2.5463104248046875E-4</v>
      </c>
      <c r="CK10" s="463">
        <v>22</v>
      </c>
      <c r="CL10" s="247">
        <v>0.49452546296296296</v>
      </c>
      <c r="CM10" s="245">
        <v>0.49432870370370369</v>
      </c>
      <c r="CN10" s="243" t="s">
        <v>883</v>
      </c>
      <c r="CO10" s="245">
        <v>1.9675493240356445E-4</v>
      </c>
      <c r="CP10" s="463">
        <v>17</v>
      </c>
      <c r="CQ10" s="242">
        <v>0.58263888888888882</v>
      </c>
      <c r="CR10" s="122">
        <v>0.58263888888888882</v>
      </c>
      <c r="CS10" s="122">
        <v>0</v>
      </c>
      <c r="CT10" s="122"/>
      <c r="CU10" s="122"/>
      <c r="CV10" s="247">
        <v>0.58959490740740739</v>
      </c>
      <c r="CW10" s="245">
        <v>0.59049768518518519</v>
      </c>
      <c r="CX10" s="240" t="s">
        <v>885</v>
      </c>
      <c r="CY10" s="245">
        <v>9.0277194976806641E-4</v>
      </c>
      <c r="CZ10" s="463">
        <v>78</v>
      </c>
      <c r="DA10" s="247">
        <v>0.59098379629629627</v>
      </c>
      <c r="DB10" s="245">
        <v>0.59097222222222223</v>
      </c>
      <c r="DC10" s="243" t="s">
        <v>883</v>
      </c>
      <c r="DD10" s="245">
        <v>1.1563301086425781E-5</v>
      </c>
      <c r="DE10" s="463">
        <v>1</v>
      </c>
      <c r="DF10" s="242">
        <v>0</v>
      </c>
      <c r="DG10" s="122">
        <v>0</v>
      </c>
      <c r="DH10" s="122">
        <v>0</v>
      </c>
      <c r="DI10" s="248">
        <v>47.1</v>
      </c>
      <c r="DJ10" s="248">
        <v>0</v>
      </c>
      <c r="DK10" s="243">
        <v>0</v>
      </c>
      <c r="DL10" s="243">
        <v>0</v>
      </c>
      <c r="DM10" s="243" t="s">
        <v>870</v>
      </c>
      <c r="DN10" s="463">
        <v>441.3</v>
      </c>
      <c r="DO10" s="249">
        <v>0</v>
      </c>
      <c r="DP10" s="246">
        <v>0</v>
      </c>
      <c r="DQ10" s="249">
        <v>0</v>
      </c>
      <c r="DR10" s="246">
        <v>1080</v>
      </c>
      <c r="DS10" s="242">
        <v>0.66597222222222219</v>
      </c>
      <c r="DT10" s="244">
        <v>0</v>
      </c>
      <c r="DU10" s="242">
        <v>0</v>
      </c>
      <c r="DV10" s="244">
        <v>900</v>
      </c>
      <c r="DW10" s="459"/>
      <c r="DX10" s="459"/>
      <c r="DY10" s="459"/>
      <c r="DZ10" s="459"/>
      <c r="EA10" s="459"/>
      <c r="EB10" s="459"/>
      <c r="EC10" s="459"/>
      <c r="ED10" s="459"/>
      <c r="EE10" s="459"/>
      <c r="EF10" s="459"/>
      <c r="EG10" s="459"/>
      <c r="EH10" s="459"/>
      <c r="EI10" s="459"/>
      <c r="EJ10" s="459"/>
      <c r="EK10" s="459"/>
      <c r="EL10" s="459"/>
      <c r="EM10" s="459"/>
      <c r="EN10" s="459"/>
      <c r="EO10" s="459"/>
      <c r="EP10" s="459"/>
      <c r="EQ10" s="459"/>
      <c r="ER10" s="459"/>
      <c r="ES10" s="459"/>
      <c r="ET10" s="459"/>
      <c r="EU10" s="242" t="e">
        <v>#VALUE!</v>
      </c>
      <c r="EV10" s="122">
        <v>0</v>
      </c>
      <c r="EW10" s="243" t="e">
        <v>#VALUE!</v>
      </c>
      <c r="EX10" s="122">
        <v>0</v>
      </c>
      <c r="EY10" s="244">
        <v>900</v>
      </c>
      <c r="EZ10" s="242">
        <v>0</v>
      </c>
      <c r="FA10" s="122">
        <v>0</v>
      </c>
      <c r="FB10" s="122">
        <v>0</v>
      </c>
      <c r="FC10" s="248">
        <v>83.1</v>
      </c>
      <c r="FD10" s="248">
        <v>0</v>
      </c>
      <c r="FE10" s="248">
        <v>0</v>
      </c>
      <c r="FF10" s="243">
        <v>0</v>
      </c>
      <c r="FG10" s="243">
        <v>0</v>
      </c>
      <c r="FH10" s="463">
        <v>249.29999999999998</v>
      </c>
    </row>
    <row r="11" spans="1:165" s="236" customFormat="1" x14ac:dyDescent="0.25">
      <c r="A11" s="388">
        <v>7</v>
      </c>
      <c r="B11" s="389" t="s">
        <v>628</v>
      </c>
      <c r="C11" s="389" t="s">
        <v>23</v>
      </c>
      <c r="D11" s="389" t="s">
        <v>24</v>
      </c>
      <c r="E11" s="389" t="s">
        <v>6</v>
      </c>
      <c r="F11" s="389" t="s">
        <v>627</v>
      </c>
      <c r="G11" s="486">
        <v>918.1</v>
      </c>
      <c r="H11" s="486">
        <v>0</v>
      </c>
      <c r="I11" s="486">
        <v>438.1</v>
      </c>
      <c r="J11" s="486">
        <v>480</v>
      </c>
      <c r="K11" s="390">
        <v>0.42152777777777778</v>
      </c>
      <c r="L11" s="391">
        <v>0.42152777777777778</v>
      </c>
      <c r="M11" s="392" t="s">
        <v>94</v>
      </c>
      <c r="N11" s="391">
        <v>0</v>
      </c>
      <c r="O11" s="393">
        <v>0</v>
      </c>
      <c r="P11" s="394">
        <v>4.86111119389534E-2</v>
      </c>
      <c r="Q11" s="395"/>
      <c r="R11" s="390">
        <v>0.47013888971673118</v>
      </c>
      <c r="S11" s="391">
        <v>0.47013888888888888</v>
      </c>
      <c r="T11" s="392" t="s">
        <v>94</v>
      </c>
      <c r="U11" s="391">
        <v>0</v>
      </c>
      <c r="V11" s="393">
        <v>0</v>
      </c>
      <c r="W11" s="394">
        <v>4.86111119389534E-2</v>
      </c>
      <c r="X11" s="391"/>
      <c r="Y11" s="395">
        <v>0</v>
      </c>
      <c r="Z11" s="390">
        <v>0.52152777860562005</v>
      </c>
      <c r="AA11" s="391">
        <v>0.52152777777777781</v>
      </c>
      <c r="AB11" s="392" t="s">
        <v>94</v>
      </c>
      <c r="AC11" s="391">
        <v>0</v>
      </c>
      <c r="AD11" s="393">
        <v>0</v>
      </c>
      <c r="AE11" s="394">
        <v>2.43055559694767E-2</v>
      </c>
      <c r="AF11" s="391"/>
      <c r="AG11" s="395">
        <v>0</v>
      </c>
      <c r="AH11" s="390">
        <v>0.54583333374725451</v>
      </c>
      <c r="AI11" s="391">
        <v>0.54583333333333328</v>
      </c>
      <c r="AJ11" s="392" t="s">
        <v>94</v>
      </c>
      <c r="AK11" s="391">
        <v>0</v>
      </c>
      <c r="AL11" s="393">
        <v>0</v>
      </c>
      <c r="AM11" s="394">
        <v>2.43055559694767E-2</v>
      </c>
      <c r="AN11" s="391"/>
      <c r="AO11" s="395">
        <v>0</v>
      </c>
      <c r="AP11" s="390">
        <v>0.57013888930280998</v>
      </c>
      <c r="AQ11" s="391">
        <v>0.57013888888888886</v>
      </c>
      <c r="AR11" s="392" t="s">
        <v>94</v>
      </c>
      <c r="AS11" s="391">
        <v>0</v>
      </c>
      <c r="AT11" s="393">
        <v>0</v>
      </c>
      <c r="AU11" s="394">
        <v>3.125E-2</v>
      </c>
      <c r="AV11" s="391"/>
      <c r="AW11" s="395">
        <v>0</v>
      </c>
      <c r="AX11" s="390">
        <v>0.60347222222222219</v>
      </c>
      <c r="AY11" s="391">
        <v>0.60347222222222219</v>
      </c>
      <c r="AZ11" s="392" t="s">
        <v>94</v>
      </c>
      <c r="BA11" s="391">
        <v>0</v>
      </c>
      <c r="BB11" s="393">
        <v>0</v>
      </c>
      <c r="BC11" s="394">
        <v>4.1666667908430099E-2</v>
      </c>
      <c r="BD11" s="391"/>
      <c r="BE11" s="395">
        <v>0</v>
      </c>
      <c r="BF11" s="390">
        <v>0.64513889013065229</v>
      </c>
      <c r="BG11" s="391">
        <v>0.64513888888888882</v>
      </c>
      <c r="BH11" s="392" t="s">
        <v>883</v>
      </c>
      <c r="BI11" s="391">
        <v>0</v>
      </c>
      <c r="BJ11" s="393">
        <v>0</v>
      </c>
      <c r="BK11" s="394">
        <v>2.777777798473835E-2</v>
      </c>
      <c r="BL11" s="391"/>
      <c r="BM11" s="395">
        <v>0</v>
      </c>
      <c r="BN11" s="390">
        <v>0.67291666687362717</v>
      </c>
      <c r="BO11" s="391">
        <v>0.6694444444444444</v>
      </c>
      <c r="BP11" s="392" t="s">
        <v>883</v>
      </c>
      <c r="BQ11" s="391">
        <v>3.4722089767456055E-3</v>
      </c>
      <c r="BR11" s="396">
        <v>0</v>
      </c>
      <c r="BS11" s="390">
        <v>0</v>
      </c>
      <c r="BT11" s="391">
        <v>0</v>
      </c>
      <c r="BU11" s="391">
        <v>0</v>
      </c>
      <c r="BV11" s="401">
        <v>66.2</v>
      </c>
      <c r="BW11" s="401">
        <v>0</v>
      </c>
      <c r="BX11" s="392">
        <v>0</v>
      </c>
      <c r="BY11" s="392">
        <v>0</v>
      </c>
      <c r="BZ11" s="392">
        <v>0</v>
      </c>
      <c r="CA11" s="462">
        <v>198.60000000000002</v>
      </c>
      <c r="CB11" s="390">
        <v>0.47291666666666665</v>
      </c>
      <c r="CC11" s="391">
        <v>0.47291666666666665</v>
      </c>
      <c r="CD11" s="391">
        <v>0</v>
      </c>
      <c r="CE11" s="391"/>
      <c r="CF11" s="391"/>
      <c r="CG11" s="397">
        <v>0.48070601851851852</v>
      </c>
      <c r="CH11" s="398">
        <v>0.48079861111111111</v>
      </c>
      <c r="CI11" s="399" t="s">
        <v>885</v>
      </c>
      <c r="CJ11" s="398">
        <v>9.2595815658569336E-5</v>
      </c>
      <c r="CK11" s="462">
        <v>8</v>
      </c>
      <c r="CL11" s="397">
        <v>0.49505787037037036</v>
      </c>
      <c r="CM11" s="398">
        <v>0.49443287037037037</v>
      </c>
      <c r="CN11" s="392" t="s">
        <v>883</v>
      </c>
      <c r="CO11" s="398">
        <v>6.2501430511474609E-4</v>
      </c>
      <c r="CP11" s="462">
        <v>54</v>
      </c>
      <c r="CQ11" s="390">
        <v>0.57222222222222219</v>
      </c>
      <c r="CR11" s="391">
        <v>0.57222222222222219</v>
      </c>
      <c r="CS11" s="391">
        <v>0</v>
      </c>
      <c r="CT11" s="391"/>
      <c r="CU11" s="391"/>
      <c r="CV11" s="397">
        <v>0.57917824074074076</v>
      </c>
      <c r="CW11" s="398">
        <v>0.57969907407407406</v>
      </c>
      <c r="CX11" s="399" t="s">
        <v>885</v>
      </c>
      <c r="CY11" s="398">
        <v>5.2088499069213867E-4</v>
      </c>
      <c r="CZ11" s="462">
        <v>45</v>
      </c>
      <c r="DA11" s="397">
        <v>0.58018518518518514</v>
      </c>
      <c r="DB11" s="398">
        <v>0.58020833333333333</v>
      </c>
      <c r="DC11" s="392" t="s">
        <v>885</v>
      </c>
      <c r="DD11" s="398">
        <v>2.3186206817626953E-5</v>
      </c>
      <c r="DE11" s="462">
        <v>2</v>
      </c>
      <c r="DF11" s="390">
        <v>0</v>
      </c>
      <c r="DG11" s="391">
        <v>0</v>
      </c>
      <c r="DH11" s="391">
        <v>0</v>
      </c>
      <c r="DI11" s="401">
        <v>43.5</v>
      </c>
      <c r="DJ11" s="401">
        <v>0</v>
      </c>
      <c r="DK11" s="392">
        <v>0</v>
      </c>
      <c r="DL11" s="392">
        <v>0</v>
      </c>
      <c r="DM11" s="392">
        <v>0</v>
      </c>
      <c r="DN11" s="462">
        <v>130.5</v>
      </c>
      <c r="DO11" s="402">
        <v>0</v>
      </c>
      <c r="DP11" s="400">
        <v>0</v>
      </c>
      <c r="DQ11" s="402">
        <v>0</v>
      </c>
      <c r="DR11" s="400">
        <v>480</v>
      </c>
      <c r="DS11" s="390">
        <v>0.65277777777777779</v>
      </c>
      <c r="DT11" s="396">
        <v>0</v>
      </c>
      <c r="DU11" s="390">
        <v>0.66388888888888886</v>
      </c>
      <c r="DV11" s="396">
        <v>0</v>
      </c>
      <c r="DW11" s="459"/>
      <c r="DX11" s="459"/>
      <c r="DY11" s="459"/>
      <c r="DZ11" s="459"/>
      <c r="EA11" s="459"/>
      <c r="EB11" s="459"/>
      <c r="EC11" s="459"/>
      <c r="ED11" s="459"/>
      <c r="EE11" s="459"/>
      <c r="EF11" s="459"/>
      <c r="EG11" s="459"/>
      <c r="EH11" s="459"/>
      <c r="EI11" s="459"/>
      <c r="EJ11" s="459"/>
      <c r="EK11" s="459"/>
      <c r="EL11" s="459"/>
      <c r="EM11" s="459"/>
      <c r="EN11" s="459"/>
      <c r="EO11" s="459"/>
      <c r="EP11" s="459"/>
      <c r="EQ11" s="459"/>
      <c r="ER11" s="459"/>
      <c r="ES11" s="459"/>
      <c r="ET11" s="459"/>
      <c r="EU11" s="390" t="e">
        <v>#VALUE!</v>
      </c>
      <c r="EV11" s="391">
        <v>0</v>
      </c>
      <c r="EW11" s="392" t="e">
        <v>#VALUE!</v>
      </c>
      <c r="EX11" s="391">
        <v>0</v>
      </c>
      <c r="EY11" s="396">
        <v>900</v>
      </c>
      <c r="EZ11" s="390">
        <v>0</v>
      </c>
      <c r="FA11" s="391">
        <v>0</v>
      </c>
      <c r="FB11" s="391">
        <v>0</v>
      </c>
      <c r="FC11" s="401">
        <v>66.2</v>
      </c>
      <c r="FD11" s="401">
        <v>0</v>
      </c>
      <c r="FE11" s="401">
        <v>0</v>
      </c>
      <c r="FF11" s="392">
        <v>0</v>
      </c>
      <c r="FG11" s="392">
        <v>0</v>
      </c>
      <c r="FH11" s="462">
        <v>198.60000000000002</v>
      </c>
      <c r="FI11" s="403"/>
    </row>
    <row r="12" spans="1:165" s="20" customFormat="1" x14ac:dyDescent="0.25">
      <c r="A12" s="253">
        <v>8</v>
      </c>
      <c r="B12" s="241" t="s">
        <v>815</v>
      </c>
      <c r="C12" s="241" t="s">
        <v>817</v>
      </c>
      <c r="D12" s="241" t="s">
        <v>818</v>
      </c>
      <c r="E12" s="241" t="s">
        <v>6</v>
      </c>
      <c r="F12" s="241" t="s">
        <v>590</v>
      </c>
      <c r="G12" s="487">
        <v>4718.7</v>
      </c>
      <c r="H12" s="487">
        <v>2160</v>
      </c>
      <c r="I12" s="487">
        <v>1118.6999999999998</v>
      </c>
      <c r="J12" s="487">
        <v>1440</v>
      </c>
      <c r="K12" s="242">
        <v>0.42222222222222222</v>
      </c>
      <c r="L12" s="122">
        <v>0.42222222222222222</v>
      </c>
      <c r="M12" s="243" t="s">
        <v>94</v>
      </c>
      <c r="N12" s="122">
        <v>0</v>
      </c>
      <c r="O12" s="301">
        <v>0</v>
      </c>
      <c r="P12" s="300">
        <v>4.86111119389534E-2</v>
      </c>
      <c r="Q12" s="294"/>
      <c r="R12" s="242">
        <v>0.47083333416117562</v>
      </c>
      <c r="S12" s="122">
        <v>0.47083333333333338</v>
      </c>
      <c r="T12" s="243" t="s">
        <v>94</v>
      </c>
      <c r="U12" s="122">
        <v>0</v>
      </c>
      <c r="V12" s="301">
        <v>0</v>
      </c>
      <c r="W12" s="300">
        <v>4.86111119389534E-2</v>
      </c>
      <c r="X12" s="122"/>
      <c r="Y12" s="294">
        <v>0</v>
      </c>
      <c r="Z12" s="242">
        <v>0.5222222230500646</v>
      </c>
      <c r="AA12" s="122">
        <v>0.52222222222222225</v>
      </c>
      <c r="AB12" s="243" t="s">
        <v>94</v>
      </c>
      <c r="AC12" s="122">
        <v>0</v>
      </c>
      <c r="AD12" s="301">
        <v>0</v>
      </c>
      <c r="AE12" s="300">
        <v>2.43055559694767E-2</v>
      </c>
      <c r="AF12" s="122"/>
      <c r="AG12" s="294">
        <v>0</v>
      </c>
      <c r="AH12" s="242">
        <v>0.54652777819169895</v>
      </c>
      <c r="AI12" s="122">
        <v>0.55069444444444449</v>
      </c>
      <c r="AJ12" s="243" t="s">
        <v>885</v>
      </c>
      <c r="AK12" s="122">
        <v>4.1666626930236816E-3</v>
      </c>
      <c r="AL12" s="301">
        <v>360</v>
      </c>
      <c r="AM12" s="300">
        <v>2.43055559694767E-2</v>
      </c>
      <c r="AN12" s="122"/>
      <c r="AO12" s="294">
        <v>0</v>
      </c>
      <c r="AP12" s="242">
        <v>0.57500000041392119</v>
      </c>
      <c r="AQ12" s="122">
        <v>0.57500000000000007</v>
      </c>
      <c r="AR12" s="243" t="s">
        <v>94</v>
      </c>
      <c r="AS12" s="122">
        <v>0</v>
      </c>
      <c r="AT12" s="301">
        <v>0</v>
      </c>
      <c r="AU12" s="300">
        <v>3.125E-2</v>
      </c>
      <c r="AV12" s="122"/>
      <c r="AW12" s="294">
        <v>0</v>
      </c>
      <c r="AX12" s="242">
        <v>0.60902777777777783</v>
      </c>
      <c r="AY12" s="122">
        <v>0.60902777777777783</v>
      </c>
      <c r="AZ12" s="243" t="s">
        <v>94</v>
      </c>
      <c r="BA12" s="122">
        <v>0</v>
      </c>
      <c r="BB12" s="301">
        <v>0</v>
      </c>
      <c r="BC12" s="300">
        <v>4.1666667908430099E-2</v>
      </c>
      <c r="BD12" s="122"/>
      <c r="BE12" s="294">
        <v>0</v>
      </c>
      <c r="BF12" s="242">
        <v>0.65069444568620793</v>
      </c>
      <c r="BG12" s="122">
        <v>0.65069444444444446</v>
      </c>
      <c r="BH12" s="243" t="s">
        <v>94</v>
      </c>
      <c r="BI12" s="122">
        <v>0</v>
      </c>
      <c r="BJ12" s="301">
        <v>0</v>
      </c>
      <c r="BK12" s="300">
        <v>2.777777798473835E-2</v>
      </c>
      <c r="BL12" s="122"/>
      <c r="BM12" s="294">
        <v>0</v>
      </c>
      <c r="BN12" s="242">
        <v>0.67847222242918281</v>
      </c>
      <c r="BO12" s="122">
        <v>0.6743055555555556</v>
      </c>
      <c r="BP12" s="243" t="s">
        <v>883</v>
      </c>
      <c r="BQ12" s="122">
        <v>4.1666626930236816E-3</v>
      </c>
      <c r="BR12" s="244">
        <v>0</v>
      </c>
      <c r="BS12" s="242">
        <v>0</v>
      </c>
      <c r="BT12" s="122">
        <v>0</v>
      </c>
      <c r="BU12" s="122">
        <v>0</v>
      </c>
      <c r="BV12" s="248">
        <v>65.099999999999994</v>
      </c>
      <c r="BW12" s="248">
        <v>0</v>
      </c>
      <c r="BX12" s="243">
        <v>0</v>
      </c>
      <c r="BY12" s="243">
        <v>0</v>
      </c>
      <c r="BZ12" s="243" t="s">
        <v>870</v>
      </c>
      <c r="CA12" s="463">
        <v>495.29999999999995</v>
      </c>
      <c r="CB12" s="242">
        <v>0.47361111111111115</v>
      </c>
      <c r="CC12" s="122">
        <v>0.47361111111111115</v>
      </c>
      <c r="CD12" s="122">
        <v>0</v>
      </c>
      <c r="CE12" s="122"/>
      <c r="CF12" s="122"/>
      <c r="CG12" s="247">
        <v>0.48140046296296302</v>
      </c>
      <c r="CH12" s="245">
        <v>0.48092592592592592</v>
      </c>
      <c r="CI12" s="240" t="s">
        <v>883</v>
      </c>
      <c r="CJ12" s="245">
        <v>4.7454237937927246E-4</v>
      </c>
      <c r="CK12" s="463">
        <v>41</v>
      </c>
      <c r="CL12" s="247">
        <v>0.49518518518518517</v>
      </c>
      <c r="CM12" s="245">
        <v>0.49459490740740741</v>
      </c>
      <c r="CN12" s="243" t="s">
        <v>883</v>
      </c>
      <c r="CO12" s="245">
        <v>5.9029459953308105E-4</v>
      </c>
      <c r="CP12" s="463">
        <v>51</v>
      </c>
      <c r="CQ12" s="242">
        <v>0.57777777777777783</v>
      </c>
      <c r="CR12" s="122">
        <v>0.57777777777777783</v>
      </c>
      <c r="CS12" s="122">
        <v>0</v>
      </c>
      <c r="CT12" s="122"/>
      <c r="CU12" s="122"/>
      <c r="CV12" s="247">
        <v>0.5847337962962964</v>
      </c>
      <c r="CW12" s="245">
        <v>0.58562499999999995</v>
      </c>
      <c r="CX12" s="240" t="s">
        <v>885</v>
      </c>
      <c r="CY12" s="245">
        <v>8.9120864868164063E-4</v>
      </c>
      <c r="CZ12" s="463">
        <v>77</v>
      </c>
      <c r="DA12" s="247">
        <v>0.58611111111111103</v>
      </c>
      <c r="DB12" s="245">
        <v>0.58627314814814813</v>
      </c>
      <c r="DC12" s="243" t="s">
        <v>885</v>
      </c>
      <c r="DD12" s="245">
        <v>1.6200542449951172E-4</v>
      </c>
      <c r="DE12" s="463">
        <v>14</v>
      </c>
      <c r="DF12" s="242">
        <v>0</v>
      </c>
      <c r="DG12" s="122">
        <v>0</v>
      </c>
      <c r="DH12" s="122">
        <v>0</v>
      </c>
      <c r="DI12" s="248">
        <v>46.8</v>
      </c>
      <c r="DJ12" s="248">
        <v>0</v>
      </c>
      <c r="DK12" s="243">
        <v>0</v>
      </c>
      <c r="DL12" s="243">
        <v>0</v>
      </c>
      <c r="DM12" s="243" t="s">
        <v>870</v>
      </c>
      <c r="DN12" s="463">
        <v>440.4</v>
      </c>
      <c r="DO12" s="249">
        <v>0</v>
      </c>
      <c r="DP12" s="246">
        <v>0</v>
      </c>
      <c r="DQ12" s="249">
        <v>0</v>
      </c>
      <c r="DR12" s="246">
        <v>1440</v>
      </c>
      <c r="DS12" s="242">
        <v>0</v>
      </c>
      <c r="DT12" s="244">
        <v>900</v>
      </c>
      <c r="DU12" s="242">
        <v>0</v>
      </c>
      <c r="DV12" s="244">
        <v>900</v>
      </c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59"/>
      <c r="EI12" s="459"/>
      <c r="EJ12" s="459"/>
      <c r="EK12" s="459"/>
      <c r="EL12" s="459"/>
      <c r="EM12" s="459"/>
      <c r="EN12" s="459"/>
      <c r="EO12" s="459"/>
      <c r="EP12" s="459"/>
      <c r="EQ12" s="459"/>
      <c r="ER12" s="459"/>
      <c r="ES12" s="459"/>
      <c r="ET12" s="459"/>
      <c r="EU12" s="242" t="e">
        <v>#VALUE!</v>
      </c>
      <c r="EV12" s="122">
        <v>0</v>
      </c>
      <c r="EW12" s="243" t="e">
        <v>#VALUE!</v>
      </c>
      <c r="EX12" s="122">
        <v>0</v>
      </c>
      <c r="EY12" s="244">
        <v>900</v>
      </c>
      <c r="EZ12" s="242">
        <v>0</v>
      </c>
      <c r="FA12" s="122">
        <v>0</v>
      </c>
      <c r="FB12" s="122">
        <v>0</v>
      </c>
      <c r="FC12" s="248">
        <v>65.099999999999994</v>
      </c>
      <c r="FD12" s="248">
        <v>0</v>
      </c>
      <c r="FE12" s="248">
        <v>0</v>
      </c>
      <c r="FF12" s="243">
        <v>0</v>
      </c>
      <c r="FG12" s="243" t="s">
        <v>870</v>
      </c>
      <c r="FH12" s="463">
        <v>255.29999999999998</v>
      </c>
    </row>
    <row r="13" spans="1:165" s="236" customFormat="1" x14ac:dyDescent="0.25">
      <c r="A13" s="388">
        <v>9</v>
      </c>
      <c r="B13" s="389" t="s">
        <v>704</v>
      </c>
      <c r="C13" s="389" t="s">
        <v>716</v>
      </c>
      <c r="D13" s="389" t="s">
        <v>722</v>
      </c>
      <c r="E13" s="389" t="s">
        <v>6</v>
      </c>
      <c r="F13" s="389" t="s">
        <v>867</v>
      </c>
      <c r="G13" s="486">
        <v>3975.7</v>
      </c>
      <c r="H13" s="486">
        <v>900</v>
      </c>
      <c r="I13" s="486">
        <v>1155.7</v>
      </c>
      <c r="J13" s="486">
        <v>1920</v>
      </c>
      <c r="K13" s="390">
        <v>0.42291666666666666</v>
      </c>
      <c r="L13" s="391">
        <v>0.42291666666666666</v>
      </c>
      <c r="M13" s="392" t="s">
        <v>94</v>
      </c>
      <c r="N13" s="391">
        <v>0</v>
      </c>
      <c r="O13" s="393">
        <v>0</v>
      </c>
      <c r="P13" s="394">
        <v>4.86111119389534E-2</v>
      </c>
      <c r="Q13" s="395"/>
      <c r="R13" s="390">
        <v>0.47152777860562006</v>
      </c>
      <c r="S13" s="391">
        <v>0.47152777777777777</v>
      </c>
      <c r="T13" s="392" t="s">
        <v>94</v>
      </c>
      <c r="U13" s="391">
        <v>0</v>
      </c>
      <c r="V13" s="393">
        <v>0</v>
      </c>
      <c r="W13" s="394">
        <v>4.86111119389534E-2</v>
      </c>
      <c r="X13" s="391"/>
      <c r="Y13" s="395">
        <v>0</v>
      </c>
      <c r="Z13" s="390">
        <v>0.52291666749450894</v>
      </c>
      <c r="AA13" s="391">
        <v>0.5229166666666667</v>
      </c>
      <c r="AB13" s="392" t="s">
        <v>94</v>
      </c>
      <c r="AC13" s="391">
        <v>0</v>
      </c>
      <c r="AD13" s="393">
        <v>0</v>
      </c>
      <c r="AE13" s="394">
        <v>2.43055559694767E-2</v>
      </c>
      <c r="AF13" s="391"/>
      <c r="AG13" s="395">
        <v>0</v>
      </c>
      <c r="AH13" s="390">
        <v>0.5472222226361434</v>
      </c>
      <c r="AI13" s="391">
        <v>0.54722222222222217</v>
      </c>
      <c r="AJ13" s="392" t="s">
        <v>94</v>
      </c>
      <c r="AK13" s="391">
        <v>0</v>
      </c>
      <c r="AL13" s="393">
        <v>0</v>
      </c>
      <c r="AM13" s="394">
        <v>2.43055559694767E-2</v>
      </c>
      <c r="AN13" s="391"/>
      <c r="AO13" s="395">
        <v>0</v>
      </c>
      <c r="AP13" s="390">
        <v>0.57152777819169887</v>
      </c>
      <c r="AQ13" s="391">
        <v>0.57152777777777775</v>
      </c>
      <c r="AR13" s="392" t="s">
        <v>94</v>
      </c>
      <c r="AS13" s="391">
        <v>0</v>
      </c>
      <c r="AT13" s="393">
        <v>0</v>
      </c>
      <c r="AU13" s="394">
        <v>3.125E-2</v>
      </c>
      <c r="AV13" s="391"/>
      <c r="AW13" s="395">
        <v>0</v>
      </c>
      <c r="AX13" s="390">
        <v>0.60486111111111118</v>
      </c>
      <c r="AY13" s="391">
        <v>0.60486111111111118</v>
      </c>
      <c r="AZ13" s="392" t="s">
        <v>94</v>
      </c>
      <c r="BA13" s="391">
        <v>0</v>
      </c>
      <c r="BB13" s="393">
        <v>0</v>
      </c>
      <c r="BC13" s="394">
        <v>4.1666667908430099E-2</v>
      </c>
      <c r="BD13" s="391"/>
      <c r="BE13" s="395">
        <v>0</v>
      </c>
      <c r="BF13" s="390">
        <v>0.64652777901954128</v>
      </c>
      <c r="BG13" s="391">
        <v>0.64652777777777781</v>
      </c>
      <c r="BH13" s="392" t="s">
        <v>94</v>
      </c>
      <c r="BI13" s="391">
        <v>0</v>
      </c>
      <c r="BJ13" s="393">
        <v>0</v>
      </c>
      <c r="BK13" s="394">
        <v>2.777777798473835E-2</v>
      </c>
      <c r="BL13" s="391"/>
      <c r="BM13" s="395">
        <v>0</v>
      </c>
      <c r="BN13" s="390">
        <v>0.67430555576251616</v>
      </c>
      <c r="BO13" s="391">
        <v>0.67361111111111116</v>
      </c>
      <c r="BP13" s="392" t="s">
        <v>883</v>
      </c>
      <c r="BQ13" s="391">
        <v>6.9445371627807617E-4</v>
      </c>
      <c r="BR13" s="396">
        <v>0</v>
      </c>
      <c r="BS13" s="390">
        <v>0</v>
      </c>
      <c r="BT13" s="391">
        <v>0</v>
      </c>
      <c r="BU13" s="391">
        <v>0</v>
      </c>
      <c r="BV13" s="401">
        <v>70</v>
      </c>
      <c r="BW13" s="401">
        <v>0</v>
      </c>
      <c r="BX13" s="392">
        <v>0</v>
      </c>
      <c r="BY13" s="392">
        <v>0</v>
      </c>
      <c r="BZ13" s="392" t="s">
        <v>870</v>
      </c>
      <c r="CA13" s="462">
        <v>510</v>
      </c>
      <c r="CB13" s="390">
        <v>0.47430555555555554</v>
      </c>
      <c r="CC13" s="391">
        <v>0.47430555555555554</v>
      </c>
      <c r="CD13" s="391">
        <v>0</v>
      </c>
      <c r="CE13" s="391"/>
      <c r="CF13" s="391"/>
      <c r="CG13" s="397">
        <v>0.4820949074074074</v>
      </c>
      <c r="CH13" s="398">
        <v>0.48202546296296295</v>
      </c>
      <c r="CI13" s="399" t="s">
        <v>883</v>
      </c>
      <c r="CJ13" s="398">
        <v>6.9439411163330078E-5</v>
      </c>
      <c r="CK13" s="462">
        <v>6</v>
      </c>
      <c r="CL13" s="397">
        <v>0.4962847222222222</v>
      </c>
      <c r="CM13" s="398">
        <v>0.49500000000000005</v>
      </c>
      <c r="CN13" s="392" t="s">
        <v>883</v>
      </c>
      <c r="CO13" s="398">
        <v>1.2847185134887695E-3</v>
      </c>
      <c r="CP13" s="462">
        <v>111</v>
      </c>
      <c r="CQ13" s="390">
        <v>0.57361111111111118</v>
      </c>
      <c r="CR13" s="391">
        <v>0.57361111111111118</v>
      </c>
      <c r="CS13" s="391">
        <v>0</v>
      </c>
      <c r="CT13" s="391"/>
      <c r="CU13" s="391"/>
      <c r="CV13" s="397">
        <v>0.58056712962962975</v>
      </c>
      <c r="CW13" s="398">
        <v>0.58113425925925932</v>
      </c>
      <c r="CX13" s="399" t="s">
        <v>885</v>
      </c>
      <c r="CY13" s="398">
        <v>5.671381950378418E-4</v>
      </c>
      <c r="CZ13" s="462">
        <v>49</v>
      </c>
      <c r="DA13" s="397">
        <v>0.5816203703703704</v>
      </c>
      <c r="DB13" s="398">
        <v>0.5816203703703704</v>
      </c>
      <c r="DC13" s="392" t="s">
        <v>94</v>
      </c>
      <c r="DD13" s="398">
        <v>0</v>
      </c>
      <c r="DE13" s="462">
        <v>0</v>
      </c>
      <c r="DF13" s="390">
        <v>0</v>
      </c>
      <c r="DG13" s="391">
        <v>0</v>
      </c>
      <c r="DH13" s="391">
        <v>0</v>
      </c>
      <c r="DI13" s="401">
        <v>39.9</v>
      </c>
      <c r="DJ13" s="401">
        <v>0</v>
      </c>
      <c r="DK13" s="392">
        <v>0</v>
      </c>
      <c r="DL13" s="392" t="s">
        <v>870</v>
      </c>
      <c r="DM13" s="392" t="s">
        <v>870</v>
      </c>
      <c r="DN13" s="462">
        <v>479.7</v>
      </c>
      <c r="DO13" s="402" t="s">
        <v>880</v>
      </c>
      <c r="DP13" s="400">
        <v>600</v>
      </c>
      <c r="DQ13" s="402">
        <v>0</v>
      </c>
      <c r="DR13" s="400">
        <v>1320</v>
      </c>
      <c r="DS13" s="390">
        <v>0.65486111111111112</v>
      </c>
      <c r="DT13" s="396">
        <v>0</v>
      </c>
      <c r="DU13" s="390">
        <v>0</v>
      </c>
      <c r="DV13" s="396">
        <v>900</v>
      </c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59"/>
      <c r="EI13" s="459"/>
      <c r="EJ13" s="459"/>
      <c r="EK13" s="459"/>
      <c r="EL13" s="459"/>
      <c r="EM13" s="459"/>
      <c r="EN13" s="459"/>
      <c r="EO13" s="459"/>
      <c r="EP13" s="459"/>
      <c r="EQ13" s="459"/>
      <c r="ER13" s="459"/>
      <c r="ES13" s="459"/>
      <c r="ET13" s="459"/>
      <c r="EU13" s="390" t="e">
        <v>#VALUE!</v>
      </c>
      <c r="EV13" s="391">
        <v>0</v>
      </c>
      <c r="EW13" s="392" t="e">
        <v>#VALUE!</v>
      </c>
      <c r="EX13" s="391">
        <v>0</v>
      </c>
      <c r="EY13" s="396">
        <v>900</v>
      </c>
      <c r="EZ13" s="390">
        <v>0</v>
      </c>
      <c r="FA13" s="391">
        <v>0</v>
      </c>
      <c r="FB13" s="391">
        <v>0</v>
      </c>
      <c r="FC13" s="401">
        <v>70</v>
      </c>
      <c r="FD13" s="401">
        <v>0</v>
      </c>
      <c r="FE13" s="401">
        <v>0</v>
      </c>
      <c r="FF13" s="392">
        <v>0</v>
      </c>
      <c r="FG13" s="392" t="s">
        <v>870</v>
      </c>
      <c r="FH13" s="462">
        <v>270</v>
      </c>
      <c r="FI13" s="403"/>
    </row>
    <row r="14" spans="1:165" s="20" customFormat="1" x14ac:dyDescent="0.25">
      <c r="A14" s="253">
        <v>10</v>
      </c>
      <c r="B14" s="241" t="s">
        <v>602</v>
      </c>
      <c r="C14" s="241" t="s">
        <v>381</v>
      </c>
      <c r="D14" s="241" t="s">
        <v>740</v>
      </c>
      <c r="E14" s="241" t="s">
        <v>6</v>
      </c>
      <c r="F14" s="241" t="s">
        <v>868</v>
      </c>
      <c r="G14" s="487">
        <v>2091.5</v>
      </c>
      <c r="H14" s="487">
        <v>660</v>
      </c>
      <c r="I14" s="487">
        <v>891.5</v>
      </c>
      <c r="J14" s="487">
        <v>540</v>
      </c>
      <c r="K14" s="242">
        <v>0.4236111111111111</v>
      </c>
      <c r="L14" s="122">
        <v>0.4236111111111111</v>
      </c>
      <c r="M14" s="243" t="s">
        <v>94</v>
      </c>
      <c r="N14" s="122">
        <v>0</v>
      </c>
      <c r="O14" s="301">
        <v>0</v>
      </c>
      <c r="P14" s="300">
        <v>4.86111119389534E-2</v>
      </c>
      <c r="Q14" s="294"/>
      <c r="R14" s="242">
        <v>0.4722222230500645</v>
      </c>
      <c r="S14" s="122">
        <v>0.47152777777777777</v>
      </c>
      <c r="T14" s="243" t="s">
        <v>94</v>
      </c>
      <c r="U14" s="122">
        <v>6.9442391395568848E-4</v>
      </c>
      <c r="V14" s="301">
        <v>60</v>
      </c>
      <c r="W14" s="300">
        <v>4.86111119389534E-2</v>
      </c>
      <c r="X14" s="122"/>
      <c r="Y14" s="294">
        <v>0</v>
      </c>
      <c r="Z14" s="242">
        <v>0.52361111193895349</v>
      </c>
      <c r="AA14" s="122">
        <v>0.52361111111111114</v>
      </c>
      <c r="AB14" s="243" t="s">
        <v>94</v>
      </c>
      <c r="AC14" s="122">
        <v>0</v>
      </c>
      <c r="AD14" s="301">
        <v>0</v>
      </c>
      <c r="AE14" s="300">
        <v>2.43055559694767E-2</v>
      </c>
      <c r="AF14" s="122"/>
      <c r="AG14" s="294">
        <v>0</v>
      </c>
      <c r="AH14" s="242">
        <v>0.54791666708058784</v>
      </c>
      <c r="AI14" s="122">
        <v>0.5493055555555556</v>
      </c>
      <c r="AJ14" s="243" t="s">
        <v>885</v>
      </c>
      <c r="AK14" s="122">
        <v>1.3889074325561523E-3</v>
      </c>
      <c r="AL14" s="301">
        <v>120</v>
      </c>
      <c r="AM14" s="300">
        <v>2.43055559694767E-2</v>
      </c>
      <c r="AN14" s="122"/>
      <c r="AO14" s="294">
        <v>0</v>
      </c>
      <c r="AP14" s="242">
        <v>0.5736111115250323</v>
      </c>
      <c r="AQ14" s="122">
        <v>0.57361111111111118</v>
      </c>
      <c r="AR14" s="243" t="s">
        <v>94</v>
      </c>
      <c r="AS14" s="122">
        <v>0</v>
      </c>
      <c r="AT14" s="301">
        <v>0</v>
      </c>
      <c r="AU14" s="300">
        <v>3.125E-2</v>
      </c>
      <c r="AV14" s="122"/>
      <c r="AW14" s="294">
        <v>0</v>
      </c>
      <c r="AX14" s="242">
        <v>0.60763888888888895</v>
      </c>
      <c r="AY14" s="122">
        <v>0.60486111111111118</v>
      </c>
      <c r="AZ14" s="243" t="s">
        <v>883</v>
      </c>
      <c r="BA14" s="122">
        <v>2.7777552604675293E-3</v>
      </c>
      <c r="BB14" s="301">
        <v>240</v>
      </c>
      <c r="BC14" s="300">
        <v>4.1666667908430099E-2</v>
      </c>
      <c r="BD14" s="122"/>
      <c r="BE14" s="294">
        <v>0</v>
      </c>
      <c r="BF14" s="242">
        <v>0.64652777901954128</v>
      </c>
      <c r="BG14" s="122">
        <v>0.64652777777777781</v>
      </c>
      <c r="BH14" s="243" t="s">
        <v>94</v>
      </c>
      <c r="BI14" s="122">
        <v>0</v>
      </c>
      <c r="BJ14" s="301">
        <v>0</v>
      </c>
      <c r="BK14" s="300">
        <v>2.777777798473835E-2</v>
      </c>
      <c r="BL14" s="122"/>
      <c r="BM14" s="294">
        <v>0</v>
      </c>
      <c r="BN14" s="242">
        <v>0.67430555576251616</v>
      </c>
      <c r="BO14" s="122">
        <v>0.67708333333333337</v>
      </c>
      <c r="BP14" s="243" t="s">
        <v>885</v>
      </c>
      <c r="BQ14" s="122">
        <v>2.7777552604675293E-3</v>
      </c>
      <c r="BR14" s="244">
        <v>240</v>
      </c>
      <c r="BS14" s="242">
        <v>0</v>
      </c>
      <c r="BT14" s="122">
        <v>0</v>
      </c>
      <c r="BU14" s="122">
        <v>0</v>
      </c>
      <c r="BV14" s="248">
        <v>71.900000000000006</v>
      </c>
      <c r="BW14" s="248">
        <v>0</v>
      </c>
      <c r="BX14" s="243">
        <v>0</v>
      </c>
      <c r="BY14" s="243">
        <v>0</v>
      </c>
      <c r="BZ14" s="243">
        <v>0</v>
      </c>
      <c r="CA14" s="463">
        <v>215.70000000000002</v>
      </c>
      <c r="CB14" s="242">
        <v>0.47500000000000003</v>
      </c>
      <c r="CC14" s="122">
        <v>0.47500000000000003</v>
      </c>
      <c r="CD14" s="122">
        <v>0</v>
      </c>
      <c r="CE14" s="122"/>
      <c r="CF14" s="122"/>
      <c r="CG14" s="247">
        <v>0.4827893518518519</v>
      </c>
      <c r="CH14" s="245">
        <v>0.48281250000000003</v>
      </c>
      <c r="CI14" s="240" t="s">
        <v>885</v>
      </c>
      <c r="CJ14" s="245">
        <v>2.3156404495239258E-5</v>
      </c>
      <c r="CK14" s="463">
        <v>2</v>
      </c>
      <c r="CL14" s="247">
        <v>0.49707175925925928</v>
      </c>
      <c r="CM14" s="245">
        <v>0.49521990740740746</v>
      </c>
      <c r="CN14" s="243" t="s">
        <v>883</v>
      </c>
      <c r="CO14" s="245">
        <v>1.8518567085266113E-3</v>
      </c>
      <c r="CP14" s="463">
        <v>160</v>
      </c>
      <c r="CQ14" s="242">
        <v>0.57638888888888895</v>
      </c>
      <c r="CR14" s="122">
        <v>0.57638888888888895</v>
      </c>
      <c r="CS14" s="122">
        <v>0</v>
      </c>
      <c r="CT14" s="122"/>
      <c r="CU14" s="122"/>
      <c r="CV14" s="247">
        <v>0.58334490740740752</v>
      </c>
      <c r="CW14" s="245">
        <v>0.58395833333333336</v>
      </c>
      <c r="CX14" s="240" t="s">
        <v>885</v>
      </c>
      <c r="CY14" s="245">
        <v>6.1339139938354492E-4</v>
      </c>
      <c r="CZ14" s="463">
        <v>53</v>
      </c>
      <c r="DA14" s="247">
        <v>0.58444444444444443</v>
      </c>
      <c r="DB14" s="245">
        <v>0.58454861111111112</v>
      </c>
      <c r="DC14" s="243" t="s">
        <v>885</v>
      </c>
      <c r="DD14" s="245">
        <v>1.0412931442260742E-4</v>
      </c>
      <c r="DE14" s="463">
        <v>9</v>
      </c>
      <c r="DF14" s="242">
        <v>0</v>
      </c>
      <c r="DG14" s="122">
        <v>0</v>
      </c>
      <c r="DH14" s="122">
        <v>0</v>
      </c>
      <c r="DI14" s="248">
        <v>50.6</v>
      </c>
      <c r="DJ14" s="248">
        <v>0</v>
      </c>
      <c r="DK14" s="243">
        <v>0</v>
      </c>
      <c r="DL14" s="243">
        <v>0</v>
      </c>
      <c r="DM14" s="243" t="s">
        <v>870</v>
      </c>
      <c r="DN14" s="463">
        <v>451.8</v>
      </c>
      <c r="DO14" s="249" t="s">
        <v>881</v>
      </c>
      <c r="DP14" s="246">
        <v>300</v>
      </c>
      <c r="DQ14" s="249">
        <v>0</v>
      </c>
      <c r="DR14" s="246">
        <v>240</v>
      </c>
      <c r="DS14" s="242">
        <v>0.65416666666666667</v>
      </c>
      <c r="DT14" s="244">
        <v>0</v>
      </c>
      <c r="DU14" s="242">
        <v>0.67083333333333339</v>
      </c>
      <c r="DV14" s="244">
        <v>0</v>
      </c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59"/>
      <c r="EI14" s="459"/>
      <c r="EJ14" s="459"/>
      <c r="EK14" s="459"/>
      <c r="EL14" s="459"/>
      <c r="EM14" s="459"/>
      <c r="EN14" s="459"/>
      <c r="EO14" s="459"/>
      <c r="EP14" s="459"/>
      <c r="EQ14" s="459"/>
      <c r="ER14" s="459"/>
      <c r="ES14" s="459"/>
      <c r="ET14" s="459"/>
      <c r="EU14" s="242" t="e">
        <v>#VALUE!</v>
      </c>
      <c r="EV14" s="122">
        <v>0</v>
      </c>
      <c r="EW14" s="243" t="e">
        <v>#VALUE!</v>
      </c>
      <c r="EX14" s="122">
        <v>0</v>
      </c>
      <c r="EY14" s="244">
        <v>900</v>
      </c>
      <c r="EZ14" s="242">
        <v>0</v>
      </c>
      <c r="FA14" s="122">
        <v>0</v>
      </c>
      <c r="FB14" s="122">
        <v>0</v>
      </c>
      <c r="FC14" s="248">
        <v>71.900000000000006</v>
      </c>
      <c r="FD14" s="248">
        <v>0</v>
      </c>
      <c r="FE14" s="248">
        <v>0</v>
      </c>
      <c r="FF14" s="243">
        <v>0</v>
      </c>
      <c r="FG14" s="243">
        <v>0</v>
      </c>
      <c r="FH14" s="463">
        <v>215.70000000000002</v>
      </c>
    </row>
    <row r="15" spans="1:165" s="236" customFormat="1" x14ac:dyDescent="0.25">
      <c r="A15" s="388">
        <v>11</v>
      </c>
      <c r="B15" s="389" t="s">
        <v>359</v>
      </c>
      <c r="C15" s="389" t="s">
        <v>180</v>
      </c>
      <c r="D15" s="389" t="s">
        <v>182</v>
      </c>
      <c r="E15" s="389" t="s">
        <v>886</v>
      </c>
      <c r="F15" s="389" t="s">
        <v>590</v>
      </c>
      <c r="G15" s="486">
        <v>2912.3</v>
      </c>
      <c r="H15" s="486">
        <v>1020</v>
      </c>
      <c r="I15" s="486">
        <v>1412.3</v>
      </c>
      <c r="J15" s="486">
        <v>480</v>
      </c>
      <c r="K15" s="390">
        <v>0.42430555555555555</v>
      </c>
      <c r="L15" s="391">
        <v>0.42430555555555555</v>
      </c>
      <c r="M15" s="392" t="s">
        <v>94</v>
      </c>
      <c r="N15" s="391">
        <v>0</v>
      </c>
      <c r="O15" s="393">
        <v>0</v>
      </c>
      <c r="P15" s="394">
        <v>4.86111119389534E-2</v>
      </c>
      <c r="Q15" s="395"/>
      <c r="R15" s="390">
        <v>0.47291666749450895</v>
      </c>
      <c r="S15" s="391">
        <v>0.47222222222222227</v>
      </c>
      <c r="T15" s="392" t="s">
        <v>883</v>
      </c>
      <c r="U15" s="391">
        <v>6.9445371627807617E-4</v>
      </c>
      <c r="V15" s="393">
        <v>60</v>
      </c>
      <c r="W15" s="394">
        <v>4.86111119389534E-2</v>
      </c>
      <c r="X15" s="391"/>
      <c r="Y15" s="395">
        <v>0</v>
      </c>
      <c r="Z15" s="390">
        <v>0.52430555638339782</v>
      </c>
      <c r="AA15" s="391">
        <v>0.52430555555555558</v>
      </c>
      <c r="AB15" s="392" t="s">
        <v>94</v>
      </c>
      <c r="AC15" s="391">
        <v>0</v>
      </c>
      <c r="AD15" s="393">
        <v>0</v>
      </c>
      <c r="AE15" s="394">
        <v>2.43055559694767E-2</v>
      </c>
      <c r="AF15" s="391"/>
      <c r="AG15" s="395">
        <v>0</v>
      </c>
      <c r="AH15" s="390">
        <v>0.54861111152503228</v>
      </c>
      <c r="AI15" s="391">
        <v>0.54791666666666672</v>
      </c>
      <c r="AJ15" s="392" t="s">
        <v>883</v>
      </c>
      <c r="AK15" s="391">
        <v>6.9445371627807617E-4</v>
      </c>
      <c r="AL15" s="393">
        <v>60</v>
      </c>
      <c r="AM15" s="394">
        <v>2.43055559694767E-2</v>
      </c>
      <c r="AN15" s="391"/>
      <c r="AO15" s="395">
        <v>0</v>
      </c>
      <c r="AP15" s="390">
        <v>0.57222222263614342</v>
      </c>
      <c r="AQ15" s="391">
        <v>0.57222222222222219</v>
      </c>
      <c r="AR15" s="392" t="s">
        <v>94</v>
      </c>
      <c r="AS15" s="391">
        <v>0</v>
      </c>
      <c r="AT15" s="393">
        <v>0</v>
      </c>
      <c r="AU15" s="394">
        <v>3.125E-2</v>
      </c>
      <c r="AV15" s="391"/>
      <c r="AW15" s="395">
        <v>0</v>
      </c>
      <c r="AX15" s="390">
        <v>0.60555555555555551</v>
      </c>
      <c r="AY15" s="391">
        <v>0.60555555555555551</v>
      </c>
      <c r="AZ15" s="392" t="s">
        <v>94</v>
      </c>
      <c r="BA15" s="391">
        <v>0</v>
      </c>
      <c r="BB15" s="393">
        <v>0</v>
      </c>
      <c r="BC15" s="394">
        <v>4.1666667908430099E-2</v>
      </c>
      <c r="BD15" s="391"/>
      <c r="BE15" s="395">
        <v>0</v>
      </c>
      <c r="BF15" s="390">
        <v>0.64722222346398561</v>
      </c>
      <c r="BG15" s="391">
        <v>0.64722222222222225</v>
      </c>
      <c r="BH15" s="392" t="s">
        <v>94</v>
      </c>
      <c r="BI15" s="391">
        <v>0</v>
      </c>
      <c r="BJ15" s="393">
        <v>0</v>
      </c>
      <c r="BK15" s="394">
        <v>2.777777798473835E-2</v>
      </c>
      <c r="BL15" s="391"/>
      <c r="BM15" s="395">
        <v>0</v>
      </c>
      <c r="BN15" s="390">
        <v>0.6750000002069606</v>
      </c>
      <c r="BO15" s="391">
        <v>0.67499999999999993</v>
      </c>
      <c r="BP15" s="392" t="s">
        <v>94</v>
      </c>
      <c r="BQ15" s="391">
        <v>0</v>
      </c>
      <c r="BR15" s="396">
        <v>0</v>
      </c>
      <c r="BS15" s="390">
        <v>0</v>
      </c>
      <c r="BT15" s="391">
        <v>0</v>
      </c>
      <c r="BU15" s="391">
        <v>0</v>
      </c>
      <c r="BV15" s="401">
        <v>81.5</v>
      </c>
      <c r="BW15" s="401">
        <v>0</v>
      </c>
      <c r="BX15" s="392">
        <v>0</v>
      </c>
      <c r="BY15" s="392" t="s">
        <v>870</v>
      </c>
      <c r="BZ15" s="392">
        <v>0</v>
      </c>
      <c r="CA15" s="462">
        <v>304.5</v>
      </c>
      <c r="CB15" s="390">
        <v>0.47569444444444442</v>
      </c>
      <c r="CC15" s="391">
        <v>0.47569444444444442</v>
      </c>
      <c r="CD15" s="391">
        <v>0</v>
      </c>
      <c r="CE15" s="391"/>
      <c r="CF15" s="391"/>
      <c r="CG15" s="397">
        <v>0.48348379629629629</v>
      </c>
      <c r="CH15" s="398">
        <v>0.48598379629629629</v>
      </c>
      <c r="CI15" s="399" t="s">
        <v>885</v>
      </c>
      <c r="CJ15" s="398">
        <v>2.499997615814209E-3</v>
      </c>
      <c r="CK15" s="462">
        <v>216</v>
      </c>
      <c r="CL15" s="397">
        <v>0.50024305555555559</v>
      </c>
      <c r="CM15" s="398">
        <v>0.50785879629629627</v>
      </c>
      <c r="CN15" s="392" t="s">
        <v>885</v>
      </c>
      <c r="CO15" s="398">
        <v>7.6157450675964355E-3</v>
      </c>
      <c r="CP15" s="462">
        <v>600</v>
      </c>
      <c r="CQ15" s="390">
        <v>0.57430555555555551</v>
      </c>
      <c r="CR15" s="391">
        <v>0.57430555555555551</v>
      </c>
      <c r="CS15" s="391">
        <v>0</v>
      </c>
      <c r="CT15" s="391"/>
      <c r="CU15" s="391"/>
      <c r="CV15" s="397">
        <v>0.58126157407407408</v>
      </c>
      <c r="CW15" s="398">
        <v>0.5821412037037037</v>
      </c>
      <c r="CX15" s="399" t="s">
        <v>885</v>
      </c>
      <c r="CY15" s="398">
        <v>8.7964534759521484E-4</v>
      </c>
      <c r="CZ15" s="462">
        <v>76</v>
      </c>
      <c r="DA15" s="397">
        <v>0.58262731481481478</v>
      </c>
      <c r="DB15" s="398">
        <v>0.58270833333333327</v>
      </c>
      <c r="DC15" s="392" t="s">
        <v>885</v>
      </c>
      <c r="DD15" s="398">
        <v>8.106231689453125E-5</v>
      </c>
      <c r="DE15" s="462">
        <v>7</v>
      </c>
      <c r="DF15" s="390">
        <v>0</v>
      </c>
      <c r="DG15" s="391">
        <v>0</v>
      </c>
      <c r="DH15" s="391">
        <v>0</v>
      </c>
      <c r="DI15" s="401">
        <v>69.599999999999994</v>
      </c>
      <c r="DJ15" s="401">
        <v>0</v>
      </c>
      <c r="DK15" s="392">
        <v>0</v>
      </c>
      <c r="DL15" s="392">
        <v>0</v>
      </c>
      <c r="DM15" s="392">
        <v>0</v>
      </c>
      <c r="DN15" s="462">
        <v>208.79999999999998</v>
      </c>
      <c r="DO15" s="402">
        <v>0</v>
      </c>
      <c r="DP15" s="400">
        <v>0</v>
      </c>
      <c r="DQ15" s="402">
        <v>0</v>
      </c>
      <c r="DR15" s="400">
        <v>480</v>
      </c>
      <c r="DS15" s="390">
        <v>0.65486111111111112</v>
      </c>
      <c r="DT15" s="396">
        <v>0</v>
      </c>
      <c r="DU15" s="390">
        <v>0</v>
      </c>
      <c r="DV15" s="396">
        <v>900</v>
      </c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59"/>
      <c r="EI15" s="459"/>
      <c r="EJ15" s="459"/>
      <c r="EK15" s="459"/>
      <c r="EL15" s="459"/>
      <c r="EM15" s="459"/>
      <c r="EN15" s="459"/>
      <c r="EO15" s="459"/>
      <c r="EP15" s="459"/>
      <c r="EQ15" s="459"/>
      <c r="ER15" s="459"/>
      <c r="ES15" s="459"/>
      <c r="ET15" s="459"/>
      <c r="EU15" s="390" t="e">
        <v>#VALUE!</v>
      </c>
      <c r="EV15" s="391">
        <v>0</v>
      </c>
      <c r="EW15" s="392" t="e">
        <v>#VALUE!</v>
      </c>
      <c r="EX15" s="391">
        <v>0</v>
      </c>
      <c r="EY15" s="396">
        <v>900</v>
      </c>
      <c r="EZ15" s="390">
        <v>0</v>
      </c>
      <c r="FA15" s="391">
        <v>0</v>
      </c>
      <c r="FB15" s="391">
        <v>0</v>
      </c>
      <c r="FC15" s="401">
        <v>81.5</v>
      </c>
      <c r="FD15" s="401">
        <v>0</v>
      </c>
      <c r="FE15" s="401">
        <v>0</v>
      </c>
      <c r="FF15" s="392" t="s">
        <v>870</v>
      </c>
      <c r="FG15" s="392">
        <v>0</v>
      </c>
      <c r="FH15" s="462">
        <v>274.5</v>
      </c>
      <c r="FI15" s="403"/>
    </row>
    <row r="16" spans="1:165" s="20" customFormat="1" x14ac:dyDescent="0.25">
      <c r="A16" s="253">
        <v>12</v>
      </c>
      <c r="B16" s="241" t="s">
        <v>592</v>
      </c>
      <c r="C16" s="241" t="s">
        <v>594</v>
      </c>
      <c r="D16" s="241" t="s">
        <v>595</v>
      </c>
      <c r="E16" s="241" t="s">
        <v>179</v>
      </c>
      <c r="F16" s="241" t="s">
        <v>380</v>
      </c>
      <c r="G16" s="487">
        <v>1355.2</v>
      </c>
      <c r="H16" s="487">
        <v>0</v>
      </c>
      <c r="I16" s="487">
        <v>995.2</v>
      </c>
      <c r="J16" s="487">
        <v>360</v>
      </c>
      <c r="K16" s="242">
        <v>0.42499999999999999</v>
      </c>
      <c r="L16" s="122">
        <v>0.42499999999999999</v>
      </c>
      <c r="M16" s="243" t="s">
        <v>94</v>
      </c>
      <c r="N16" s="122">
        <v>0</v>
      </c>
      <c r="O16" s="301">
        <v>0</v>
      </c>
      <c r="P16" s="300">
        <v>4.86111119389534E-2</v>
      </c>
      <c r="Q16" s="294"/>
      <c r="R16" s="242">
        <v>0.47361111193895339</v>
      </c>
      <c r="S16" s="122">
        <v>0.47361111111111115</v>
      </c>
      <c r="T16" s="243" t="s">
        <v>94</v>
      </c>
      <c r="U16" s="122">
        <v>0</v>
      </c>
      <c r="V16" s="301">
        <v>0</v>
      </c>
      <c r="W16" s="300">
        <v>4.86111119389534E-2</v>
      </c>
      <c r="X16" s="122"/>
      <c r="Y16" s="294">
        <v>0</v>
      </c>
      <c r="Z16" s="242">
        <v>0.52500000082784237</v>
      </c>
      <c r="AA16" s="122">
        <v>0.52500000000000002</v>
      </c>
      <c r="AB16" s="243" t="s">
        <v>94</v>
      </c>
      <c r="AC16" s="122">
        <v>0</v>
      </c>
      <c r="AD16" s="301">
        <v>0</v>
      </c>
      <c r="AE16" s="300">
        <v>2.43055559694767E-2</v>
      </c>
      <c r="AF16" s="122"/>
      <c r="AG16" s="294">
        <v>0</v>
      </c>
      <c r="AH16" s="242">
        <v>0.54930555596947672</v>
      </c>
      <c r="AI16" s="122">
        <v>0.5493055555555556</v>
      </c>
      <c r="AJ16" s="243" t="s">
        <v>94</v>
      </c>
      <c r="AK16" s="122">
        <v>0</v>
      </c>
      <c r="AL16" s="301">
        <v>0</v>
      </c>
      <c r="AM16" s="300">
        <v>2.43055559694767E-2</v>
      </c>
      <c r="AN16" s="122"/>
      <c r="AO16" s="294">
        <v>0</v>
      </c>
      <c r="AP16" s="242">
        <v>0.5736111115250323</v>
      </c>
      <c r="AQ16" s="122">
        <v>0.57361111111111118</v>
      </c>
      <c r="AR16" s="243" t="s">
        <v>94</v>
      </c>
      <c r="AS16" s="122">
        <v>0</v>
      </c>
      <c r="AT16" s="301">
        <v>0</v>
      </c>
      <c r="AU16" s="300">
        <v>3.125E-2</v>
      </c>
      <c r="AV16" s="122"/>
      <c r="AW16" s="294">
        <v>0</v>
      </c>
      <c r="AX16" s="242">
        <v>0.6069444444444444</v>
      </c>
      <c r="AY16" s="122">
        <v>0.6069444444444444</v>
      </c>
      <c r="AZ16" s="243" t="s">
        <v>94</v>
      </c>
      <c r="BA16" s="122">
        <v>0</v>
      </c>
      <c r="BB16" s="301">
        <v>0</v>
      </c>
      <c r="BC16" s="300">
        <v>4.1666667908430099E-2</v>
      </c>
      <c r="BD16" s="122"/>
      <c r="BE16" s="294">
        <v>0</v>
      </c>
      <c r="BF16" s="242">
        <v>0.6486111123528745</v>
      </c>
      <c r="BG16" s="122">
        <v>0.64861111111111114</v>
      </c>
      <c r="BH16" s="243" t="s">
        <v>94</v>
      </c>
      <c r="BI16" s="122">
        <v>0</v>
      </c>
      <c r="BJ16" s="301">
        <v>0</v>
      </c>
      <c r="BK16" s="300">
        <v>2.777777798473835E-2</v>
      </c>
      <c r="BL16" s="122"/>
      <c r="BM16" s="294">
        <v>0</v>
      </c>
      <c r="BN16" s="242">
        <v>0.67638888909584949</v>
      </c>
      <c r="BO16" s="122">
        <v>0.67569444444444438</v>
      </c>
      <c r="BP16" s="243" t="s">
        <v>94</v>
      </c>
      <c r="BQ16" s="122">
        <v>6.9439411163330078E-4</v>
      </c>
      <c r="BR16" s="244">
        <v>0</v>
      </c>
      <c r="BS16" s="242">
        <v>0</v>
      </c>
      <c r="BT16" s="122">
        <v>0</v>
      </c>
      <c r="BU16" s="122">
        <v>0</v>
      </c>
      <c r="BV16" s="248">
        <v>99.9</v>
      </c>
      <c r="BW16" s="248">
        <v>0</v>
      </c>
      <c r="BX16" s="243">
        <v>0</v>
      </c>
      <c r="BY16" s="243">
        <v>0</v>
      </c>
      <c r="BZ16" s="243">
        <v>0</v>
      </c>
      <c r="CA16" s="463">
        <v>299.70000000000005</v>
      </c>
      <c r="CB16" s="242">
        <v>0.47638888888888892</v>
      </c>
      <c r="CC16" s="122">
        <v>0.47638888888888892</v>
      </c>
      <c r="CD16" s="122">
        <v>0</v>
      </c>
      <c r="CE16" s="122"/>
      <c r="CF16" s="122"/>
      <c r="CG16" s="247">
        <v>0.48417824074074078</v>
      </c>
      <c r="CH16" s="245">
        <v>0.48381944444444441</v>
      </c>
      <c r="CI16" s="240" t="s">
        <v>883</v>
      </c>
      <c r="CJ16" s="245">
        <v>3.5879015922546387E-4</v>
      </c>
      <c r="CK16" s="463">
        <v>31</v>
      </c>
      <c r="CL16" s="247">
        <v>0.49807870370370366</v>
      </c>
      <c r="CM16" s="245">
        <v>0.49586805555555552</v>
      </c>
      <c r="CN16" s="243" t="s">
        <v>883</v>
      </c>
      <c r="CO16" s="245">
        <v>2.2106468677520752E-3</v>
      </c>
      <c r="CP16" s="463">
        <v>191</v>
      </c>
      <c r="CQ16" s="242">
        <v>0.5756944444444444</v>
      </c>
      <c r="CR16" s="122">
        <v>0.5756944444444444</v>
      </c>
      <c r="CS16" s="122">
        <v>0</v>
      </c>
      <c r="CT16" s="122"/>
      <c r="CU16" s="122"/>
      <c r="CV16" s="247">
        <v>0.58265046296296297</v>
      </c>
      <c r="CW16" s="245">
        <v>0.58259259259259266</v>
      </c>
      <c r="CX16" s="240" t="s">
        <v>883</v>
      </c>
      <c r="CY16" s="245">
        <v>5.7876110076904297E-5</v>
      </c>
      <c r="CZ16" s="463">
        <v>5</v>
      </c>
      <c r="DA16" s="247">
        <v>0.58307870370370374</v>
      </c>
      <c r="DB16" s="245">
        <v>0.58298611111111109</v>
      </c>
      <c r="DC16" s="243" t="s">
        <v>883</v>
      </c>
      <c r="DD16" s="245">
        <v>9.2566013336181641E-5</v>
      </c>
      <c r="DE16" s="463">
        <v>8</v>
      </c>
      <c r="DF16" s="242">
        <v>0</v>
      </c>
      <c r="DG16" s="122">
        <v>0</v>
      </c>
      <c r="DH16" s="122">
        <v>0</v>
      </c>
      <c r="DI16" s="248">
        <v>53.5</v>
      </c>
      <c r="DJ16" s="248">
        <v>0</v>
      </c>
      <c r="DK16" s="243">
        <v>0</v>
      </c>
      <c r="DL16" s="243">
        <v>0</v>
      </c>
      <c r="DM16" s="243" t="s">
        <v>870</v>
      </c>
      <c r="DN16" s="463">
        <v>460.5</v>
      </c>
      <c r="DO16" s="249">
        <v>0</v>
      </c>
      <c r="DP16" s="246">
        <v>0</v>
      </c>
      <c r="DQ16" s="249">
        <v>0</v>
      </c>
      <c r="DR16" s="246">
        <v>360</v>
      </c>
      <c r="DS16" s="242">
        <v>0.65625</v>
      </c>
      <c r="DT16" s="244">
        <v>0</v>
      </c>
      <c r="DU16" s="242">
        <v>0.67222222222222217</v>
      </c>
      <c r="DV16" s="244">
        <v>0</v>
      </c>
      <c r="DW16" s="459"/>
      <c r="DX16" s="459"/>
      <c r="DY16" s="459"/>
      <c r="DZ16" s="459"/>
      <c r="EA16" s="459"/>
      <c r="EB16" s="459"/>
      <c r="EC16" s="459"/>
      <c r="ED16" s="459"/>
      <c r="EE16" s="459"/>
      <c r="EF16" s="459"/>
      <c r="EG16" s="459"/>
      <c r="EH16" s="459"/>
      <c r="EI16" s="459"/>
      <c r="EJ16" s="459"/>
      <c r="EK16" s="459"/>
      <c r="EL16" s="459"/>
      <c r="EM16" s="459"/>
      <c r="EN16" s="459"/>
      <c r="EO16" s="459"/>
      <c r="EP16" s="459"/>
      <c r="EQ16" s="459"/>
      <c r="ER16" s="459"/>
      <c r="ES16" s="459"/>
      <c r="ET16" s="459"/>
      <c r="EU16" s="242" t="e">
        <v>#VALUE!</v>
      </c>
      <c r="EV16" s="122">
        <v>0</v>
      </c>
      <c r="EW16" s="243" t="e">
        <v>#VALUE!</v>
      </c>
      <c r="EX16" s="122">
        <v>0</v>
      </c>
      <c r="EY16" s="244">
        <v>900</v>
      </c>
      <c r="EZ16" s="242">
        <v>0</v>
      </c>
      <c r="FA16" s="122">
        <v>0</v>
      </c>
      <c r="FB16" s="122">
        <v>0</v>
      </c>
      <c r="FC16" s="248">
        <v>99.9</v>
      </c>
      <c r="FD16" s="248">
        <v>0</v>
      </c>
      <c r="FE16" s="248">
        <v>0</v>
      </c>
      <c r="FF16" s="243">
        <v>0</v>
      </c>
      <c r="FG16" s="243">
        <v>0</v>
      </c>
      <c r="FH16" s="463">
        <v>299.70000000000005</v>
      </c>
    </row>
    <row r="17" spans="1:165" s="236" customFormat="1" x14ac:dyDescent="0.25">
      <c r="A17" s="388">
        <v>13</v>
      </c>
      <c r="B17" s="389" t="s">
        <v>734</v>
      </c>
      <c r="C17" s="389" t="s">
        <v>736</v>
      </c>
      <c r="D17" s="389" t="s">
        <v>737</v>
      </c>
      <c r="E17" s="389" t="s">
        <v>6</v>
      </c>
      <c r="F17" s="389" t="s">
        <v>867</v>
      </c>
      <c r="G17" s="486">
        <v>1870</v>
      </c>
      <c r="H17" s="486">
        <v>540</v>
      </c>
      <c r="I17" s="486">
        <v>730</v>
      </c>
      <c r="J17" s="486">
        <v>600</v>
      </c>
      <c r="K17" s="390">
        <v>0.42569444444444443</v>
      </c>
      <c r="L17" s="391">
        <v>0.42569444444444443</v>
      </c>
      <c r="M17" s="392" t="s">
        <v>94</v>
      </c>
      <c r="N17" s="391">
        <v>0</v>
      </c>
      <c r="O17" s="393">
        <v>0</v>
      </c>
      <c r="P17" s="394">
        <v>4.86111119389534E-2</v>
      </c>
      <c r="Q17" s="395"/>
      <c r="R17" s="390">
        <v>0.47430555638339783</v>
      </c>
      <c r="S17" s="391">
        <v>0.47430555555555554</v>
      </c>
      <c r="T17" s="392" t="s">
        <v>94</v>
      </c>
      <c r="U17" s="391">
        <v>0</v>
      </c>
      <c r="V17" s="393">
        <v>0</v>
      </c>
      <c r="W17" s="394">
        <v>4.86111119389534E-2</v>
      </c>
      <c r="X17" s="391"/>
      <c r="Y17" s="395">
        <v>0</v>
      </c>
      <c r="Z17" s="390">
        <v>0.5256944452722867</v>
      </c>
      <c r="AA17" s="391">
        <v>0.52569444444444446</v>
      </c>
      <c r="AB17" s="392" t="s">
        <v>94</v>
      </c>
      <c r="AC17" s="391">
        <v>0</v>
      </c>
      <c r="AD17" s="393">
        <v>0</v>
      </c>
      <c r="AE17" s="394">
        <v>2.43055559694767E-2</v>
      </c>
      <c r="AF17" s="391"/>
      <c r="AG17" s="395">
        <v>0</v>
      </c>
      <c r="AH17" s="390">
        <v>0.55000000041392116</v>
      </c>
      <c r="AI17" s="391">
        <v>0.54999999999999993</v>
      </c>
      <c r="AJ17" s="392" t="s">
        <v>94</v>
      </c>
      <c r="AK17" s="391">
        <v>0</v>
      </c>
      <c r="AL17" s="393">
        <v>0</v>
      </c>
      <c r="AM17" s="394">
        <v>2.43055559694767E-2</v>
      </c>
      <c r="AN17" s="391"/>
      <c r="AO17" s="395">
        <v>0</v>
      </c>
      <c r="AP17" s="390">
        <v>0.57430555596947663</v>
      </c>
      <c r="AQ17" s="391">
        <v>0.57430555555555551</v>
      </c>
      <c r="AR17" s="392" t="s">
        <v>94</v>
      </c>
      <c r="AS17" s="391">
        <v>0</v>
      </c>
      <c r="AT17" s="393">
        <v>0</v>
      </c>
      <c r="AU17" s="394">
        <v>3.125E-2</v>
      </c>
      <c r="AV17" s="391"/>
      <c r="AW17" s="395">
        <v>0</v>
      </c>
      <c r="AX17" s="390">
        <v>0.60833333333333328</v>
      </c>
      <c r="AY17" s="391">
        <v>0.60833333333333328</v>
      </c>
      <c r="AZ17" s="392" t="s">
        <v>94</v>
      </c>
      <c r="BA17" s="391">
        <v>0</v>
      </c>
      <c r="BB17" s="393">
        <v>0</v>
      </c>
      <c r="BC17" s="394">
        <v>4.1666667908430099E-2</v>
      </c>
      <c r="BD17" s="391"/>
      <c r="BE17" s="395">
        <v>0</v>
      </c>
      <c r="BF17" s="390">
        <v>0.65000000124176338</v>
      </c>
      <c r="BG17" s="391">
        <v>0.65</v>
      </c>
      <c r="BH17" s="392" t="s">
        <v>94</v>
      </c>
      <c r="BI17" s="391">
        <v>0</v>
      </c>
      <c r="BJ17" s="393">
        <v>0</v>
      </c>
      <c r="BK17" s="394">
        <v>2.777777798473835E-2</v>
      </c>
      <c r="BL17" s="391"/>
      <c r="BM17" s="395">
        <v>0</v>
      </c>
      <c r="BN17" s="390">
        <v>0.67777777798473837</v>
      </c>
      <c r="BO17" s="391">
        <v>0.68402777777777779</v>
      </c>
      <c r="BP17" s="392" t="s">
        <v>885</v>
      </c>
      <c r="BQ17" s="391">
        <v>6.2500238418579102E-3</v>
      </c>
      <c r="BR17" s="396">
        <v>540</v>
      </c>
      <c r="BS17" s="390">
        <v>0</v>
      </c>
      <c r="BT17" s="391">
        <v>0</v>
      </c>
      <c r="BU17" s="391">
        <v>0</v>
      </c>
      <c r="BV17" s="401">
        <v>98.9</v>
      </c>
      <c r="BW17" s="401">
        <v>0</v>
      </c>
      <c r="BX17" s="392">
        <v>0</v>
      </c>
      <c r="BY17" s="392" t="s">
        <v>870</v>
      </c>
      <c r="BZ17" s="392">
        <v>0</v>
      </c>
      <c r="CA17" s="462">
        <v>356.70000000000005</v>
      </c>
      <c r="CB17" s="390">
        <v>0.4770833333333333</v>
      </c>
      <c r="CC17" s="391">
        <v>0.4770833333333333</v>
      </c>
      <c r="CD17" s="391">
        <v>0</v>
      </c>
      <c r="CE17" s="391"/>
      <c r="CF17" s="391"/>
      <c r="CG17" s="397">
        <v>0.48487268518518517</v>
      </c>
      <c r="CH17" s="398">
        <v>0.48527777777777775</v>
      </c>
      <c r="CI17" s="399" t="s">
        <v>885</v>
      </c>
      <c r="CJ17" s="398">
        <v>4.0507316589355469E-4</v>
      </c>
      <c r="CK17" s="462">
        <v>35</v>
      </c>
      <c r="CL17" s="397">
        <v>0.499537037037037</v>
      </c>
      <c r="CM17" s="398">
        <v>0.49898148148148147</v>
      </c>
      <c r="CN17" s="392" t="s">
        <v>883</v>
      </c>
      <c r="CO17" s="398">
        <v>5.5557489395141602E-4</v>
      </c>
      <c r="CP17" s="462">
        <v>48</v>
      </c>
      <c r="CQ17" s="390">
        <v>0.57708333333333328</v>
      </c>
      <c r="CR17" s="391">
        <v>0.57708333333333328</v>
      </c>
      <c r="CS17" s="391">
        <v>0</v>
      </c>
      <c r="CT17" s="391"/>
      <c r="CU17" s="391"/>
      <c r="CV17" s="397">
        <v>0.58403935185185185</v>
      </c>
      <c r="CW17" s="398">
        <v>0.58504629629629623</v>
      </c>
      <c r="CX17" s="399" t="s">
        <v>885</v>
      </c>
      <c r="CY17" s="398">
        <v>1.0069608688354492E-3</v>
      </c>
      <c r="CZ17" s="462">
        <v>87</v>
      </c>
      <c r="DA17" s="397">
        <v>0.58553240740740731</v>
      </c>
      <c r="DB17" s="398">
        <v>0.58550925925925923</v>
      </c>
      <c r="DC17" s="392" t="s">
        <v>883</v>
      </c>
      <c r="DD17" s="398">
        <v>2.3186206817626953E-5</v>
      </c>
      <c r="DE17" s="462">
        <v>2</v>
      </c>
      <c r="DF17" s="390">
        <v>0</v>
      </c>
      <c r="DG17" s="391">
        <v>0</v>
      </c>
      <c r="DH17" s="391">
        <v>0</v>
      </c>
      <c r="DI17" s="401">
        <v>67.099999999999994</v>
      </c>
      <c r="DJ17" s="401">
        <v>0</v>
      </c>
      <c r="DK17" s="392">
        <v>0</v>
      </c>
      <c r="DL17" s="392">
        <v>0</v>
      </c>
      <c r="DM17" s="392">
        <v>0</v>
      </c>
      <c r="DN17" s="462">
        <v>201.29999999999998</v>
      </c>
      <c r="DO17" s="402">
        <v>0</v>
      </c>
      <c r="DP17" s="400">
        <v>0</v>
      </c>
      <c r="DQ17" s="402">
        <v>0</v>
      </c>
      <c r="DR17" s="400">
        <v>600</v>
      </c>
      <c r="DS17" s="390">
        <v>0.65972222222222221</v>
      </c>
      <c r="DT17" s="396">
        <v>0</v>
      </c>
      <c r="DU17" s="390">
        <v>0.67708333333333337</v>
      </c>
      <c r="DV17" s="396">
        <v>0</v>
      </c>
      <c r="DW17" s="459"/>
      <c r="DX17" s="459"/>
      <c r="DY17" s="459"/>
      <c r="DZ17" s="459"/>
      <c r="EA17" s="459"/>
      <c r="EB17" s="459"/>
      <c r="EC17" s="459"/>
      <c r="ED17" s="459"/>
      <c r="EE17" s="459"/>
      <c r="EF17" s="459"/>
      <c r="EG17" s="459"/>
      <c r="EH17" s="459"/>
      <c r="EI17" s="459"/>
      <c r="EJ17" s="459"/>
      <c r="EK17" s="459"/>
      <c r="EL17" s="459"/>
      <c r="EM17" s="459"/>
      <c r="EN17" s="459"/>
      <c r="EO17" s="459"/>
      <c r="EP17" s="459"/>
      <c r="EQ17" s="459"/>
      <c r="ER17" s="459"/>
      <c r="ES17" s="459"/>
      <c r="ET17" s="459"/>
      <c r="EU17" s="390" t="e">
        <v>#VALUE!</v>
      </c>
      <c r="EV17" s="391">
        <v>0</v>
      </c>
      <c r="EW17" s="392" t="e">
        <v>#VALUE!</v>
      </c>
      <c r="EX17" s="391">
        <v>0</v>
      </c>
      <c r="EY17" s="396">
        <v>900</v>
      </c>
      <c r="EZ17" s="390">
        <v>0</v>
      </c>
      <c r="FA17" s="391">
        <v>0</v>
      </c>
      <c r="FB17" s="391">
        <v>0</v>
      </c>
      <c r="FC17" s="401">
        <v>98.9</v>
      </c>
      <c r="FD17" s="401">
        <v>0</v>
      </c>
      <c r="FE17" s="401">
        <v>0</v>
      </c>
      <c r="FF17" s="392" t="s">
        <v>870</v>
      </c>
      <c r="FG17" s="392">
        <v>0</v>
      </c>
      <c r="FH17" s="462">
        <v>326.70000000000005</v>
      </c>
      <c r="FI17" s="403"/>
    </row>
    <row r="18" spans="1:165" s="20" customFormat="1" x14ac:dyDescent="0.25">
      <c r="A18" s="253">
        <v>14</v>
      </c>
      <c r="B18" s="241" t="s">
        <v>741</v>
      </c>
      <c r="C18" s="241" t="s">
        <v>742</v>
      </c>
      <c r="D18" s="241" t="s">
        <v>366</v>
      </c>
      <c r="E18" s="241" t="s">
        <v>6</v>
      </c>
      <c r="F18" s="241" t="s">
        <v>867</v>
      </c>
      <c r="G18" s="487">
        <v>2537.6999999999998</v>
      </c>
      <c r="H18" s="487">
        <v>420</v>
      </c>
      <c r="I18" s="487">
        <v>1397.6999999999998</v>
      </c>
      <c r="J18" s="487">
        <v>720</v>
      </c>
      <c r="K18" s="242">
        <v>0.42638888888888887</v>
      </c>
      <c r="L18" s="122">
        <v>0.42638888888888887</v>
      </c>
      <c r="M18" s="243" t="s">
        <v>94</v>
      </c>
      <c r="N18" s="122">
        <v>0</v>
      </c>
      <c r="O18" s="301">
        <v>0</v>
      </c>
      <c r="P18" s="300">
        <v>4.86111119389534E-2</v>
      </c>
      <c r="Q18" s="294"/>
      <c r="R18" s="242">
        <v>0.47500000082784227</v>
      </c>
      <c r="S18" s="122">
        <v>0.47500000000000003</v>
      </c>
      <c r="T18" s="243" t="s">
        <v>94</v>
      </c>
      <c r="U18" s="122">
        <v>0</v>
      </c>
      <c r="V18" s="301">
        <v>0</v>
      </c>
      <c r="W18" s="300">
        <v>4.86111119389534E-2</v>
      </c>
      <c r="X18" s="122"/>
      <c r="Y18" s="294">
        <v>0</v>
      </c>
      <c r="Z18" s="242">
        <v>0.52638888971673126</v>
      </c>
      <c r="AA18" s="122">
        <v>0.52638888888888891</v>
      </c>
      <c r="AB18" s="243" t="s">
        <v>94</v>
      </c>
      <c r="AC18" s="122">
        <v>0</v>
      </c>
      <c r="AD18" s="301">
        <v>0</v>
      </c>
      <c r="AE18" s="300">
        <v>2.43055559694767E-2</v>
      </c>
      <c r="AF18" s="122"/>
      <c r="AG18" s="294">
        <v>0</v>
      </c>
      <c r="AH18" s="242">
        <v>0.55069444485836561</v>
      </c>
      <c r="AI18" s="122">
        <v>0.5541666666666667</v>
      </c>
      <c r="AJ18" s="243" t="s">
        <v>885</v>
      </c>
      <c r="AK18" s="122">
        <v>3.4722089767456055E-3</v>
      </c>
      <c r="AL18" s="301">
        <v>300</v>
      </c>
      <c r="AM18" s="300">
        <v>2.43055559694767E-2</v>
      </c>
      <c r="AN18" s="122"/>
      <c r="AO18" s="294">
        <v>0</v>
      </c>
      <c r="AP18" s="242">
        <v>0.5784722226361434</v>
      </c>
      <c r="AQ18" s="122">
        <v>0.57847222222222217</v>
      </c>
      <c r="AR18" s="243" t="s">
        <v>94</v>
      </c>
      <c r="AS18" s="122">
        <v>0</v>
      </c>
      <c r="AT18" s="301">
        <v>0</v>
      </c>
      <c r="AU18" s="300">
        <v>3.125E-2</v>
      </c>
      <c r="AV18" s="122"/>
      <c r="AW18" s="294">
        <v>0</v>
      </c>
      <c r="AX18" s="242">
        <v>0.61249999999999993</v>
      </c>
      <c r="AY18" s="122">
        <v>0.61249999999999993</v>
      </c>
      <c r="AZ18" s="243" t="s">
        <v>94</v>
      </c>
      <c r="BA18" s="122">
        <v>0</v>
      </c>
      <c r="BB18" s="301">
        <v>0</v>
      </c>
      <c r="BC18" s="300">
        <v>4.1666667908430099E-2</v>
      </c>
      <c r="BD18" s="122"/>
      <c r="BE18" s="294">
        <v>0</v>
      </c>
      <c r="BF18" s="242">
        <v>0.65416666790843003</v>
      </c>
      <c r="BG18" s="122">
        <v>0.65416666666666667</v>
      </c>
      <c r="BH18" s="243" t="s">
        <v>94</v>
      </c>
      <c r="BI18" s="122">
        <v>0</v>
      </c>
      <c r="BJ18" s="301">
        <v>0</v>
      </c>
      <c r="BK18" s="300">
        <v>2.777777798473835E-2</v>
      </c>
      <c r="BL18" s="122"/>
      <c r="BM18" s="294">
        <v>0</v>
      </c>
      <c r="BN18" s="242">
        <v>0.68194444465140502</v>
      </c>
      <c r="BO18" s="122">
        <v>0.68333333333333324</v>
      </c>
      <c r="BP18" s="243" t="s">
        <v>885</v>
      </c>
      <c r="BQ18" s="122">
        <v>1.3889074325561523E-3</v>
      </c>
      <c r="BR18" s="244">
        <v>120</v>
      </c>
      <c r="BS18" s="242">
        <v>0</v>
      </c>
      <c r="BT18" s="122">
        <v>0</v>
      </c>
      <c r="BU18" s="122">
        <v>0</v>
      </c>
      <c r="BV18" s="248">
        <v>108.6</v>
      </c>
      <c r="BW18" s="248">
        <v>0</v>
      </c>
      <c r="BX18" s="243">
        <v>0</v>
      </c>
      <c r="BY18" s="243" t="s">
        <v>870</v>
      </c>
      <c r="BZ18" s="243" t="s">
        <v>870</v>
      </c>
      <c r="CA18" s="463">
        <v>685.8</v>
      </c>
      <c r="CB18" s="242">
        <v>0.4777777777777778</v>
      </c>
      <c r="CC18" s="122">
        <v>0.4777777777777778</v>
      </c>
      <c r="CD18" s="122">
        <v>0</v>
      </c>
      <c r="CE18" s="122"/>
      <c r="CF18" s="122"/>
      <c r="CG18" s="247">
        <v>0.48556712962962967</v>
      </c>
      <c r="CH18" s="245">
        <v>0.48692129629629632</v>
      </c>
      <c r="CI18" s="240" t="s">
        <v>885</v>
      </c>
      <c r="CJ18" s="245">
        <v>1.3541877269744873E-3</v>
      </c>
      <c r="CK18" s="463">
        <v>117</v>
      </c>
      <c r="CL18" s="247">
        <v>0.50118055555555563</v>
      </c>
      <c r="CM18" s="245">
        <v>0.50403935185185189</v>
      </c>
      <c r="CN18" s="243" t="s">
        <v>885</v>
      </c>
      <c r="CO18" s="245">
        <v>2.8588175773620605E-3</v>
      </c>
      <c r="CP18" s="463">
        <v>247</v>
      </c>
      <c r="CQ18" s="242">
        <v>0.58124999999999993</v>
      </c>
      <c r="CR18" s="122">
        <v>0.58124999999999993</v>
      </c>
      <c r="CS18" s="122">
        <v>0</v>
      </c>
      <c r="CT18" s="122"/>
      <c r="CU18" s="122"/>
      <c r="CV18" s="247">
        <v>0.5882060185185185</v>
      </c>
      <c r="CW18" s="245">
        <v>0.58878472222222222</v>
      </c>
      <c r="CX18" s="240" t="s">
        <v>885</v>
      </c>
      <c r="CY18" s="245">
        <v>5.7870149612426758E-4</v>
      </c>
      <c r="CZ18" s="463">
        <v>50</v>
      </c>
      <c r="DA18" s="247">
        <v>0.5892708333333333</v>
      </c>
      <c r="DB18" s="245">
        <v>0.58923611111111118</v>
      </c>
      <c r="DC18" s="243" t="s">
        <v>883</v>
      </c>
      <c r="DD18" s="245">
        <v>3.4689903259277344E-5</v>
      </c>
      <c r="DE18" s="463">
        <v>3</v>
      </c>
      <c r="DF18" s="242">
        <v>0</v>
      </c>
      <c r="DG18" s="122">
        <v>0</v>
      </c>
      <c r="DH18" s="122">
        <v>0</v>
      </c>
      <c r="DI18" s="248">
        <v>78.3</v>
      </c>
      <c r="DJ18" s="248">
        <v>0</v>
      </c>
      <c r="DK18" s="243">
        <v>0</v>
      </c>
      <c r="DL18" s="243" t="s">
        <v>870</v>
      </c>
      <c r="DM18" s="243">
        <v>0</v>
      </c>
      <c r="DN18" s="463">
        <v>294.89999999999998</v>
      </c>
      <c r="DO18" s="249">
        <v>0</v>
      </c>
      <c r="DP18" s="246">
        <v>0</v>
      </c>
      <c r="DQ18" s="249">
        <v>0</v>
      </c>
      <c r="DR18" s="246">
        <v>720</v>
      </c>
      <c r="DS18" s="242">
        <v>0.66319444444444442</v>
      </c>
      <c r="DT18" s="244">
        <v>0</v>
      </c>
      <c r="DU18" s="242">
        <v>0.67708333333333337</v>
      </c>
      <c r="DV18" s="244">
        <v>0</v>
      </c>
      <c r="DW18" s="459"/>
      <c r="DX18" s="459"/>
      <c r="DY18" s="459"/>
      <c r="DZ18" s="459"/>
      <c r="EA18" s="459"/>
      <c r="EB18" s="459"/>
      <c r="EC18" s="459"/>
      <c r="ED18" s="459"/>
      <c r="EE18" s="459"/>
      <c r="EF18" s="459"/>
      <c r="EG18" s="459"/>
      <c r="EH18" s="459"/>
      <c r="EI18" s="459"/>
      <c r="EJ18" s="459"/>
      <c r="EK18" s="459"/>
      <c r="EL18" s="459"/>
      <c r="EM18" s="459"/>
      <c r="EN18" s="459"/>
      <c r="EO18" s="459"/>
      <c r="EP18" s="459"/>
      <c r="EQ18" s="459"/>
      <c r="ER18" s="459"/>
      <c r="ES18" s="459"/>
      <c r="ET18" s="459"/>
      <c r="EU18" s="242" t="e">
        <v>#VALUE!</v>
      </c>
      <c r="EV18" s="122">
        <v>0</v>
      </c>
      <c r="EW18" s="243" t="e">
        <v>#VALUE!</v>
      </c>
      <c r="EX18" s="122">
        <v>0</v>
      </c>
      <c r="EY18" s="244">
        <v>900</v>
      </c>
      <c r="EZ18" s="242">
        <v>0</v>
      </c>
      <c r="FA18" s="122">
        <v>0</v>
      </c>
      <c r="FB18" s="122">
        <v>0</v>
      </c>
      <c r="FC18" s="248">
        <v>108.6</v>
      </c>
      <c r="FD18" s="248">
        <v>0</v>
      </c>
      <c r="FE18" s="248">
        <v>0</v>
      </c>
      <c r="FF18" s="243" t="s">
        <v>870</v>
      </c>
      <c r="FG18" s="243" t="s">
        <v>870</v>
      </c>
      <c r="FH18" s="463">
        <v>415.79999999999995</v>
      </c>
    </row>
    <row r="19" spans="1:165" s="236" customFormat="1" x14ac:dyDescent="0.25">
      <c r="A19" s="388">
        <v>16</v>
      </c>
      <c r="B19" s="389" t="s">
        <v>613</v>
      </c>
      <c r="C19" s="389" t="s">
        <v>383</v>
      </c>
      <c r="D19" s="389" t="s">
        <v>384</v>
      </c>
      <c r="E19" s="389" t="s">
        <v>6</v>
      </c>
      <c r="F19" s="389" t="s">
        <v>868</v>
      </c>
      <c r="G19" s="486">
        <v>1587.3</v>
      </c>
      <c r="H19" s="486">
        <v>60</v>
      </c>
      <c r="I19" s="486">
        <v>1047.3</v>
      </c>
      <c r="J19" s="486">
        <v>480</v>
      </c>
      <c r="K19" s="390">
        <v>0.42708333333333331</v>
      </c>
      <c r="L19" s="391">
        <v>0.42708333333333331</v>
      </c>
      <c r="M19" s="392" t="s">
        <v>94</v>
      </c>
      <c r="N19" s="391">
        <v>0</v>
      </c>
      <c r="O19" s="393">
        <v>0</v>
      </c>
      <c r="P19" s="394">
        <v>4.86111119389534E-2</v>
      </c>
      <c r="Q19" s="395"/>
      <c r="R19" s="390">
        <v>0.47569444527228671</v>
      </c>
      <c r="S19" s="391">
        <v>0.47569444444444442</v>
      </c>
      <c r="T19" s="392" t="s">
        <v>94</v>
      </c>
      <c r="U19" s="391">
        <v>0</v>
      </c>
      <c r="V19" s="393">
        <v>0</v>
      </c>
      <c r="W19" s="394">
        <v>4.86111119389534E-2</v>
      </c>
      <c r="X19" s="391"/>
      <c r="Y19" s="395">
        <v>0</v>
      </c>
      <c r="Z19" s="390">
        <v>0.52708333416117559</v>
      </c>
      <c r="AA19" s="391">
        <v>0.52638888888888891</v>
      </c>
      <c r="AB19" s="392" t="s">
        <v>883</v>
      </c>
      <c r="AC19" s="391">
        <v>6.9445371627807617E-4</v>
      </c>
      <c r="AD19" s="393">
        <v>60</v>
      </c>
      <c r="AE19" s="394">
        <v>2.43055559694767E-2</v>
      </c>
      <c r="AF19" s="391"/>
      <c r="AG19" s="395">
        <v>0</v>
      </c>
      <c r="AH19" s="390">
        <v>0.55069444485836561</v>
      </c>
      <c r="AI19" s="391">
        <v>0.55069444444444449</v>
      </c>
      <c r="AJ19" s="392" t="s">
        <v>94</v>
      </c>
      <c r="AK19" s="391">
        <v>0</v>
      </c>
      <c r="AL19" s="393">
        <v>0</v>
      </c>
      <c r="AM19" s="394">
        <v>2.43055559694767E-2</v>
      </c>
      <c r="AN19" s="391"/>
      <c r="AO19" s="395">
        <v>0</v>
      </c>
      <c r="AP19" s="390">
        <v>0.57500000041392119</v>
      </c>
      <c r="AQ19" s="391">
        <v>0.57500000000000007</v>
      </c>
      <c r="AR19" s="392" t="s">
        <v>94</v>
      </c>
      <c r="AS19" s="391">
        <v>0</v>
      </c>
      <c r="AT19" s="393">
        <v>0</v>
      </c>
      <c r="AU19" s="394">
        <v>3.125E-2</v>
      </c>
      <c r="AV19" s="391"/>
      <c r="AW19" s="395">
        <v>0</v>
      </c>
      <c r="AX19" s="390">
        <v>0.61041666666666672</v>
      </c>
      <c r="AY19" s="391">
        <v>0.61041666666666672</v>
      </c>
      <c r="AZ19" s="392" t="s">
        <v>94</v>
      </c>
      <c r="BA19" s="391">
        <v>0</v>
      </c>
      <c r="BB19" s="393">
        <v>0</v>
      </c>
      <c r="BC19" s="394">
        <v>4.1666667908430099E-2</v>
      </c>
      <c r="BD19" s="391"/>
      <c r="BE19" s="395">
        <v>0</v>
      </c>
      <c r="BF19" s="390">
        <v>0.65208333457509682</v>
      </c>
      <c r="BG19" s="391">
        <v>0.65208333333333335</v>
      </c>
      <c r="BH19" s="392" t="s">
        <v>94</v>
      </c>
      <c r="BI19" s="391">
        <v>0</v>
      </c>
      <c r="BJ19" s="393">
        <v>0</v>
      </c>
      <c r="BK19" s="394">
        <v>2.777777798473835E-2</v>
      </c>
      <c r="BL19" s="391"/>
      <c r="BM19" s="395">
        <v>0</v>
      </c>
      <c r="BN19" s="390">
        <v>0.6798611113180717</v>
      </c>
      <c r="BO19" s="391">
        <v>0.67569444444444438</v>
      </c>
      <c r="BP19" s="392" t="s">
        <v>883</v>
      </c>
      <c r="BQ19" s="391">
        <v>4.1666626930236816E-3</v>
      </c>
      <c r="BR19" s="396">
        <v>0</v>
      </c>
      <c r="BS19" s="390">
        <v>0</v>
      </c>
      <c r="BT19" s="391">
        <v>0</v>
      </c>
      <c r="BU19" s="391">
        <v>0</v>
      </c>
      <c r="BV19" s="401">
        <v>86.5</v>
      </c>
      <c r="BW19" s="401">
        <v>0</v>
      </c>
      <c r="BX19" s="392">
        <v>0</v>
      </c>
      <c r="BY19" s="392">
        <v>0</v>
      </c>
      <c r="BZ19" s="392">
        <v>0</v>
      </c>
      <c r="CA19" s="462">
        <v>259.5</v>
      </c>
      <c r="CB19" s="390">
        <v>0.47847222222222219</v>
      </c>
      <c r="CC19" s="391">
        <v>0.47847222222222219</v>
      </c>
      <c r="CD19" s="391">
        <v>0</v>
      </c>
      <c r="CE19" s="391"/>
      <c r="CF19" s="391"/>
      <c r="CG19" s="397">
        <v>0.48626157407407405</v>
      </c>
      <c r="CH19" s="398">
        <v>0.4863425925925926</v>
      </c>
      <c r="CI19" s="399" t="s">
        <v>885</v>
      </c>
      <c r="CJ19" s="398">
        <v>8.1002712249755859E-5</v>
      </c>
      <c r="CK19" s="462">
        <v>7</v>
      </c>
      <c r="CL19" s="397">
        <v>0.50060185185185191</v>
      </c>
      <c r="CM19" s="398">
        <v>0.5074305555555555</v>
      </c>
      <c r="CN19" s="392" t="s">
        <v>885</v>
      </c>
      <c r="CO19" s="398">
        <v>6.8287253379821777E-3</v>
      </c>
      <c r="CP19" s="462">
        <v>590</v>
      </c>
      <c r="CQ19" s="390">
        <v>0.57916666666666672</v>
      </c>
      <c r="CR19" s="391">
        <v>0.57916666666666672</v>
      </c>
      <c r="CS19" s="391">
        <v>0</v>
      </c>
      <c r="CT19" s="391"/>
      <c r="CU19" s="391"/>
      <c r="CV19" s="397">
        <v>0.58612268518518529</v>
      </c>
      <c r="CW19" s="398">
        <v>0.5861574074074074</v>
      </c>
      <c r="CX19" s="399" t="s">
        <v>885</v>
      </c>
      <c r="CY19" s="398">
        <v>3.4689903259277344E-5</v>
      </c>
      <c r="CZ19" s="462">
        <v>3</v>
      </c>
      <c r="DA19" s="397">
        <v>0.58664351851851848</v>
      </c>
      <c r="DB19" s="398">
        <v>0.58674768518518516</v>
      </c>
      <c r="DC19" s="392" t="s">
        <v>885</v>
      </c>
      <c r="DD19" s="398">
        <v>1.0418891906738281E-4</v>
      </c>
      <c r="DE19" s="462">
        <v>9</v>
      </c>
      <c r="DF19" s="390">
        <v>0</v>
      </c>
      <c r="DG19" s="391">
        <v>0</v>
      </c>
      <c r="DH19" s="391">
        <v>0</v>
      </c>
      <c r="DI19" s="401">
        <v>59.6</v>
      </c>
      <c r="DJ19" s="401">
        <v>0</v>
      </c>
      <c r="DK19" s="392">
        <v>0</v>
      </c>
      <c r="DL19" s="392">
        <v>0</v>
      </c>
      <c r="DM19" s="392">
        <v>0</v>
      </c>
      <c r="DN19" s="462">
        <v>178.8</v>
      </c>
      <c r="DO19" s="402">
        <v>0</v>
      </c>
      <c r="DP19" s="400">
        <v>0</v>
      </c>
      <c r="DQ19" s="402">
        <v>0</v>
      </c>
      <c r="DR19" s="400">
        <v>480</v>
      </c>
      <c r="DS19" s="390">
        <v>0.65902777777777777</v>
      </c>
      <c r="DT19" s="396">
        <v>0</v>
      </c>
      <c r="DU19" s="390">
        <v>0.67013888888888884</v>
      </c>
      <c r="DV19" s="396">
        <v>0</v>
      </c>
      <c r="DW19" s="459"/>
      <c r="DX19" s="459"/>
      <c r="DY19" s="459"/>
      <c r="DZ19" s="459"/>
      <c r="EA19" s="459"/>
      <c r="EB19" s="459"/>
      <c r="EC19" s="459"/>
      <c r="ED19" s="459"/>
      <c r="EE19" s="459"/>
      <c r="EF19" s="459"/>
      <c r="EG19" s="459"/>
      <c r="EH19" s="459"/>
      <c r="EI19" s="459"/>
      <c r="EJ19" s="459"/>
      <c r="EK19" s="459"/>
      <c r="EL19" s="459"/>
      <c r="EM19" s="459"/>
      <c r="EN19" s="459"/>
      <c r="EO19" s="459"/>
      <c r="EP19" s="459"/>
      <c r="EQ19" s="459"/>
      <c r="ER19" s="459"/>
      <c r="ES19" s="459"/>
      <c r="ET19" s="459"/>
      <c r="EU19" s="390" t="e">
        <v>#VALUE!</v>
      </c>
      <c r="EV19" s="391">
        <v>0</v>
      </c>
      <c r="EW19" s="392" t="e">
        <v>#VALUE!</v>
      </c>
      <c r="EX19" s="391">
        <v>0</v>
      </c>
      <c r="EY19" s="396">
        <v>900</v>
      </c>
      <c r="EZ19" s="390">
        <v>0</v>
      </c>
      <c r="FA19" s="391">
        <v>0</v>
      </c>
      <c r="FB19" s="391">
        <v>0</v>
      </c>
      <c r="FC19" s="401">
        <v>86.5</v>
      </c>
      <c r="FD19" s="401">
        <v>0</v>
      </c>
      <c r="FE19" s="401">
        <v>0</v>
      </c>
      <c r="FF19" s="392">
        <v>0</v>
      </c>
      <c r="FG19" s="392">
        <v>0</v>
      </c>
      <c r="FH19" s="462">
        <v>259.5</v>
      </c>
      <c r="FI19" s="403"/>
    </row>
    <row r="20" spans="1:165" s="20" customFormat="1" x14ac:dyDescent="0.25">
      <c r="A20" s="253">
        <v>17</v>
      </c>
      <c r="B20" s="241" t="s">
        <v>616</v>
      </c>
      <c r="C20" s="241" t="s">
        <v>14</v>
      </c>
      <c r="D20" s="241" t="s">
        <v>869</v>
      </c>
      <c r="E20" s="241" t="s">
        <v>6</v>
      </c>
      <c r="F20" s="241" t="s">
        <v>867</v>
      </c>
      <c r="G20" s="487">
        <v>2545.6999999999998</v>
      </c>
      <c r="H20" s="487">
        <v>1200</v>
      </c>
      <c r="I20" s="487">
        <v>745.69999999999993</v>
      </c>
      <c r="J20" s="487">
        <v>600</v>
      </c>
      <c r="K20" s="242">
        <v>0.42777777777777776</v>
      </c>
      <c r="L20" s="122">
        <v>0.42777777777777781</v>
      </c>
      <c r="M20" s="243" t="s">
        <v>94</v>
      </c>
      <c r="N20" s="122">
        <v>0</v>
      </c>
      <c r="O20" s="301">
        <v>0</v>
      </c>
      <c r="P20" s="300">
        <v>4.86111119389534E-2</v>
      </c>
      <c r="Q20" s="294"/>
      <c r="R20" s="242">
        <v>0.47638888971673121</v>
      </c>
      <c r="S20" s="122">
        <v>0.47638888888888892</v>
      </c>
      <c r="T20" s="243" t="s">
        <v>94</v>
      </c>
      <c r="U20" s="122">
        <v>0</v>
      </c>
      <c r="V20" s="301">
        <v>0</v>
      </c>
      <c r="W20" s="300">
        <v>4.86111119389534E-2</v>
      </c>
      <c r="X20" s="122"/>
      <c r="Y20" s="294">
        <v>0</v>
      </c>
      <c r="Z20" s="242">
        <v>0.52777777860562014</v>
      </c>
      <c r="AA20" s="122">
        <v>0.52708333333333335</v>
      </c>
      <c r="AB20" s="243" t="s">
        <v>883</v>
      </c>
      <c r="AC20" s="122">
        <v>6.9445371627807617E-4</v>
      </c>
      <c r="AD20" s="301">
        <v>60</v>
      </c>
      <c r="AE20" s="300">
        <v>2.43055559694767E-2</v>
      </c>
      <c r="AF20" s="122"/>
      <c r="AG20" s="294">
        <v>0</v>
      </c>
      <c r="AH20" s="242">
        <v>0.55138888930281005</v>
      </c>
      <c r="AI20" s="122">
        <v>0.5541666666666667</v>
      </c>
      <c r="AJ20" s="243" t="s">
        <v>885</v>
      </c>
      <c r="AK20" s="122">
        <v>2.7778148651123047E-3</v>
      </c>
      <c r="AL20" s="301">
        <v>240</v>
      </c>
      <c r="AM20" s="300">
        <v>2.43055559694767E-2</v>
      </c>
      <c r="AN20" s="122"/>
      <c r="AO20" s="294">
        <v>0</v>
      </c>
      <c r="AP20" s="242">
        <v>0.5784722226361434</v>
      </c>
      <c r="AQ20" s="122">
        <v>0.57847222222222217</v>
      </c>
      <c r="AR20" s="243" t="s">
        <v>94</v>
      </c>
      <c r="AS20" s="122">
        <v>0</v>
      </c>
      <c r="AT20" s="301">
        <v>0</v>
      </c>
      <c r="AU20" s="300">
        <v>3.125E-2</v>
      </c>
      <c r="AV20" s="122"/>
      <c r="AW20" s="294">
        <v>0</v>
      </c>
      <c r="AX20" s="242">
        <v>0.6118055555555556</v>
      </c>
      <c r="AY20" s="122">
        <v>0.6118055555555556</v>
      </c>
      <c r="AZ20" s="243" t="s">
        <v>94</v>
      </c>
      <c r="BA20" s="122">
        <v>0</v>
      </c>
      <c r="BB20" s="301">
        <v>0</v>
      </c>
      <c r="BC20" s="300">
        <v>4.1666667908430099E-2</v>
      </c>
      <c r="BD20" s="122"/>
      <c r="BE20" s="294">
        <v>0</v>
      </c>
      <c r="BF20" s="242">
        <v>0.6534722234639857</v>
      </c>
      <c r="BG20" s="122">
        <v>0.65347222222222223</v>
      </c>
      <c r="BH20" s="243" t="s">
        <v>94</v>
      </c>
      <c r="BI20" s="122">
        <v>0</v>
      </c>
      <c r="BJ20" s="301">
        <v>0</v>
      </c>
      <c r="BK20" s="300">
        <v>2.777777798473835E-2</v>
      </c>
      <c r="BL20" s="122"/>
      <c r="BM20" s="294">
        <v>0</v>
      </c>
      <c r="BN20" s="242">
        <v>0.68125000020696058</v>
      </c>
      <c r="BO20" s="122">
        <v>0.67569444444444438</v>
      </c>
      <c r="BP20" s="243" t="s">
        <v>883</v>
      </c>
      <c r="BQ20" s="122">
        <v>5.5555105209350586E-3</v>
      </c>
      <c r="BR20" s="244">
        <v>0</v>
      </c>
      <c r="BS20" s="242">
        <v>0</v>
      </c>
      <c r="BT20" s="122">
        <v>0</v>
      </c>
      <c r="BU20" s="122">
        <v>0</v>
      </c>
      <c r="BV20" s="248">
        <v>83.6</v>
      </c>
      <c r="BW20" s="248">
        <v>0</v>
      </c>
      <c r="BX20" s="243">
        <v>0</v>
      </c>
      <c r="BY20" s="243">
        <v>0</v>
      </c>
      <c r="BZ20" s="243">
        <v>0</v>
      </c>
      <c r="CA20" s="463">
        <v>250.79999999999998</v>
      </c>
      <c r="CB20" s="242">
        <v>0.47916666666666669</v>
      </c>
      <c r="CC20" s="122">
        <v>0.47916666666666669</v>
      </c>
      <c r="CD20" s="122">
        <v>0</v>
      </c>
      <c r="CE20" s="122"/>
      <c r="CF20" s="122"/>
      <c r="CG20" s="247">
        <v>0.48695601851851855</v>
      </c>
      <c r="CH20" s="245">
        <v>0.48771990740740739</v>
      </c>
      <c r="CI20" s="240" t="s">
        <v>885</v>
      </c>
      <c r="CJ20" s="245">
        <v>7.6386332511901855E-4</v>
      </c>
      <c r="CK20" s="463">
        <v>66</v>
      </c>
      <c r="CL20" s="247">
        <v>0.50197916666666664</v>
      </c>
      <c r="CM20" s="245">
        <v>0.50119212962962967</v>
      </c>
      <c r="CN20" s="243" t="s">
        <v>883</v>
      </c>
      <c r="CO20" s="245">
        <v>7.8701972961425781E-4</v>
      </c>
      <c r="CP20" s="463">
        <v>68</v>
      </c>
      <c r="CQ20" s="242">
        <v>0.5805555555555556</v>
      </c>
      <c r="CR20" s="122">
        <v>0.5805555555555556</v>
      </c>
      <c r="CS20" s="122">
        <v>0</v>
      </c>
      <c r="CT20" s="122"/>
      <c r="CU20" s="122"/>
      <c r="CV20" s="247">
        <v>0.58751157407407417</v>
      </c>
      <c r="CW20" s="245">
        <v>0.58851851851851855</v>
      </c>
      <c r="CX20" s="240" t="s">
        <v>885</v>
      </c>
      <c r="CY20" s="245">
        <v>1.0069012641906738E-3</v>
      </c>
      <c r="CZ20" s="463">
        <v>87</v>
      </c>
      <c r="DA20" s="247">
        <v>0.58900462962962963</v>
      </c>
      <c r="DB20" s="245">
        <v>0.5889699074074074</v>
      </c>
      <c r="DC20" s="243" t="s">
        <v>883</v>
      </c>
      <c r="DD20" s="245">
        <v>3.4749507904052734E-5</v>
      </c>
      <c r="DE20" s="463">
        <v>3</v>
      </c>
      <c r="DF20" s="242">
        <v>0</v>
      </c>
      <c r="DG20" s="122">
        <v>0</v>
      </c>
      <c r="DH20" s="122">
        <v>0</v>
      </c>
      <c r="DI20" s="248">
        <v>70.3</v>
      </c>
      <c r="DJ20" s="248">
        <v>0</v>
      </c>
      <c r="DK20" s="243">
        <v>0</v>
      </c>
      <c r="DL20" s="243" t="s">
        <v>870</v>
      </c>
      <c r="DM20" s="243">
        <v>0</v>
      </c>
      <c r="DN20" s="463">
        <v>270.89999999999998</v>
      </c>
      <c r="DO20" s="249">
        <v>0</v>
      </c>
      <c r="DP20" s="246">
        <v>0</v>
      </c>
      <c r="DQ20" s="249">
        <v>0</v>
      </c>
      <c r="DR20" s="246">
        <v>600</v>
      </c>
      <c r="DS20" s="242">
        <v>0.66111111111111109</v>
      </c>
      <c r="DT20" s="244">
        <v>0</v>
      </c>
      <c r="DU20" s="242">
        <v>0</v>
      </c>
      <c r="DV20" s="244">
        <v>900</v>
      </c>
      <c r="DW20" s="459"/>
      <c r="DX20" s="459"/>
      <c r="DY20" s="459"/>
      <c r="DZ20" s="459"/>
      <c r="EA20" s="459"/>
      <c r="EB20" s="459"/>
      <c r="EC20" s="459"/>
      <c r="ED20" s="459"/>
      <c r="EE20" s="459"/>
      <c r="EF20" s="459"/>
      <c r="EG20" s="459"/>
      <c r="EH20" s="459"/>
      <c r="EI20" s="459"/>
      <c r="EJ20" s="459"/>
      <c r="EK20" s="459"/>
      <c r="EL20" s="459"/>
      <c r="EM20" s="459"/>
      <c r="EN20" s="459"/>
      <c r="EO20" s="459"/>
      <c r="EP20" s="459"/>
      <c r="EQ20" s="459"/>
      <c r="ER20" s="459"/>
      <c r="ES20" s="459"/>
      <c r="ET20" s="459"/>
      <c r="EU20" s="242" t="e">
        <v>#VALUE!</v>
      </c>
      <c r="EV20" s="122">
        <v>0</v>
      </c>
      <c r="EW20" s="243" t="e">
        <v>#VALUE!</v>
      </c>
      <c r="EX20" s="122">
        <v>0</v>
      </c>
      <c r="EY20" s="244">
        <v>900</v>
      </c>
      <c r="EZ20" s="242">
        <v>0</v>
      </c>
      <c r="FA20" s="122">
        <v>0</v>
      </c>
      <c r="FB20" s="122">
        <v>0</v>
      </c>
      <c r="FC20" s="248">
        <v>83.6</v>
      </c>
      <c r="FD20" s="248">
        <v>0</v>
      </c>
      <c r="FE20" s="248">
        <v>0</v>
      </c>
      <c r="FF20" s="243">
        <v>0</v>
      </c>
      <c r="FG20" s="243">
        <v>0</v>
      </c>
      <c r="FH20" s="463">
        <v>250.79999999999998</v>
      </c>
    </row>
    <row r="21" spans="1:165" s="236" customFormat="1" x14ac:dyDescent="0.25">
      <c r="A21" s="388">
        <v>18</v>
      </c>
      <c r="B21" s="389" t="s">
        <v>645</v>
      </c>
      <c r="C21" s="389" t="s">
        <v>647</v>
      </c>
      <c r="D21" s="389" t="s">
        <v>649</v>
      </c>
      <c r="E21" s="389" t="s">
        <v>901</v>
      </c>
      <c r="F21" s="389" t="s">
        <v>590</v>
      </c>
      <c r="G21" s="486">
        <v>2230.3000000000002</v>
      </c>
      <c r="H21" s="486">
        <v>1320</v>
      </c>
      <c r="I21" s="486">
        <v>790.3</v>
      </c>
      <c r="J21" s="486">
        <v>120</v>
      </c>
      <c r="K21" s="390">
        <v>0.4284722222222222</v>
      </c>
      <c r="L21" s="391">
        <v>0.4284722222222222</v>
      </c>
      <c r="M21" s="392" t="s">
        <v>94</v>
      </c>
      <c r="N21" s="391">
        <v>0</v>
      </c>
      <c r="O21" s="393">
        <v>0</v>
      </c>
      <c r="P21" s="394">
        <v>4.86111119389534E-2</v>
      </c>
      <c r="Q21" s="395"/>
      <c r="R21" s="390">
        <v>0.4770833341611756</v>
      </c>
      <c r="S21" s="391">
        <v>0.4770833333333333</v>
      </c>
      <c r="T21" s="392" t="s">
        <v>94</v>
      </c>
      <c r="U21" s="391">
        <v>0</v>
      </c>
      <c r="V21" s="393">
        <v>0</v>
      </c>
      <c r="W21" s="394">
        <v>4.86111119389534E-2</v>
      </c>
      <c r="X21" s="391"/>
      <c r="Y21" s="395">
        <v>0</v>
      </c>
      <c r="Z21" s="390">
        <v>0.52847222305006447</v>
      </c>
      <c r="AA21" s="391">
        <v>0.52847222222222223</v>
      </c>
      <c r="AB21" s="392" t="s">
        <v>94</v>
      </c>
      <c r="AC21" s="391">
        <v>0</v>
      </c>
      <c r="AD21" s="393">
        <v>0</v>
      </c>
      <c r="AE21" s="394">
        <v>2.43055559694767E-2</v>
      </c>
      <c r="AF21" s="391"/>
      <c r="AG21" s="395">
        <v>0</v>
      </c>
      <c r="AH21" s="390">
        <v>0.55277777819169893</v>
      </c>
      <c r="AI21" s="391">
        <v>0.55069444444444449</v>
      </c>
      <c r="AJ21" s="392" t="s">
        <v>883</v>
      </c>
      <c r="AK21" s="391">
        <v>2.0833015441894531E-3</v>
      </c>
      <c r="AL21" s="393">
        <v>180</v>
      </c>
      <c r="AM21" s="394">
        <v>2.43055559694767E-2</v>
      </c>
      <c r="AN21" s="391"/>
      <c r="AO21" s="395">
        <v>0</v>
      </c>
      <c r="AP21" s="390">
        <v>0.57500000041392119</v>
      </c>
      <c r="AQ21" s="391">
        <v>0.57500000000000007</v>
      </c>
      <c r="AR21" s="392" t="s">
        <v>94</v>
      </c>
      <c r="AS21" s="391">
        <v>0</v>
      </c>
      <c r="AT21" s="393">
        <v>0</v>
      </c>
      <c r="AU21" s="394">
        <v>3.125E-2</v>
      </c>
      <c r="AV21" s="391"/>
      <c r="AW21" s="395">
        <v>0</v>
      </c>
      <c r="AX21" s="390">
        <v>0.61111111111111105</v>
      </c>
      <c r="AY21" s="391">
        <v>0.61388888888888882</v>
      </c>
      <c r="AZ21" s="392" t="s">
        <v>885</v>
      </c>
      <c r="BA21" s="391">
        <v>2.7777552604675293E-3</v>
      </c>
      <c r="BB21" s="393">
        <v>240</v>
      </c>
      <c r="BC21" s="394">
        <v>4.1666667908430099E-2</v>
      </c>
      <c r="BD21" s="391"/>
      <c r="BE21" s="395">
        <v>0</v>
      </c>
      <c r="BF21" s="390">
        <v>0.65555555679731892</v>
      </c>
      <c r="BG21" s="391">
        <v>0.65555555555555556</v>
      </c>
      <c r="BH21" s="392" t="s">
        <v>94</v>
      </c>
      <c r="BI21" s="391">
        <v>0</v>
      </c>
      <c r="BJ21" s="393">
        <v>0</v>
      </c>
      <c r="BK21" s="394">
        <v>2.777777798473835E-2</v>
      </c>
      <c r="BL21" s="391"/>
      <c r="BM21" s="395">
        <v>0</v>
      </c>
      <c r="BN21" s="390">
        <v>0.68333333354029391</v>
      </c>
      <c r="BO21" s="391">
        <v>0.68333333333333324</v>
      </c>
      <c r="BP21" s="392" t="s">
        <v>94</v>
      </c>
      <c r="BQ21" s="391">
        <v>0</v>
      </c>
      <c r="BR21" s="396">
        <v>0</v>
      </c>
      <c r="BS21" s="390">
        <v>0</v>
      </c>
      <c r="BT21" s="391">
        <v>0</v>
      </c>
      <c r="BU21" s="391">
        <v>0</v>
      </c>
      <c r="BV21" s="401">
        <v>57.9</v>
      </c>
      <c r="BW21" s="401">
        <v>0</v>
      </c>
      <c r="BX21" s="392">
        <v>0</v>
      </c>
      <c r="BY21" s="392">
        <v>0</v>
      </c>
      <c r="BZ21" s="392">
        <v>0</v>
      </c>
      <c r="CA21" s="462">
        <v>173.7</v>
      </c>
      <c r="CB21" s="390">
        <v>0.47986111111111113</v>
      </c>
      <c r="CC21" s="391">
        <v>0.47986111111111113</v>
      </c>
      <c r="CD21" s="391">
        <v>0</v>
      </c>
      <c r="CE21" s="391"/>
      <c r="CF21" s="391"/>
      <c r="CG21" s="397">
        <v>0.48765046296296299</v>
      </c>
      <c r="CH21" s="398">
        <v>0.48796296296296293</v>
      </c>
      <c r="CI21" s="399" t="s">
        <v>885</v>
      </c>
      <c r="CJ21" s="398">
        <v>3.1250715255737305E-4</v>
      </c>
      <c r="CK21" s="462">
        <v>27</v>
      </c>
      <c r="CL21" s="397">
        <v>0.50222222222222224</v>
      </c>
      <c r="CM21" s="398">
        <v>0.50142361111111111</v>
      </c>
      <c r="CN21" s="392" t="s">
        <v>883</v>
      </c>
      <c r="CO21" s="398">
        <v>7.9864263534545898E-4</v>
      </c>
      <c r="CP21" s="462">
        <v>69</v>
      </c>
      <c r="CQ21" s="390">
        <v>0.57986111111111105</v>
      </c>
      <c r="CR21" s="391">
        <v>0.57986111111111105</v>
      </c>
      <c r="CS21" s="391">
        <v>0</v>
      </c>
      <c r="CT21" s="391"/>
      <c r="CU21" s="391"/>
      <c r="CV21" s="397">
        <v>0.58681712962962962</v>
      </c>
      <c r="CW21" s="398">
        <v>0.58706018518518521</v>
      </c>
      <c r="CX21" s="399" t="s">
        <v>885</v>
      </c>
      <c r="CY21" s="398">
        <v>2.4306774139404297E-4</v>
      </c>
      <c r="CZ21" s="462">
        <v>21</v>
      </c>
      <c r="DA21" s="397">
        <v>0.58754629629629629</v>
      </c>
      <c r="DB21" s="398">
        <v>0.58759259259259256</v>
      </c>
      <c r="DC21" s="392" t="s">
        <v>885</v>
      </c>
      <c r="DD21" s="398">
        <v>4.6312808990478516E-5</v>
      </c>
      <c r="DE21" s="462">
        <v>4</v>
      </c>
      <c r="DF21" s="390">
        <v>0</v>
      </c>
      <c r="DG21" s="391">
        <v>0</v>
      </c>
      <c r="DH21" s="391">
        <v>0</v>
      </c>
      <c r="DI21" s="401">
        <v>65.2</v>
      </c>
      <c r="DJ21" s="401">
        <v>0</v>
      </c>
      <c r="DK21" s="392">
        <v>0</v>
      </c>
      <c r="DL21" s="392">
        <v>0</v>
      </c>
      <c r="DM21" s="392" t="s">
        <v>870</v>
      </c>
      <c r="DN21" s="462">
        <v>495.6</v>
      </c>
      <c r="DO21" s="402">
        <v>0</v>
      </c>
      <c r="DP21" s="400">
        <v>0</v>
      </c>
      <c r="DQ21" s="402">
        <v>0</v>
      </c>
      <c r="DR21" s="400">
        <v>120</v>
      </c>
      <c r="DS21" s="390">
        <v>0.66388888888888886</v>
      </c>
      <c r="DT21" s="396">
        <v>0</v>
      </c>
      <c r="DU21" s="390">
        <v>0</v>
      </c>
      <c r="DV21" s="396">
        <v>900</v>
      </c>
      <c r="DW21" s="459"/>
      <c r="DX21" s="459"/>
      <c r="DY21" s="459"/>
      <c r="DZ21" s="459"/>
      <c r="EA21" s="459"/>
      <c r="EB21" s="459"/>
      <c r="EC21" s="459"/>
      <c r="ED21" s="459"/>
      <c r="EE21" s="459"/>
      <c r="EF21" s="459"/>
      <c r="EG21" s="459"/>
      <c r="EH21" s="459"/>
      <c r="EI21" s="459"/>
      <c r="EJ21" s="459"/>
      <c r="EK21" s="459"/>
      <c r="EL21" s="459"/>
      <c r="EM21" s="459"/>
      <c r="EN21" s="459"/>
      <c r="EO21" s="459"/>
      <c r="EP21" s="459"/>
      <c r="EQ21" s="459"/>
      <c r="ER21" s="459"/>
      <c r="ES21" s="459"/>
      <c r="ET21" s="459"/>
      <c r="EU21" s="390" t="e">
        <v>#VALUE!</v>
      </c>
      <c r="EV21" s="391">
        <v>0</v>
      </c>
      <c r="EW21" s="392" t="e">
        <v>#VALUE!</v>
      </c>
      <c r="EX21" s="391">
        <v>0</v>
      </c>
      <c r="EY21" s="396">
        <v>900</v>
      </c>
      <c r="EZ21" s="390">
        <v>0</v>
      </c>
      <c r="FA21" s="391">
        <v>0</v>
      </c>
      <c r="FB21" s="391">
        <v>0</v>
      </c>
      <c r="FC21" s="401">
        <v>57.9</v>
      </c>
      <c r="FD21" s="401">
        <v>0</v>
      </c>
      <c r="FE21" s="401">
        <v>0</v>
      </c>
      <c r="FF21" s="392">
        <v>0</v>
      </c>
      <c r="FG21" s="392">
        <v>0</v>
      </c>
      <c r="FH21" s="462">
        <v>173.7</v>
      </c>
      <c r="FI21" s="403"/>
    </row>
    <row r="22" spans="1:165" s="20" customFormat="1" x14ac:dyDescent="0.25">
      <c r="A22" s="253">
        <v>20</v>
      </c>
      <c r="B22" s="241" t="s">
        <v>608</v>
      </c>
      <c r="C22" s="241" t="s">
        <v>615</v>
      </c>
      <c r="D22" s="241" t="s">
        <v>33</v>
      </c>
      <c r="E22" s="241" t="s">
        <v>6</v>
      </c>
      <c r="F22" s="241" t="s">
        <v>868</v>
      </c>
      <c r="G22" s="487">
        <v>1818.3</v>
      </c>
      <c r="H22" s="487">
        <v>720</v>
      </c>
      <c r="I22" s="487">
        <v>858.3</v>
      </c>
      <c r="J22" s="487">
        <v>240</v>
      </c>
      <c r="K22" s="242">
        <v>0.42916666666666664</v>
      </c>
      <c r="L22" s="122">
        <v>0.4284722222222222</v>
      </c>
      <c r="M22" s="243" t="s">
        <v>883</v>
      </c>
      <c r="N22" s="122">
        <v>6.9445371627807617E-4</v>
      </c>
      <c r="O22" s="301">
        <v>60</v>
      </c>
      <c r="P22" s="300">
        <v>4.86111119389534E-2</v>
      </c>
      <c r="Q22" s="294"/>
      <c r="R22" s="242">
        <v>0.4770833341611756</v>
      </c>
      <c r="S22" s="122">
        <v>0.4777777777777778</v>
      </c>
      <c r="T22" s="243" t="s">
        <v>885</v>
      </c>
      <c r="U22" s="122">
        <v>6.9445371627807617E-4</v>
      </c>
      <c r="V22" s="301">
        <v>60</v>
      </c>
      <c r="W22" s="300">
        <v>4.86111119389534E-2</v>
      </c>
      <c r="X22" s="122"/>
      <c r="Y22" s="294">
        <v>0</v>
      </c>
      <c r="Z22" s="242">
        <v>0.52916666749450902</v>
      </c>
      <c r="AA22" s="122">
        <v>0.52916666666666667</v>
      </c>
      <c r="AB22" s="243" t="s">
        <v>94</v>
      </c>
      <c r="AC22" s="122">
        <v>0</v>
      </c>
      <c r="AD22" s="301">
        <v>0</v>
      </c>
      <c r="AE22" s="300">
        <v>2.43055559694767E-2</v>
      </c>
      <c r="AF22" s="122"/>
      <c r="AG22" s="294">
        <v>0</v>
      </c>
      <c r="AH22" s="242">
        <v>0.55347222263614337</v>
      </c>
      <c r="AI22" s="122">
        <v>0.56180555555555556</v>
      </c>
      <c r="AJ22" s="243" t="s">
        <v>885</v>
      </c>
      <c r="AK22" s="122">
        <v>8.3333253860473633E-3</v>
      </c>
      <c r="AL22" s="301">
        <v>600</v>
      </c>
      <c r="AM22" s="300">
        <v>2.43055559694767E-2</v>
      </c>
      <c r="AN22" s="122"/>
      <c r="AO22" s="294">
        <v>0</v>
      </c>
      <c r="AP22" s="242">
        <v>0.58611111152503226</v>
      </c>
      <c r="AQ22" s="122">
        <v>0.58611111111111114</v>
      </c>
      <c r="AR22" s="243" t="s">
        <v>94</v>
      </c>
      <c r="AS22" s="122">
        <v>0</v>
      </c>
      <c r="AT22" s="301">
        <v>0</v>
      </c>
      <c r="AU22" s="300">
        <v>3.125E-2</v>
      </c>
      <c r="AV22" s="122"/>
      <c r="AW22" s="294">
        <v>0</v>
      </c>
      <c r="AX22" s="242">
        <v>0.62083333333333335</v>
      </c>
      <c r="AY22" s="122">
        <v>0.62083333333333335</v>
      </c>
      <c r="AZ22" s="243" t="s">
        <v>94</v>
      </c>
      <c r="BA22" s="122">
        <v>0</v>
      </c>
      <c r="BB22" s="301">
        <v>0</v>
      </c>
      <c r="BC22" s="300">
        <v>4.1666667908430099E-2</v>
      </c>
      <c r="BD22" s="122"/>
      <c r="BE22" s="294">
        <v>0</v>
      </c>
      <c r="BF22" s="242">
        <v>0.66250000124176345</v>
      </c>
      <c r="BG22" s="122">
        <v>0.66249999999999998</v>
      </c>
      <c r="BH22" s="243" t="s">
        <v>94</v>
      </c>
      <c r="BI22" s="122">
        <v>0</v>
      </c>
      <c r="BJ22" s="301">
        <v>0</v>
      </c>
      <c r="BK22" s="300">
        <v>2.777777798473835E-2</v>
      </c>
      <c r="BL22" s="122"/>
      <c r="BM22" s="294">
        <v>0</v>
      </c>
      <c r="BN22" s="242">
        <v>0.69027777798473833</v>
      </c>
      <c r="BO22" s="122">
        <v>0.68819444444444444</v>
      </c>
      <c r="BP22" s="243" t="s">
        <v>883</v>
      </c>
      <c r="BQ22" s="122">
        <v>2.0833015441894531E-3</v>
      </c>
      <c r="BR22" s="244">
        <v>0</v>
      </c>
      <c r="BS22" s="242">
        <v>0</v>
      </c>
      <c r="BT22" s="122">
        <v>0</v>
      </c>
      <c r="BU22" s="122">
        <v>0</v>
      </c>
      <c r="BV22" s="248">
        <v>66.8</v>
      </c>
      <c r="BW22" s="248">
        <v>0</v>
      </c>
      <c r="BX22" s="243">
        <v>0</v>
      </c>
      <c r="BY22" s="243" t="s">
        <v>870</v>
      </c>
      <c r="BZ22" s="243">
        <v>0</v>
      </c>
      <c r="CA22" s="463">
        <v>260.39999999999998</v>
      </c>
      <c r="CB22" s="242">
        <v>0.48055555555555557</v>
      </c>
      <c r="CC22" s="122">
        <v>0.48055555555555557</v>
      </c>
      <c r="CD22" s="122">
        <v>0</v>
      </c>
      <c r="CE22" s="122"/>
      <c r="CF22" s="122"/>
      <c r="CG22" s="247">
        <v>0.48834490740740744</v>
      </c>
      <c r="CH22" s="245">
        <v>0.48865740740740743</v>
      </c>
      <c r="CI22" s="240" t="s">
        <v>885</v>
      </c>
      <c r="CJ22" s="245">
        <v>3.1250715255737305E-4</v>
      </c>
      <c r="CK22" s="463">
        <v>27</v>
      </c>
      <c r="CL22" s="247">
        <v>0.50291666666666668</v>
      </c>
      <c r="CM22" s="245">
        <v>0.50668981481481479</v>
      </c>
      <c r="CN22" s="243" t="s">
        <v>885</v>
      </c>
      <c r="CO22" s="245">
        <v>3.7730932235717773E-3</v>
      </c>
      <c r="CP22" s="463">
        <v>326</v>
      </c>
      <c r="CQ22" s="242">
        <v>0.58958333333333335</v>
      </c>
      <c r="CR22" s="122">
        <v>0.58958333333333335</v>
      </c>
      <c r="CS22" s="122">
        <v>0</v>
      </c>
      <c r="CT22" s="122"/>
      <c r="CU22" s="122"/>
      <c r="CV22" s="247">
        <v>0.59653935185185192</v>
      </c>
      <c r="CW22" s="245">
        <v>0.59696759259259258</v>
      </c>
      <c r="CX22" s="240" t="s">
        <v>885</v>
      </c>
      <c r="CY22" s="245">
        <v>4.2819976806640625E-4</v>
      </c>
      <c r="CZ22" s="463">
        <v>37</v>
      </c>
      <c r="DA22" s="247">
        <v>0.59745370370370365</v>
      </c>
      <c r="DB22" s="245">
        <v>0.59745370370370365</v>
      </c>
      <c r="DC22" s="243" t="s">
        <v>94</v>
      </c>
      <c r="DD22" s="245">
        <v>0</v>
      </c>
      <c r="DE22" s="463">
        <v>0</v>
      </c>
      <c r="DF22" s="242">
        <v>0</v>
      </c>
      <c r="DG22" s="122">
        <v>0</v>
      </c>
      <c r="DH22" s="122">
        <v>0</v>
      </c>
      <c r="DI22" s="248">
        <v>49.3</v>
      </c>
      <c r="DJ22" s="248">
        <v>0</v>
      </c>
      <c r="DK22" s="243">
        <v>0</v>
      </c>
      <c r="DL22" s="243" t="s">
        <v>870</v>
      </c>
      <c r="DM22" s="243">
        <v>0</v>
      </c>
      <c r="DN22" s="463">
        <v>207.89999999999998</v>
      </c>
      <c r="DO22" s="249">
        <v>0</v>
      </c>
      <c r="DP22" s="246">
        <v>0</v>
      </c>
      <c r="DQ22" s="249">
        <v>0</v>
      </c>
      <c r="DR22" s="246">
        <v>240</v>
      </c>
      <c r="DS22" s="242">
        <v>0.67013888888888884</v>
      </c>
      <c r="DT22" s="244">
        <v>0</v>
      </c>
      <c r="DU22" s="242">
        <v>0.68333333333333324</v>
      </c>
      <c r="DV22" s="244">
        <v>0</v>
      </c>
      <c r="DW22" s="459"/>
      <c r="DX22" s="459"/>
      <c r="DY22" s="459"/>
      <c r="DZ22" s="459"/>
      <c r="EA22" s="459"/>
      <c r="EB22" s="459"/>
      <c r="EC22" s="459"/>
      <c r="ED22" s="459"/>
      <c r="EE22" s="459"/>
      <c r="EF22" s="459"/>
      <c r="EG22" s="459"/>
      <c r="EH22" s="459"/>
      <c r="EI22" s="459"/>
      <c r="EJ22" s="459"/>
      <c r="EK22" s="459"/>
      <c r="EL22" s="459"/>
      <c r="EM22" s="459"/>
      <c r="EN22" s="459"/>
      <c r="EO22" s="459"/>
      <c r="EP22" s="459"/>
      <c r="EQ22" s="459"/>
      <c r="ER22" s="459"/>
      <c r="ES22" s="459"/>
      <c r="ET22" s="459"/>
      <c r="EU22" s="242" t="e">
        <v>#VALUE!</v>
      </c>
      <c r="EV22" s="122">
        <v>0</v>
      </c>
      <c r="EW22" s="243" t="e">
        <v>#VALUE!</v>
      </c>
      <c r="EX22" s="122">
        <v>0</v>
      </c>
      <c r="EY22" s="244">
        <v>900</v>
      </c>
      <c r="EZ22" s="242">
        <v>0</v>
      </c>
      <c r="FA22" s="122">
        <v>0</v>
      </c>
      <c r="FB22" s="122">
        <v>0</v>
      </c>
      <c r="FC22" s="248">
        <v>66.8</v>
      </c>
      <c r="FD22" s="248">
        <v>0</v>
      </c>
      <c r="FE22" s="248">
        <v>0</v>
      </c>
      <c r="FF22" s="243" t="s">
        <v>870</v>
      </c>
      <c r="FG22" s="243">
        <v>0</v>
      </c>
      <c r="FH22" s="463">
        <v>230.39999999999998</v>
      </c>
    </row>
    <row r="23" spans="1:165" s="236" customFormat="1" x14ac:dyDescent="0.25">
      <c r="A23" s="388">
        <v>21</v>
      </c>
      <c r="B23" s="389" t="s">
        <v>702</v>
      </c>
      <c r="C23" s="389" t="s">
        <v>715</v>
      </c>
      <c r="D23" s="389" t="s">
        <v>721</v>
      </c>
      <c r="E23" s="389" t="s">
        <v>747</v>
      </c>
      <c r="F23" s="389" t="s">
        <v>590</v>
      </c>
      <c r="G23" s="486">
        <v>1480.4</v>
      </c>
      <c r="H23" s="486">
        <v>780</v>
      </c>
      <c r="I23" s="486">
        <v>460.4</v>
      </c>
      <c r="J23" s="486">
        <v>240</v>
      </c>
      <c r="K23" s="390">
        <v>0.42986111111111108</v>
      </c>
      <c r="L23" s="391">
        <v>0.42986111111111108</v>
      </c>
      <c r="M23" s="392" t="s">
        <v>94</v>
      </c>
      <c r="N23" s="391">
        <v>0</v>
      </c>
      <c r="O23" s="393">
        <v>0</v>
      </c>
      <c r="P23" s="394">
        <v>4.86111119389534E-2</v>
      </c>
      <c r="Q23" s="395"/>
      <c r="R23" s="390">
        <v>0.47847222305006448</v>
      </c>
      <c r="S23" s="391">
        <v>0.47916666666666669</v>
      </c>
      <c r="T23" s="392" t="s">
        <v>94</v>
      </c>
      <c r="U23" s="391">
        <v>6.9442391395568848E-4</v>
      </c>
      <c r="V23" s="393">
        <v>60</v>
      </c>
      <c r="W23" s="394">
        <v>4.86111119389534E-2</v>
      </c>
      <c r="X23" s="391"/>
      <c r="Y23" s="395">
        <v>0</v>
      </c>
      <c r="Z23" s="390">
        <v>0.53055555638339791</v>
      </c>
      <c r="AA23" s="391">
        <v>0.53055555555555556</v>
      </c>
      <c r="AB23" s="392" t="s">
        <v>94</v>
      </c>
      <c r="AC23" s="391">
        <v>0</v>
      </c>
      <c r="AD23" s="393">
        <v>0</v>
      </c>
      <c r="AE23" s="394">
        <v>2.43055559694767E-2</v>
      </c>
      <c r="AF23" s="391"/>
      <c r="AG23" s="395">
        <v>0</v>
      </c>
      <c r="AH23" s="390">
        <v>0.55486111152503226</v>
      </c>
      <c r="AI23" s="391">
        <v>0.56180555555555556</v>
      </c>
      <c r="AJ23" s="392" t="s">
        <v>885</v>
      </c>
      <c r="AK23" s="391">
        <v>6.9444179534912109E-3</v>
      </c>
      <c r="AL23" s="393">
        <v>600</v>
      </c>
      <c r="AM23" s="394">
        <v>2.43055559694767E-2</v>
      </c>
      <c r="AN23" s="391"/>
      <c r="AO23" s="395">
        <v>0</v>
      </c>
      <c r="AP23" s="390">
        <v>0.58611111152503226</v>
      </c>
      <c r="AQ23" s="391">
        <v>0.58611111111111114</v>
      </c>
      <c r="AR23" s="392" t="s">
        <v>94</v>
      </c>
      <c r="AS23" s="391">
        <v>0</v>
      </c>
      <c r="AT23" s="393">
        <v>0</v>
      </c>
      <c r="AU23" s="394">
        <v>3.125E-2</v>
      </c>
      <c r="AV23" s="391"/>
      <c r="AW23" s="395">
        <v>0</v>
      </c>
      <c r="AX23" s="390">
        <v>0.62291666666666667</v>
      </c>
      <c r="AY23" s="391">
        <v>0.62291666666666667</v>
      </c>
      <c r="AZ23" s="392" t="s">
        <v>94</v>
      </c>
      <c r="BA23" s="391">
        <v>0</v>
      </c>
      <c r="BB23" s="393">
        <v>0</v>
      </c>
      <c r="BC23" s="394">
        <v>4.1666667908430099E-2</v>
      </c>
      <c r="BD23" s="391"/>
      <c r="BE23" s="395">
        <v>0</v>
      </c>
      <c r="BF23" s="390">
        <v>0.66458333457509677</v>
      </c>
      <c r="BG23" s="391">
        <v>0.6645833333333333</v>
      </c>
      <c r="BH23" s="392" t="s">
        <v>94</v>
      </c>
      <c r="BI23" s="391">
        <v>0</v>
      </c>
      <c r="BJ23" s="393">
        <v>0</v>
      </c>
      <c r="BK23" s="394">
        <v>2.777777798473835E-2</v>
      </c>
      <c r="BL23" s="391"/>
      <c r="BM23" s="395">
        <v>0</v>
      </c>
      <c r="BN23" s="390">
        <v>0.69236111131807165</v>
      </c>
      <c r="BO23" s="391">
        <v>0.69374999999999998</v>
      </c>
      <c r="BP23" s="392" t="s">
        <v>885</v>
      </c>
      <c r="BQ23" s="391">
        <v>1.3889074325561523E-3</v>
      </c>
      <c r="BR23" s="396">
        <v>120</v>
      </c>
      <c r="BS23" s="390">
        <v>0</v>
      </c>
      <c r="BT23" s="391">
        <v>0</v>
      </c>
      <c r="BU23" s="391">
        <v>0</v>
      </c>
      <c r="BV23" s="401">
        <v>72.3</v>
      </c>
      <c r="BW23" s="401">
        <v>0</v>
      </c>
      <c r="BX23" s="392">
        <v>0</v>
      </c>
      <c r="BY23" s="392">
        <v>0</v>
      </c>
      <c r="BZ23" s="392">
        <v>0</v>
      </c>
      <c r="CA23" s="462">
        <v>216.89999999999998</v>
      </c>
      <c r="CB23" s="390">
        <v>0.48194444444444445</v>
      </c>
      <c r="CC23" s="391">
        <v>0.48194444444444445</v>
      </c>
      <c r="CD23" s="391">
        <v>0</v>
      </c>
      <c r="CE23" s="391"/>
      <c r="CF23" s="391"/>
      <c r="CG23" s="397">
        <v>0.48973379629629632</v>
      </c>
      <c r="CH23" s="398">
        <v>0.48979166666666668</v>
      </c>
      <c r="CI23" s="399" t="s">
        <v>885</v>
      </c>
      <c r="CJ23" s="398">
        <v>5.7876110076904297E-5</v>
      </c>
      <c r="CK23" s="462">
        <v>5</v>
      </c>
      <c r="CL23" s="397">
        <v>0.50405092592592593</v>
      </c>
      <c r="CM23" s="398">
        <v>0.50396990740740744</v>
      </c>
      <c r="CN23" s="392" t="s">
        <v>883</v>
      </c>
      <c r="CO23" s="398">
        <v>8.1002712249755859E-5</v>
      </c>
      <c r="CP23" s="462">
        <v>7</v>
      </c>
      <c r="CQ23" s="390">
        <v>0.59166666666666667</v>
      </c>
      <c r="CR23" s="391">
        <v>0.59166666666666667</v>
      </c>
      <c r="CS23" s="391">
        <v>0</v>
      </c>
      <c r="CT23" s="391"/>
      <c r="CU23" s="391"/>
      <c r="CV23" s="397">
        <v>0.59862268518518524</v>
      </c>
      <c r="CW23" s="398">
        <v>0.59936342592592595</v>
      </c>
      <c r="CX23" s="399" t="s">
        <v>885</v>
      </c>
      <c r="CY23" s="398">
        <v>7.4076652526855469E-4</v>
      </c>
      <c r="CZ23" s="462">
        <v>64</v>
      </c>
      <c r="DA23" s="397">
        <v>0.59984953703703703</v>
      </c>
      <c r="DB23" s="398">
        <v>0.59980324074074076</v>
      </c>
      <c r="DC23" s="392" t="s">
        <v>883</v>
      </c>
      <c r="DD23" s="398">
        <v>4.6253204345703125E-5</v>
      </c>
      <c r="DE23" s="462">
        <v>4</v>
      </c>
      <c r="DF23" s="390">
        <v>0</v>
      </c>
      <c r="DG23" s="391">
        <v>0</v>
      </c>
      <c r="DH23" s="391">
        <v>0</v>
      </c>
      <c r="DI23" s="401">
        <v>54.5</v>
      </c>
      <c r="DJ23" s="401">
        <v>0</v>
      </c>
      <c r="DK23" s="392">
        <v>0</v>
      </c>
      <c r="DL23" s="392">
        <v>0</v>
      </c>
      <c r="DM23" s="392">
        <v>0</v>
      </c>
      <c r="DN23" s="462">
        <v>163.5</v>
      </c>
      <c r="DO23" s="402">
        <v>0</v>
      </c>
      <c r="DP23" s="400">
        <v>0</v>
      </c>
      <c r="DQ23" s="402">
        <v>0</v>
      </c>
      <c r="DR23" s="400">
        <v>240</v>
      </c>
      <c r="DS23" s="390">
        <v>0.67291666666666661</v>
      </c>
      <c r="DT23" s="396">
        <v>0</v>
      </c>
      <c r="DU23" s="390">
        <v>0.6875</v>
      </c>
      <c r="DV23" s="396">
        <v>0</v>
      </c>
      <c r="DW23" s="459"/>
      <c r="DX23" s="459"/>
      <c r="DY23" s="459"/>
      <c r="DZ23" s="459"/>
      <c r="EA23" s="459"/>
      <c r="EB23" s="459"/>
      <c r="EC23" s="459"/>
      <c r="ED23" s="459"/>
      <c r="EE23" s="459"/>
      <c r="EF23" s="459"/>
      <c r="EG23" s="459"/>
      <c r="EH23" s="459"/>
      <c r="EI23" s="459"/>
      <c r="EJ23" s="459"/>
      <c r="EK23" s="459"/>
      <c r="EL23" s="459"/>
      <c r="EM23" s="459"/>
      <c r="EN23" s="459"/>
      <c r="EO23" s="459"/>
      <c r="EP23" s="459"/>
      <c r="EQ23" s="459"/>
      <c r="ER23" s="459"/>
      <c r="ES23" s="459"/>
      <c r="ET23" s="459"/>
      <c r="EU23" s="390" t="e">
        <v>#VALUE!</v>
      </c>
      <c r="EV23" s="391">
        <v>0</v>
      </c>
      <c r="EW23" s="392" t="e">
        <v>#VALUE!</v>
      </c>
      <c r="EX23" s="391">
        <v>0</v>
      </c>
      <c r="EY23" s="396">
        <v>900</v>
      </c>
      <c r="EZ23" s="390">
        <v>0</v>
      </c>
      <c r="FA23" s="391">
        <v>0</v>
      </c>
      <c r="FB23" s="391">
        <v>0</v>
      </c>
      <c r="FC23" s="401">
        <v>72.3</v>
      </c>
      <c r="FD23" s="401">
        <v>0</v>
      </c>
      <c r="FE23" s="401">
        <v>0</v>
      </c>
      <c r="FF23" s="392">
        <v>0</v>
      </c>
      <c r="FG23" s="392">
        <v>0</v>
      </c>
      <c r="FH23" s="462">
        <v>216.89999999999998</v>
      </c>
      <c r="FI23" s="403"/>
    </row>
    <row r="24" spans="1:165" s="20" customFormat="1" x14ac:dyDescent="0.25">
      <c r="A24" s="253">
        <v>22</v>
      </c>
      <c r="B24" s="241" t="s">
        <v>797</v>
      </c>
      <c r="C24" s="241" t="s">
        <v>799</v>
      </c>
      <c r="D24" s="241" t="s">
        <v>800</v>
      </c>
      <c r="E24" s="241" t="s">
        <v>747</v>
      </c>
      <c r="F24" s="241" t="s">
        <v>627</v>
      </c>
      <c r="G24" s="487">
        <v>1501.8</v>
      </c>
      <c r="H24" s="487">
        <v>180</v>
      </c>
      <c r="I24" s="487">
        <v>481.8</v>
      </c>
      <c r="J24" s="487">
        <v>840</v>
      </c>
      <c r="K24" s="242">
        <v>0.43055555555555552</v>
      </c>
      <c r="L24" s="122">
        <v>0.42986111111111108</v>
      </c>
      <c r="M24" s="243" t="s">
        <v>883</v>
      </c>
      <c r="N24" s="122">
        <v>6.9445371627807617E-4</v>
      </c>
      <c r="O24" s="301">
        <v>60</v>
      </c>
      <c r="P24" s="300">
        <v>4.86111119389534E-2</v>
      </c>
      <c r="Q24" s="294"/>
      <c r="R24" s="242">
        <v>0.47847222305006448</v>
      </c>
      <c r="S24" s="122">
        <v>0.47847222222222219</v>
      </c>
      <c r="T24" s="243" t="s">
        <v>94</v>
      </c>
      <c r="U24" s="122">
        <v>0</v>
      </c>
      <c r="V24" s="301">
        <v>0</v>
      </c>
      <c r="W24" s="300">
        <v>4.86111119389534E-2</v>
      </c>
      <c r="X24" s="122"/>
      <c r="Y24" s="294">
        <v>0</v>
      </c>
      <c r="Z24" s="242">
        <v>0.52986111193895336</v>
      </c>
      <c r="AA24" s="122">
        <v>0.52986111111111112</v>
      </c>
      <c r="AB24" s="243" t="s">
        <v>94</v>
      </c>
      <c r="AC24" s="122">
        <v>0</v>
      </c>
      <c r="AD24" s="301">
        <v>0</v>
      </c>
      <c r="AE24" s="300">
        <v>2.43055559694767E-2</v>
      </c>
      <c r="AF24" s="122"/>
      <c r="AG24" s="294">
        <v>0</v>
      </c>
      <c r="AH24" s="242">
        <v>0.55416666708058782</v>
      </c>
      <c r="AI24" s="122">
        <v>0.55486111111111114</v>
      </c>
      <c r="AJ24" s="243" t="s">
        <v>885</v>
      </c>
      <c r="AK24" s="122">
        <v>6.9445371627807617E-4</v>
      </c>
      <c r="AL24" s="301">
        <v>60</v>
      </c>
      <c r="AM24" s="300">
        <v>2.43055559694767E-2</v>
      </c>
      <c r="AN24" s="122"/>
      <c r="AO24" s="294">
        <v>0</v>
      </c>
      <c r="AP24" s="242">
        <v>0.57916666708058784</v>
      </c>
      <c r="AQ24" s="122">
        <v>0.57916666666666672</v>
      </c>
      <c r="AR24" s="243" t="s">
        <v>94</v>
      </c>
      <c r="AS24" s="122">
        <v>0</v>
      </c>
      <c r="AT24" s="301">
        <v>0</v>
      </c>
      <c r="AU24" s="300">
        <v>3.125E-2</v>
      </c>
      <c r="AV24" s="122"/>
      <c r="AW24" s="294">
        <v>0</v>
      </c>
      <c r="AX24" s="242">
        <v>0.61319444444444449</v>
      </c>
      <c r="AY24" s="122">
        <v>0.61319444444444449</v>
      </c>
      <c r="AZ24" s="243" t="s">
        <v>94</v>
      </c>
      <c r="BA24" s="122">
        <v>0</v>
      </c>
      <c r="BB24" s="301">
        <v>0</v>
      </c>
      <c r="BC24" s="300">
        <v>4.1666667908430099E-2</v>
      </c>
      <c r="BD24" s="122"/>
      <c r="BE24" s="294">
        <v>0</v>
      </c>
      <c r="BF24" s="242">
        <v>0.65486111235287459</v>
      </c>
      <c r="BG24" s="122">
        <v>0.65486111111111112</v>
      </c>
      <c r="BH24" s="243" t="s">
        <v>94</v>
      </c>
      <c r="BI24" s="122">
        <v>0</v>
      </c>
      <c r="BJ24" s="301">
        <v>0</v>
      </c>
      <c r="BK24" s="300">
        <v>2.777777798473835E-2</v>
      </c>
      <c r="BL24" s="122"/>
      <c r="BM24" s="294">
        <v>0</v>
      </c>
      <c r="BN24" s="242">
        <v>0.68263888909584947</v>
      </c>
      <c r="BO24" s="122">
        <v>0.68333333333333324</v>
      </c>
      <c r="BP24" s="243" t="s">
        <v>885</v>
      </c>
      <c r="BQ24" s="122">
        <v>6.9445371627807617E-4</v>
      </c>
      <c r="BR24" s="244">
        <v>60</v>
      </c>
      <c r="BS24" s="242">
        <v>0</v>
      </c>
      <c r="BT24" s="122">
        <v>0</v>
      </c>
      <c r="BU24" s="122">
        <v>0</v>
      </c>
      <c r="BV24" s="248">
        <v>67.5</v>
      </c>
      <c r="BW24" s="248">
        <v>0</v>
      </c>
      <c r="BX24" s="243">
        <v>0</v>
      </c>
      <c r="BY24" s="243">
        <v>0</v>
      </c>
      <c r="BZ24" s="243">
        <v>0</v>
      </c>
      <c r="CA24" s="463">
        <v>202.5</v>
      </c>
      <c r="CB24" s="242">
        <v>0.48125000000000001</v>
      </c>
      <c r="CC24" s="122">
        <v>0.48125000000000001</v>
      </c>
      <c r="CD24" s="122">
        <v>0</v>
      </c>
      <c r="CE24" s="122"/>
      <c r="CF24" s="122"/>
      <c r="CG24" s="247">
        <v>0.48903935185185188</v>
      </c>
      <c r="CH24" s="245">
        <v>0.48934027777777778</v>
      </c>
      <c r="CI24" s="240" t="s">
        <v>885</v>
      </c>
      <c r="CJ24" s="245">
        <v>3.0091404914855957E-4</v>
      </c>
      <c r="CK24" s="463">
        <v>26</v>
      </c>
      <c r="CL24" s="247">
        <v>0.50359953703703708</v>
      </c>
      <c r="CM24" s="245">
        <v>0.50307870370370367</v>
      </c>
      <c r="CN24" s="243" t="s">
        <v>883</v>
      </c>
      <c r="CO24" s="245">
        <v>5.2082538604736328E-4</v>
      </c>
      <c r="CP24" s="463">
        <v>45</v>
      </c>
      <c r="CQ24" s="242">
        <v>0.58194444444444449</v>
      </c>
      <c r="CR24" s="122">
        <v>0.58194444444444449</v>
      </c>
      <c r="CS24" s="122">
        <v>0</v>
      </c>
      <c r="CT24" s="122"/>
      <c r="CU24" s="122"/>
      <c r="CV24" s="247">
        <v>0.58890046296296306</v>
      </c>
      <c r="CW24" s="245">
        <v>0.58953703703703708</v>
      </c>
      <c r="CX24" s="240" t="s">
        <v>885</v>
      </c>
      <c r="CY24" s="245">
        <v>6.3657760620117188E-4</v>
      </c>
      <c r="CZ24" s="463">
        <v>55</v>
      </c>
      <c r="DA24" s="247">
        <v>0.59002314814814816</v>
      </c>
      <c r="DB24" s="245">
        <v>0.59005787037037039</v>
      </c>
      <c r="DC24" s="243" t="s">
        <v>885</v>
      </c>
      <c r="DD24" s="245">
        <v>3.4689903259277344E-5</v>
      </c>
      <c r="DE24" s="463">
        <v>3</v>
      </c>
      <c r="DF24" s="242">
        <v>0</v>
      </c>
      <c r="DG24" s="122">
        <v>0</v>
      </c>
      <c r="DH24" s="122">
        <v>0</v>
      </c>
      <c r="DI24" s="248">
        <v>50.1</v>
      </c>
      <c r="DJ24" s="248">
        <v>0</v>
      </c>
      <c r="DK24" s="243">
        <v>0</v>
      </c>
      <c r="DL24" s="243">
        <v>0</v>
      </c>
      <c r="DM24" s="243">
        <v>0</v>
      </c>
      <c r="DN24" s="463">
        <v>150.30000000000001</v>
      </c>
      <c r="DO24" s="249">
        <v>0</v>
      </c>
      <c r="DP24" s="246">
        <v>0</v>
      </c>
      <c r="DQ24" s="249">
        <v>0</v>
      </c>
      <c r="DR24" s="246">
        <v>840</v>
      </c>
      <c r="DS24" s="242">
        <v>0.6645833333333333</v>
      </c>
      <c r="DT24" s="244">
        <v>0</v>
      </c>
      <c r="DU24" s="242">
        <v>0.6791666666666667</v>
      </c>
      <c r="DV24" s="244">
        <v>0</v>
      </c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59"/>
      <c r="ET24" s="459"/>
      <c r="EU24" s="242" t="e">
        <v>#VALUE!</v>
      </c>
      <c r="EV24" s="122">
        <v>0</v>
      </c>
      <c r="EW24" s="243" t="e">
        <v>#VALUE!</v>
      </c>
      <c r="EX24" s="122">
        <v>0</v>
      </c>
      <c r="EY24" s="244">
        <v>900</v>
      </c>
      <c r="EZ24" s="242">
        <v>0</v>
      </c>
      <c r="FA24" s="122">
        <v>0</v>
      </c>
      <c r="FB24" s="122">
        <v>0</v>
      </c>
      <c r="FC24" s="248">
        <v>67.5</v>
      </c>
      <c r="FD24" s="248">
        <v>0</v>
      </c>
      <c r="FE24" s="248">
        <v>0</v>
      </c>
      <c r="FF24" s="243">
        <v>0</v>
      </c>
      <c r="FG24" s="243">
        <v>0</v>
      </c>
      <c r="FH24" s="463">
        <v>202.5</v>
      </c>
    </row>
    <row r="25" spans="1:165" s="236" customFormat="1" x14ac:dyDescent="0.25">
      <c r="A25" s="388">
        <v>23</v>
      </c>
      <c r="B25" s="389" t="s">
        <v>760</v>
      </c>
      <c r="C25" s="389" t="s">
        <v>762</v>
      </c>
      <c r="D25" s="389" t="s">
        <v>764</v>
      </c>
      <c r="E25" s="389" t="s">
        <v>763</v>
      </c>
      <c r="F25" s="389" t="s">
        <v>590</v>
      </c>
      <c r="G25" s="486">
        <v>2147.5</v>
      </c>
      <c r="H25" s="486">
        <v>1080</v>
      </c>
      <c r="I25" s="486">
        <v>587.5</v>
      </c>
      <c r="J25" s="486">
        <v>480</v>
      </c>
      <c r="K25" s="390">
        <v>0.43124999999999997</v>
      </c>
      <c r="L25" s="391">
        <v>0.43124999999999997</v>
      </c>
      <c r="M25" s="392" t="s">
        <v>94</v>
      </c>
      <c r="N25" s="391">
        <v>0</v>
      </c>
      <c r="O25" s="393">
        <v>0</v>
      </c>
      <c r="P25" s="394">
        <v>4.86111119389534E-2</v>
      </c>
      <c r="Q25" s="395"/>
      <c r="R25" s="390">
        <v>0.47986111193895337</v>
      </c>
      <c r="S25" s="391">
        <v>0.47986111111111113</v>
      </c>
      <c r="T25" s="392" t="s">
        <v>94</v>
      </c>
      <c r="U25" s="391">
        <v>0</v>
      </c>
      <c r="V25" s="393">
        <v>0</v>
      </c>
      <c r="W25" s="394">
        <v>4.86111119389534E-2</v>
      </c>
      <c r="X25" s="391"/>
      <c r="Y25" s="395">
        <v>0</v>
      </c>
      <c r="Z25" s="390">
        <v>0.53125000082784224</v>
      </c>
      <c r="AA25" s="391">
        <v>0.53125</v>
      </c>
      <c r="AB25" s="392" t="s">
        <v>94</v>
      </c>
      <c r="AC25" s="391">
        <v>0</v>
      </c>
      <c r="AD25" s="393">
        <v>0</v>
      </c>
      <c r="AE25" s="394">
        <v>2.43055559694767E-2</v>
      </c>
      <c r="AF25" s="391"/>
      <c r="AG25" s="395">
        <v>0</v>
      </c>
      <c r="AH25" s="390">
        <v>0.5555555559694767</v>
      </c>
      <c r="AI25" s="391">
        <v>0.55625000000000002</v>
      </c>
      <c r="AJ25" s="392" t="s">
        <v>94</v>
      </c>
      <c r="AK25" s="391">
        <v>6.9439411163330078E-4</v>
      </c>
      <c r="AL25" s="393">
        <v>60</v>
      </c>
      <c r="AM25" s="394">
        <v>2.43055559694767E-2</v>
      </c>
      <c r="AN25" s="391"/>
      <c r="AO25" s="395">
        <v>0</v>
      </c>
      <c r="AP25" s="390">
        <v>0.58055555596947672</v>
      </c>
      <c r="AQ25" s="391">
        <v>0.58124999999999993</v>
      </c>
      <c r="AR25" s="392" t="s">
        <v>885</v>
      </c>
      <c r="AS25" s="391">
        <v>6.9445371627807617E-4</v>
      </c>
      <c r="AT25" s="393">
        <v>60</v>
      </c>
      <c r="AU25" s="394">
        <v>3.125E-2</v>
      </c>
      <c r="AV25" s="391"/>
      <c r="AW25" s="395">
        <v>0</v>
      </c>
      <c r="AX25" s="390">
        <v>0.61458333333333337</v>
      </c>
      <c r="AY25" s="391">
        <v>0.61527777777777781</v>
      </c>
      <c r="AZ25" s="392" t="s">
        <v>885</v>
      </c>
      <c r="BA25" s="391">
        <v>6.9445371627807617E-4</v>
      </c>
      <c r="BB25" s="393">
        <v>60</v>
      </c>
      <c r="BC25" s="394">
        <v>4.1666667908430099E-2</v>
      </c>
      <c r="BD25" s="391"/>
      <c r="BE25" s="395">
        <v>0</v>
      </c>
      <c r="BF25" s="390">
        <v>0.65694444568620791</v>
      </c>
      <c r="BG25" s="391">
        <v>0.65694444444444444</v>
      </c>
      <c r="BH25" s="392" t="s">
        <v>94</v>
      </c>
      <c r="BI25" s="391">
        <v>0</v>
      </c>
      <c r="BJ25" s="393">
        <v>0</v>
      </c>
      <c r="BK25" s="394">
        <v>2.777777798473835E-2</v>
      </c>
      <c r="BL25" s="391"/>
      <c r="BM25" s="395">
        <v>0</v>
      </c>
      <c r="BN25" s="390">
        <v>0.68472222242918279</v>
      </c>
      <c r="BO25" s="391">
        <v>0.68125000000000002</v>
      </c>
      <c r="BP25" s="392" t="s">
        <v>883</v>
      </c>
      <c r="BQ25" s="391">
        <v>3.4722685813903809E-3</v>
      </c>
      <c r="BR25" s="396">
        <v>0</v>
      </c>
      <c r="BS25" s="390">
        <v>0</v>
      </c>
      <c r="BT25" s="391">
        <v>0</v>
      </c>
      <c r="BU25" s="391">
        <v>0</v>
      </c>
      <c r="BV25" s="401">
        <v>65.400000000000006</v>
      </c>
      <c r="BW25" s="401">
        <v>0</v>
      </c>
      <c r="BX25" s="392">
        <v>0</v>
      </c>
      <c r="BY25" s="392">
        <v>0</v>
      </c>
      <c r="BZ25" s="392">
        <v>0</v>
      </c>
      <c r="CA25" s="462">
        <v>196.20000000000002</v>
      </c>
      <c r="CB25" s="390">
        <v>0.4826388888888889</v>
      </c>
      <c r="CC25" s="391">
        <v>0.4826388888888889</v>
      </c>
      <c r="CD25" s="391">
        <v>0</v>
      </c>
      <c r="CE25" s="391"/>
      <c r="CF25" s="391"/>
      <c r="CG25" s="397">
        <v>0.49042824074074076</v>
      </c>
      <c r="CH25" s="398">
        <v>0.49076388888888894</v>
      </c>
      <c r="CI25" s="399" t="s">
        <v>885</v>
      </c>
      <c r="CJ25" s="398">
        <v>3.356635570526123E-4</v>
      </c>
      <c r="CK25" s="462">
        <v>29</v>
      </c>
      <c r="CL25" s="397">
        <v>0.50502314814814819</v>
      </c>
      <c r="CM25" s="398">
        <v>0.50593750000000004</v>
      </c>
      <c r="CN25" s="392" t="s">
        <v>885</v>
      </c>
      <c r="CO25" s="398">
        <v>9.1439485549926758E-4</v>
      </c>
      <c r="CP25" s="462">
        <v>79</v>
      </c>
      <c r="CQ25" s="390">
        <v>0.58333333333333337</v>
      </c>
      <c r="CR25" s="391">
        <v>0.58333333333333337</v>
      </c>
      <c r="CS25" s="391">
        <v>0</v>
      </c>
      <c r="CT25" s="391"/>
      <c r="CU25" s="391"/>
      <c r="CV25" s="397">
        <v>0.59028935185185194</v>
      </c>
      <c r="CW25" s="398">
        <v>0.59187500000000004</v>
      </c>
      <c r="CX25" s="399" t="s">
        <v>885</v>
      </c>
      <c r="CY25" s="398">
        <v>1.5856623649597168E-3</v>
      </c>
      <c r="CZ25" s="462">
        <v>137</v>
      </c>
      <c r="DA25" s="397">
        <v>0.59236111111111112</v>
      </c>
      <c r="DB25" s="398">
        <v>0.59248842592592588</v>
      </c>
      <c r="DC25" s="392" t="s">
        <v>885</v>
      </c>
      <c r="DD25" s="398">
        <v>1.2731552124023438E-4</v>
      </c>
      <c r="DE25" s="462">
        <v>11</v>
      </c>
      <c r="DF25" s="390">
        <v>0</v>
      </c>
      <c r="DG25" s="391">
        <v>0</v>
      </c>
      <c r="DH25" s="391">
        <v>0</v>
      </c>
      <c r="DI25" s="401">
        <v>45.1</v>
      </c>
      <c r="DJ25" s="401">
        <v>0</v>
      </c>
      <c r="DK25" s="392">
        <v>0</v>
      </c>
      <c r="DL25" s="392">
        <v>0</v>
      </c>
      <c r="DM25" s="392">
        <v>0</v>
      </c>
      <c r="DN25" s="462">
        <v>135.30000000000001</v>
      </c>
      <c r="DO25" s="402">
        <v>0</v>
      </c>
      <c r="DP25" s="400">
        <v>0</v>
      </c>
      <c r="DQ25" s="402">
        <v>0</v>
      </c>
      <c r="DR25" s="400">
        <v>480</v>
      </c>
      <c r="DS25" s="390">
        <v>0.66597222222222219</v>
      </c>
      <c r="DT25" s="396">
        <v>0</v>
      </c>
      <c r="DU25" s="390">
        <v>0</v>
      </c>
      <c r="DV25" s="396">
        <v>900</v>
      </c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59"/>
      <c r="ET25" s="459"/>
      <c r="EU25" s="390" t="e">
        <v>#VALUE!</v>
      </c>
      <c r="EV25" s="391">
        <v>0</v>
      </c>
      <c r="EW25" s="392" t="e">
        <v>#VALUE!</v>
      </c>
      <c r="EX25" s="391">
        <v>0</v>
      </c>
      <c r="EY25" s="396">
        <v>900</v>
      </c>
      <c r="EZ25" s="390">
        <v>0</v>
      </c>
      <c r="FA25" s="391">
        <v>0</v>
      </c>
      <c r="FB25" s="391">
        <v>0</v>
      </c>
      <c r="FC25" s="401">
        <v>65.400000000000006</v>
      </c>
      <c r="FD25" s="401">
        <v>0</v>
      </c>
      <c r="FE25" s="401">
        <v>0</v>
      </c>
      <c r="FF25" s="392">
        <v>0</v>
      </c>
      <c r="FG25" s="392">
        <v>0</v>
      </c>
      <c r="FH25" s="462">
        <v>196.20000000000002</v>
      </c>
      <c r="FI25" s="403"/>
    </row>
    <row r="26" spans="1:165" s="20" customFormat="1" x14ac:dyDescent="0.25">
      <c r="A26" s="253">
        <v>24</v>
      </c>
      <c r="B26" s="241" t="s">
        <v>666</v>
      </c>
      <c r="C26" s="241" t="s">
        <v>668</v>
      </c>
      <c r="D26" s="241" t="s">
        <v>670</v>
      </c>
      <c r="E26" s="241" t="s">
        <v>6</v>
      </c>
      <c r="F26" s="241" t="s">
        <v>867</v>
      </c>
      <c r="G26" s="487">
        <v>3258</v>
      </c>
      <c r="H26" s="487">
        <v>360</v>
      </c>
      <c r="I26" s="487">
        <v>2538</v>
      </c>
      <c r="J26" s="487">
        <v>360</v>
      </c>
      <c r="K26" s="242">
        <v>0.43194444444444441</v>
      </c>
      <c r="L26" s="122">
        <v>0.43194444444444446</v>
      </c>
      <c r="M26" s="243" t="s">
        <v>94</v>
      </c>
      <c r="N26" s="122">
        <v>0</v>
      </c>
      <c r="O26" s="301">
        <v>0</v>
      </c>
      <c r="P26" s="300">
        <v>4.86111119389534E-2</v>
      </c>
      <c r="Q26" s="294"/>
      <c r="R26" s="242">
        <v>0.48055555638339786</v>
      </c>
      <c r="S26" s="122">
        <v>0.48055555555555557</v>
      </c>
      <c r="T26" s="243" t="s">
        <v>94</v>
      </c>
      <c r="U26" s="122">
        <v>0</v>
      </c>
      <c r="V26" s="301">
        <v>0</v>
      </c>
      <c r="W26" s="300">
        <v>4.86111119389534E-2</v>
      </c>
      <c r="X26" s="122"/>
      <c r="Y26" s="294">
        <v>0</v>
      </c>
      <c r="Z26" s="242">
        <v>0.53194444527228679</v>
      </c>
      <c r="AA26" s="122">
        <v>0.53194444444444444</v>
      </c>
      <c r="AB26" s="243" t="s">
        <v>94</v>
      </c>
      <c r="AC26" s="122">
        <v>0</v>
      </c>
      <c r="AD26" s="301">
        <v>0</v>
      </c>
      <c r="AE26" s="300">
        <v>2.43055559694767E-2</v>
      </c>
      <c r="AF26" s="122"/>
      <c r="AG26" s="294">
        <v>0</v>
      </c>
      <c r="AH26" s="242">
        <v>0.55625000041392114</v>
      </c>
      <c r="AI26" s="122">
        <v>0.55833333333333335</v>
      </c>
      <c r="AJ26" s="243" t="s">
        <v>885</v>
      </c>
      <c r="AK26" s="122">
        <v>2.0833611488342285E-3</v>
      </c>
      <c r="AL26" s="301">
        <v>180</v>
      </c>
      <c r="AM26" s="300">
        <v>2.43055559694767E-2</v>
      </c>
      <c r="AN26" s="122"/>
      <c r="AO26" s="294">
        <v>0</v>
      </c>
      <c r="AP26" s="242">
        <v>0.58263888930281005</v>
      </c>
      <c r="AQ26" s="122">
        <v>0.58263888888888882</v>
      </c>
      <c r="AR26" s="243" t="s">
        <v>94</v>
      </c>
      <c r="AS26" s="122">
        <v>0</v>
      </c>
      <c r="AT26" s="301">
        <v>0</v>
      </c>
      <c r="AU26" s="300">
        <v>3.125E-2</v>
      </c>
      <c r="AV26" s="122"/>
      <c r="AW26" s="294">
        <v>0</v>
      </c>
      <c r="AX26" s="242">
        <v>0.6166666666666667</v>
      </c>
      <c r="AY26" s="122">
        <v>0.61805555555555558</v>
      </c>
      <c r="AZ26" s="243" t="s">
        <v>885</v>
      </c>
      <c r="BA26" s="122">
        <v>1.3889074325561523E-3</v>
      </c>
      <c r="BB26" s="301">
        <v>120</v>
      </c>
      <c r="BC26" s="300">
        <v>4.1666667908430099E-2</v>
      </c>
      <c r="BD26" s="122"/>
      <c r="BE26" s="294">
        <v>0</v>
      </c>
      <c r="BF26" s="242">
        <v>0.65972222346398568</v>
      </c>
      <c r="BG26" s="122">
        <v>0.65972222222222221</v>
      </c>
      <c r="BH26" s="243" t="s">
        <v>94</v>
      </c>
      <c r="BI26" s="122">
        <v>0</v>
      </c>
      <c r="BJ26" s="301">
        <v>0</v>
      </c>
      <c r="BK26" s="300">
        <v>2.777777798473835E-2</v>
      </c>
      <c r="BL26" s="122"/>
      <c r="BM26" s="294">
        <v>0</v>
      </c>
      <c r="BN26" s="242">
        <v>0.68750000020696056</v>
      </c>
      <c r="BO26" s="122">
        <v>0.68819444444444444</v>
      </c>
      <c r="BP26" s="243" t="s">
        <v>885</v>
      </c>
      <c r="BQ26" s="122">
        <v>6.9445371627807617E-4</v>
      </c>
      <c r="BR26" s="244">
        <v>60</v>
      </c>
      <c r="BS26" s="242">
        <v>0</v>
      </c>
      <c r="BT26" s="122">
        <v>0</v>
      </c>
      <c r="BU26" s="122">
        <v>0</v>
      </c>
      <c r="BV26" s="248">
        <v>73.5</v>
      </c>
      <c r="BW26" s="248">
        <v>0</v>
      </c>
      <c r="BX26" s="243">
        <v>0</v>
      </c>
      <c r="BY26" s="243">
        <v>0</v>
      </c>
      <c r="BZ26" s="243">
        <v>0</v>
      </c>
      <c r="CA26" s="463">
        <v>220.5</v>
      </c>
      <c r="CB26" s="242">
        <v>0.48333333333333334</v>
      </c>
      <c r="CC26" s="122">
        <v>0.48333333333333334</v>
      </c>
      <c r="CD26" s="122">
        <v>0</v>
      </c>
      <c r="CE26" s="122"/>
      <c r="CF26" s="122"/>
      <c r="CG26" s="247">
        <v>0.4911226851851852</v>
      </c>
      <c r="CH26" s="245">
        <v>0.49129629629629629</v>
      </c>
      <c r="CI26" s="240" t="s">
        <v>885</v>
      </c>
      <c r="CJ26" s="245">
        <v>1.735985279083252E-4</v>
      </c>
      <c r="CK26" s="463">
        <v>15</v>
      </c>
      <c r="CL26" s="247">
        <v>0.50555555555555554</v>
      </c>
      <c r="CM26" s="245">
        <v>0.50624999999999998</v>
      </c>
      <c r="CN26" s="243" t="s">
        <v>885</v>
      </c>
      <c r="CO26" s="245">
        <v>6.9445371627807617E-4</v>
      </c>
      <c r="CP26" s="463">
        <v>60</v>
      </c>
      <c r="CQ26" s="242">
        <v>0.5854166666666667</v>
      </c>
      <c r="CR26" s="122">
        <v>0.5854166666666667</v>
      </c>
      <c r="CS26" s="122">
        <v>0</v>
      </c>
      <c r="CT26" s="122"/>
      <c r="CU26" s="122"/>
      <c r="CV26" s="247">
        <v>0.59237268518518527</v>
      </c>
      <c r="CW26" s="245">
        <v>0</v>
      </c>
      <c r="CX26" s="240" t="s">
        <v>94</v>
      </c>
      <c r="CY26" s="245">
        <v>0</v>
      </c>
      <c r="CZ26" s="463">
        <v>1800</v>
      </c>
      <c r="DA26" s="247">
        <v>0</v>
      </c>
      <c r="DB26" s="245">
        <v>0</v>
      </c>
      <c r="DC26" s="243" t="s">
        <v>94</v>
      </c>
      <c r="DD26" s="245">
        <v>0</v>
      </c>
      <c r="DE26" s="463">
        <v>0</v>
      </c>
      <c r="DF26" s="242">
        <v>0</v>
      </c>
      <c r="DG26" s="122">
        <v>0</v>
      </c>
      <c r="DH26" s="122">
        <v>0</v>
      </c>
      <c r="DI26" s="248">
        <v>47.5</v>
      </c>
      <c r="DJ26" s="248">
        <v>0</v>
      </c>
      <c r="DK26" s="243">
        <v>0</v>
      </c>
      <c r="DL26" s="243">
        <v>0</v>
      </c>
      <c r="DM26" s="243" t="s">
        <v>870</v>
      </c>
      <c r="DN26" s="463">
        <v>442.5</v>
      </c>
      <c r="DO26" s="249">
        <v>0</v>
      </c>
      <c r="DP26" s="246">
        <v>0</v>
      </c>
      <c r="DQ26" s="249">
        <v>0</v>
      </c>
      <c r="DR26" s="246">
        <v>360</v>
      </c>
      <c r="DS26" s="242">
        <v>0.67152777777777783</v>
      </c>
      <c r="DT26" s="244">
        <v>0</v>
      </c>
      <c r="DU26" s="242">
        <v>0.68333333333333324</v>
      </c>
      <c r="DV26" s="244">
        <v>0</v>
      </c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59"/>
      <c r="ET26" s="459"/>
      <c r="EU26" s="242" t="e">
        <v>#VALUE!</v>
      </c>
      <c r="EV26" s="122">
        <v>0</v>
      </c>
      <c r="EW26" s="243" t="e">
        <v>#VALUE!</v>
      </c>
      <c r="EX26" s="122">
        <v>0</v>
      </c>
      <c r="EY26" s="244">
        <v>900</v>
      </c>
      <c r="EZ26" s="242">
        <v>0</v>
      </c>
      <c r="FA26" s="122">
        <v>0</v>
      </c>
      <c r="FB26" s="122">
        <v>0</v>
      </c>
      <c r="FC26" s="248">
        <v>73.5</v>
      </c>
      <c r="FD26" s="248">
        <v>0</v>
      </c>
      <c r="FE26" s="248">
        <v>0</v>
      </c>
      <c r="FF26" s="243">
        <v>0</v>
      </c>
      <c r="FG26" s="243">
        <v>0</v>
      </c>
      <c r="FH26" s="463">
        <v>220.5</v>
      </c>
    </row>
    <row r="27" spans="1:165" s="236" customFormat="1" x14ac:dyDescent="0.25">
      <c r="A27" s="388">
        <v>25</v>
      </c>
      <c r="B27" s="389" t="s">
        <v>596</v>
      </c>
      <c r="C27" s="389" t="s">
        <v>598</v>
      </c>
      <c r="D27" s="389" t="s">
        <v>600</v>
      </c>
      <c r="E27" s="389" t="s">
        <v>599</v>
      </c>
      <c r="F27" s="389" t="s">
        <v>867</v>
      </c>
      <c r="G27" s="486">
        <v>2928.2</v>
      </c>
      <c r="H27" s="486">
        <v>1080</v>
      </c>
      <c r="I27" s="486">
        <v>888.2</v>
      </c>
      <c r="J27" s="486">
        <v>960</v>
      </c>
      <c r="K27" s="390">
        <v>0.43263888888888885</v>
      </c>
      <c r="L27" s="391">
        <v>0.43263888888888885</v>
      </c>
      <c r="M27" s="392" t="s">
        <v>94</v>
      </c>
      <c r="N27" s="391">
        <v>0</v>
      </c>
      <c r="O27" s="393">
        <v>0</v>
      </c>
      <c r="P27" s="394">
        <v>4.86111119389534E-2</v>
      </c>
      <c r="Q27" s="395"/>
      <c r="R27" s="390">
        <v>0.48125000082784225</v>
      </c>
      <c r="S27" s="391">
        <v>0.48125000000000001</v>
      </c>
      <c r="T27" s="392" t="s">
        <v>94</v>
      </c>
      <c r="U27" s="391">
        <v>0</v>
      </c>
      <c r="V27" s="393">
        <v>0</v>
      </c>
      <c r="W27" s="394">
        <v>4.86111119389534E-2</v>
      </c>
      <c r="X27" s="391"/>
      <c r="Y27" s="395">
        <v>0</v>
      </c>
      <c r="Z27" s="390">
        <v>0.53263888971673112</v>
      </c>
      <c r="AA27" s="391">
        <v>0.53263888888888888</v>
      </c>
      <c r="AB27" s="392" t="s">
        <v>94</v>
      </c>
      <c r="AC27" s="391">
        <v>0</v>
      </c>
      <c r="AD27" s="393">
        <v>0</v>
      </c>
      <c r="AE27" s="394">
        <v>2.43055559694767E-2</v>
      </c>
      <c r="AF27" s="391"/>
      <c r="AG27" s="395">
        <v>0</v>
      </c>
      <c r="AH27" s="390">
        <v>0.55694444485836558</v>
      </c>
      <c r="AI27" s="391">
        <v>0.55694444444444446</v>
      </c>
      <c r="AJ27" s="392" t="s">
        <v>94</v>
      </c>
      <c r="AK27" s="391">
        <v>0</v>
      </c>
      <c r="AL27" s="393">
        <v>0</v>
      </c>
      <c r="AM27" s="394">
        <v>2.43055559694767E-2</v>
      </c>
      <c r="AN27" s="391"/>
      <c r="AO27" s="395">
        <v>0</v>
      </c>
      <c r="AP27" s="390">
        <v>0.58125000041392116</v>
      </c>
      <c r="AQ27" s="391">
        <v>0.58124999999999993</v>
      </c>
      <c r="AR27" s="392" t="s">
        <v>94</v>
      </c>
      <c r="AS27" s="391">
        <v>0</v>
      </c>
      <c r="AT27" s="393">
        <v>0</v>
      </c>
      <c r="AU27" s="394">
        <v>3.125E-2</v>
      </c>
      <c r="AV27" s="391"/>
      <c r="AW27" s="395">
        <v>0</v>
      </c>
      <c r="AX27" s="390">
        <v>0.61527777777777781</v>
      </c>
      <c r="AY27" s="391">
        <v>0.61527777777777781</v>
      </c>
      <c r="AZ27" s="392" t="s">
        <v>94</v>
      </c>
      <c r="BA27" s="391">
        <v>0</v>
      </c>
      <c r="BB27" s="393">
        <v>0</v>
      </c>
      <c r="BC27" s="394">
        <v>4.1666667908430099E-2</v>
      </c>
      <c r="BD27" s="391"/>
      <c r="BE27" s="395">
        <v>0</v>
      </c>
      <c r="BF27" s="390">
        <v>0.65694444568620791</v>
      </c>
      <c r="BG27" s="391">
        <v>0.65694444444444444</v>
      </c>
      <c r="BH27" s="392" t="s">
        <v>94</v>
      </c>
      <c r="BI27" s="391">
        <v>0</v>
      </c>
      <c r="BJ27" s="393">
        <v>0</v>
      </c>
      <c r="BK27" s="394">
        <v>2.777777798473835E-2</v>
      </c>
      <c r="BL27" s="391"/>
      <c r="BM27" s="395">
        <v>0</v>
      </c>
      <c r="BN27" s="390">
        <v>0.68472222242918279</v>
      </c>
      <c r="BO27" s="391">
        <v>0.68680555555555556</v>
      </c>
      <c r="BP27" s="392" t="s">
        <v>885</v>
      </c>
      <c r="BQ27" s="391">
        <v>2.0833015441894531E-3</v>
      </c>
      <c r="BR27" s="396">
        <v>180</v>
      </c>
      <c r="BS27" s="390">
        <v>0</v>
      </c>
      <c r="BT27" s="391">
        <v>0</v>
      </c>
      <c r="BU27" s="391">
        <v>0</v>
      </c>
      <c r="BV27" s="401">
        <v>53.9</v>
      </c>
      <c r="BW27" s="401">
        <v>0</v>
      </c>
      <c r="BX27" s="392">
        <v>0</v>
      </c>
      <c r="BY27" s="392" t="s">
        <v>870</v>
      </c>
      <c r="BZ27" s="392" t="s">
        <v>870</v>
      </c>
      <c r="CA27" s="462">
        <v>521.70000000000005</v>
      </c>
      <c r="CB27" s="390">
        <v>0.48402777777777778</v>
      </c>
      <c r="CC27" s="391">
        <v>0.48402777777777778</v>
      </c>
      <c r="CD27" s="391">
        <v>0</v>
      </c>
      <c r="CE27" s="391"/>
      <c r="CF27" s="391"/>
      <c r="CG27" s="397">
        <v>0.49181712962962965</v>
      </c>
      <c r="CH27" s="398">
        <v>0.49222222222222217</v>
      </c>
      <c r="CI27" s="399" t="s">
        <v>885</v>
      </c>
      <c r="CJ27" s="398">
        <v>4.0510296821594238E-4</v>
      </c>
      <c r="CK27" s="462">
        <v>35</v>
      </c>
      <c r="CL27" s="397">
        <v>0.50648148148148142</v>
      </c>
      <c r="CM27" s="398">
        <v>0.50599537037037035</v>
      </c>
      <c r="CN27" s="392" t="s">
        <v>883</v>
      </c>
      <c r="CO27" s="398">
        <v>4.8607587814331055E-4</v>
      </c>
      <c r="CP27" s="462">
        <v>42</v>
      </c>
      <c r="CQ27" s="390">
        <v>0.58402777777777781</v>
      </c>
      <c r="CR27" s="391">
        <v>0.58402777777777781</v>
      </c>
      <c r="CS27" s="391">
        <v>0</v>
      </c>
      <c r="CT27" s="391"/>
      <c r="CU27" s="391"/>
      <c r="CV27" s="397">
        <v>0.59098379629629638</v>
      </c>
      <c r="CW27" s="398">
        <v>0.59215277777777775</v>
      </c>
      <c r="CX27" s="399" t="s">
        <v>885</v>
      </c>
      <c r="CY27" s="398">
        <v>1.1689662933349609E-3</v>
      </c>
      <c r="CZ27" s="462">
        <v>101</v>
      </c>
      <c r="DA27" s="397">
        <v>0.59263888888888883</v>
      </c>
      <c r="DB27" s="398">
        <v>0.59265046296296298</v>
      </c>
      <c r="DC27" s="392" t="s">
        <v>885</v>
      </c>
      <c r="DD27" s="398">
        <v>1.1563301086425781E-5</v>
      </c>
      <c r="DE27" s="462">
        <v>1</v>
      </c>
      <c r="DF27" s="390">
        <v>0</v>
      </c>
      <c r="DG27" s="391">
        <v>0</v>
      </c>
      <c r="DH27" s="391">
        <v>0</v>
      </c>
      <c r="DI27" s="401">
        <v>42.5</v>
      </c>
      <c r="DJ27" s="401">
        <v>0</v>
      </c>
      <c r="DK27" s="392">
        <v>0</v>
      </c>
      <c r="DL27" s="392" t="s">
        <v>870</v>
      </c>
      <c r="DM27" s="392">
        <v>0</v>
      </c>
      <c r="DN27" s="462">
        <v>187.5</v>
      </c>
      <c r="DO27" s="402">
        <v>0</v>
      </c>
      <c r="DP27" s="400">
        <v>0</v>
      </c>
      <c r="DQ27" s="402">
        <v>0</v>
      </c>
      <c r="DR27" s="400">
        <v>960</v>
      </c>
      <c r="DS27" s="390">
        <v>0.6694444444444444</v>
      </c>
      <c r="DT27" s="396">
        <v>0</v>
      </c>
      <c r="DU27" s="390">
        <v>0</v>
      </c>
      <c r="DV27" s="396">
        <v>900</v>
      </c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459"/>
      <c r="ET27" s="459"/>
      <c r="EU27" s="390" t="e">
        <v>#VALUE!</v>
      </c>
      <c r="EV27" s="391">
        <v>0</v>
      </c>
      <c r="EW27" s="392" t="e">
        <v>#VALUE!</v>
      </c>
      <c r="EX27" s="391">
        <v>0</v>
      </c>
      <c r="EY27" s="396">
        <v>900</v>
      </c>
      <c r="EZ27" s="390">
        <v>0</v>
      </c>
      <c r="FA27" s="391">
        <v>0</v>
      </c>
      <c r="FB27" s="391">
        <v>0</v>
      </c>
      <c r="FC27" s="401">
        <v>53.9</v>
      </c>
      <c r="FD27" s="401">
        <v>0</v>
      </c>
      <c r="FE27" s="401">
        <v>0</v>
      </c>
      <c r="FF27" s="392" t="s">
        <v>870</v>
      </c>
      <c r="FG27" s="392" t="s">
        <v>870</v>
      </c>
      <c r="FH27" s="462">
        <v>251.7</v>
      </c>
      <c r="FI27" s="403"/>
    </row>
    <row r="28" spans="1:165" s="20" customFormat="1" x14ac:dyDescent="0.25">
      <c r="A28" s="253">
        <v>26</v>
      </c>
      <c r="B28" s="241" t="s">
        <v>861</v>
      </c>
      <c r="C28" s="241" t="s">
        <v>748</v>
      </c>
      <c r="D28" s="241" t="s">
        <v>749</v>
      </c>
      <c r="E28" s="241" t="s">
        <v>747</v>
      </c>
      <c r="F28" s="241" t="s">
        <v>867</v>
      </c>
      <c r="G28" s="487">
        <v>2032.7</v>
      </c>
      <c r="H28" s="487">
        <v>180</v>
      </c>
      <c r="I28" s="487">
        <v>1132.7</v>
      </c>
      <c r="J28" s="487">
        <v>720</v>
      </c>
      <c r="K28" s="242">
        <v>0.43333333333333329</v>
      </c>
      <c r="L28" s="122">
        <v>0.43333333333333335</v>
      </c>
      <c r="M28" s="243" t="s">
        <v>94</v>
      </c>
      <c r="N28" s="122">
        <v>0</v>
      </c>
      <c r="O28" s="301">
        <v>0</v>
      </c>
      <c r="P28" s="300">
        <v>4.86111119389534E-2</v>
      </c>
      <c r="Q28" s="294"/>
      <c r="R28" s="242">
        <v>0.48194444527228675</v>
      </c>
      <c r="S28" s="122">
        <v>0.48194444444444445</v>
      </c>
      <c r="T28" s="243" t="s">
        <v>94</v>
      </c>
      <c r="U28" s="122">
        <v>0</v>
      </c>
      <c r="V28" s="301">
        <v>0</v>
      </c>
      <c r="W28" s="300">
        <v>4.86111119389534E-2</v>
      </c>
      <c r="X28" s="122"/>
      <c r="Y28" s="294">
        <v>0</v>
      </c>
      <c r="Z28" s="242">
        <v>0.53333333416117568</v>
      </c>
      <c r="AA28" s="122">
        <v>0.53333333333333333</v>
      </c>
      <c r="AB28" s="243" t="s">
        <v>94</v>
      </c>
      <c r="AC28" s="122">
        <v>0</v>
      </c>
      <c r="AD28" s="301">
        <v>0</v>
      </c>
      <c r="AE28" s="300">
        <v>2.43055559694767E-2</v>
      </c>
      <c r="AF28" s="122"/>
      <c r="AG28" s="294">
        <v>0</v>
      </c>
      <c r="AH28" s="242">
        <v>0.55763888930281003</v>
      </c>
      <c r="AI28" s="122">
        <v>0.55833333333333335</v>
      </c>
      <c r="AJ28" s="243" t="s">
        <v>885</v>
      </c>
      <c r="AK28" s="122">
        <v>6.9445371627807617E-4</v>
      </c>
      <c r="AL28" s="301">
        <v>60</v>
      </c>
      <c r="AM28" s="300">
        <v>2.43055559694767E-2</v>
      </c>
      <c r="AN28" s="122"/>
      <c r="AO28" s="294">
        <v>0</v>
      </c>
      <c r="AP28" s="242">
        <v>0.58263888930281005</v>
      </c>
      <c r="AQ28" s="122">
        <v>0.58333333333333337</v>
      </c>
      <c r="AR28" s="243" t="s">
        <v>885</v>
      </c>
      <c r="AS28" s="122">
        <v>6.9445371627807617E-4</v>
      </c>
      <c r="AT28" s="301">
        <v>60</v>
      </c>
      <c r="AU28" s="300">
        <v>3.125E-2</v>
      </c>
      <c r="AV28" s="122"/>
      <c r="AW28" s="294">
        <v>0</v>
      </c>
      <c r="AX28" s="242">
        <v>0.61736111111111114</v>
      </c>
      <c r="AY28" s="122">
        <v>0.61805555555555558</v>
      </c>
      <c r="AZ28" s="243" t="s">
        <v>885</v>
      </c>
      <c r="BA28" s="122">
        <v>6.9445371627807617E-4</v>
      </c>
      <c r="BB28" s="301">
        <v>60</v>
      </c>
      <c r="BC28" s="300">
        <v>4.1666667908430099E-2</v>
      </c>
      <c r="BD28" s="122"/>
      <c r="BE28" s="294">
        <v>0</v>
      </c>
      <c r="BF28" s="242">
        <v>0.65972222346398568</v>
      </c>
      <c r="BG28" s="122">
        <v>0.65972222222222221</v>
      </c>
      <c r="BH28" s="243" t="s">
        <v>94</v>
      </c>
      <c r="BI28" s="122">
        <v>0</v>
      </c>
      <c r="BJ28" s="301">
        <v>0</v>
      </c>
      <c r="BK28" s="300">
        <v>2.777777798473835E-2</v>
      </c>
      <c r="BL28" s="122"/>
      <c r="BM28" s="294">
        <v>0</v>
      </c>
      <c r="BN28" s="242">
        <v>0.68750000020696056</v>
      </c>
      <c r="BO28" s="122">
        <v>0.6875</v>
      </c>
      <c r="BP28" s="243" t="s">
        <v>94</v>
      </c>
      <c r="BQ28" s="122">
        <v>0</v>
      </c>
      <c r="BR28" s="244">
        <v>0</v>
      </c>
      <c r="BS28" s="242">
        <v>0</v>
      </c>
      <c r="BT28" s="122">
        <v>0</v>
      </c>
      <c r="BU28" s="122">
        <v>0</v>
      </c>
      <c r="BV28" s="248">
        <v>66.5</v>
      </c>
      <c r="BW28" s="248">
        <v>0</v>
      </c>
      <c r="BX28" s="243">
        <v>0</v>
      </c>
      <c r="BY28" s="243" t="s">
        <v>870</v>
      </c>
      <c r="BZ28" s="243" t="s">
        <v>870</v>
      </c>
      <c r="CA28" s="463">
        <v>559.5</v>
      </c>
      <c r="CB28" s="242">
        <v>0.48472222222222222</v>
      </c>
      <c r="CC28" s="122">
        <v>0.48472222222222222</v>
      </c>
      <c r="CD28" s="122">
        <v>0</v>
      </c>
      <c r="CE28" s="122"/>
      <c r="CF28" s="122"/>
      <c r="CG28" s="247">
        <v>0.49251157407407409</v>
      </c>
      <c r="CH28" s="245">
        <v>0.4927199074074074</v>
      </c>
      <c r="CI28" s="240" t="s">
        <v>885</v>
      </c>
      <c r="CJ28" s="245">
        <v>2.0834803581237793E-4</v>
      </c>
      <c r="CK28" s="463">
        <v>18</v>
      </c>
      <c r="CL28" s="247">
        <v>0.50697916666666665</v>
      </c>
      <c r="CM28" s="245">
        <v>0.50725694444444447</v>
      </c>
      <c r="CN28" s="243" t="s">
        <v>885</v>
      </c>
      <c r="CO28" s="245">
        <v>2.7775764465332031E-4</v>
      </c>
      <c r="CP28" s="463">
        <v>24</v>
      </c>
      <c r="CQ28" s="242">
        <v>0.58611111111111114</v>
      </c>
      <c r="CR28" s="122">
        <v>0.58611111111111114</v>
      </c>
      <c r="CS28" s="122">
        <v>0</v>
      </c>
      <c r="CT28" s="122"/>
      <c r="CU28" s="122"/>
      <c r="CV28" s="247">
        <v>0.59306712962962971</v>
      </c>
      <c r="CW28" s="245">
        <v>0.59395833333333337</v>
      </c>
      <c r="CX28" s="240" t="s">
        <v>885</v>
      </c>
      <c r="CY28" s="245">
        <v>8.9120864868164063E-4</v>
      </c>
      <c r="CZ28" s="463">
        <v>77</v>
      </c>
      <c r="DA28" s="247">
        <v>0.59444444444444444</v>
      </c>
      <c r="DB28" s="245">
        <v>0.59437499999999999</v>
      </c>
      <c r="DC28" s="243" t="s">
        <v>883</v>
      </c>
      <c r="DD28" s="245">
        <v>6.9439411163330078E-5</v>
      </c>
      <c r="DE28" s="463">
        <v>6</v>
      </c>
      <c r="DF28" s="242">
        <v>0</v>
      </c>
      <c r="DG28" s="122">
        <v>0</v>
      </c>
      <c r="DH28" s="122">
        <v>0</v>
      </c>
      <c r="DI28" s="248">
        <v>49.4</v>
      </c>
      <c r="DJ28" s="248">
        <v>0</v>
      </c>
      <c r="DK28" s="243">
        <v>0</v>
      </c>
      <c r="DL28" s="243">
        <v>0</v>
      </c>
      <c r="DM28" s="243" t="s">
        <v>870</v>
      </c>
      <c r="DN28" s="463">
        <v>448.2</v>
      </c>
      <c r="DO28" s="249">
        <v>0</v>
      </c>
      <c r="DP28" s="246">
        <v>0</v>
      </c>
      <c r="DQ28" s="249">
        <v>0</v>
      </c>
      <c r="DR28" s="246">
        <v>720</v>
      </c>
      <c r="DS28" s="242">
        <v>0.66666666666666663</v>
      </c>
      <c r="DT28" s="244">
        <v>0</v>
      </c>
      <c r="DU28" s="242">
        <v>0.68055555555555547</v>
      </c>
      <c r="DV28" s="244">
        <v>0</v>
      </c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459"/>
      <c r="ET28" s="459"/>
      <c r="EU28" s="242" t="e">
        <v>#VALUE!</v>
      </c>
      <c r="EV28" s="122">
        <v>0</v>
      </c>
      <c r="EW28" s="243" t="e">
        <v>#VALUE!</v>
      </c>
      <c r="EX28" s="122">
        <v>0</v>
      </c>
      <c r="EY28" s="244">
        <v>900</v>
      </c>
      <c r="EZ28" s="242">
        <v>0</v>
      </c>
      <c r="FA28" s="122">
        <v>0</v>
      </c>
      <c r="FB28" s="122">
        <v>0</v>
      </c>
      <c r="FC28" s="248">
        <v>66.5</v>
      </c>
      <c r="FD28" s="248">
        <v>0</v>
      </c>
      <c r="FE28" s="248">
        <v>0</v>
      </c>
      <c r="FF28" s="243" t="s">
        <v>870</v>
      </c>
      <c r="FG28" s="243" t="s">
        <v>870</v>
      </c>
      <c r="FH28" s="463">
        <v>289.5</v>
      </c>
    </row>
    <row r="29" spans="1:165" s="236" customFormat="1" x14ac:dyDescent="0.25">
      <c r="A29" s="388">
        <v>29</v>
      </c>
      <c r="B29" s="389" t="s">
        <v>863</v>
      </c>
      <c r="C29" s="389" t="s">
        <v>864</v>
      </c>
      <c r="D29" s="389" t="s">
        <v>865</v>
      </c>
      <c r="E29" s="389" t="s">
        <v>884</v>
      </c>
      <c r="F29" s="389" t="s">
        <v>627</v>
      </c>
      <c r="G29" s="486">
        <v>621.5</v>
      </c>
      <c r="H29" s="486">
        <v>0</v>
      </c>
      <c r="I29" s="486">
        <v>381.49999999999994</v>
      </c>
      <c r="J29" s="486">
        <v>240</v>
      </c>
      <c r="K29" s="390">
        <v>0.43402777777777773</v>
      </c>
      <c r="L29" s="391">
        <v>0.43402777777777773</v>
      </c>
      <c r="M29" s="392" t="s">
        <v>94</v>
      </c>
      <c r="N29" s="391">
        <v>0</v>
      </c>
      <c r="O29" s="393">
        <v>0</v>
      </c>
      <c r="P29" s="394">
        <v>4.86111119389534E-2</v>
      </c>
      <c r="Q29" s="395"/>
      <c r="R29" s="390">
        <v>0.48263888971673113</v>
      </c>
      <c r="S29" s="391">
        <v>0.4826388888888889</v>
      </c>
      <c r="T29" s="392" t="s">
        <v>94</v>
      </c>
      <c r="U29" s="391">
        <v>0</v>
      </c>
      <c r="V29" s="393">
        <v>0</v>
      </c>
      <c r="W29" s="394">
        <v>4.86111119389534E-2</v>
      </c>
      <c r="X29" s="391"/>
      <c r="Y29" s="395">
        <v>0</v>
      </c>
      <c r="Z29" s="390">
        <v>0.53402777860562001</v>
      </c>
      <c r="AA29" s="391">
        <v>0.53402777777777777</v>
      </c>
      <c r="AB29" s="392" t="s">
        <v>94</v>
      </c>
      <c r="AC29" s="391">
        <v>0</v>
      </c>
      <c r="AD29" s="393">
        <v>0</v>
      </c>
      <c r="AE29" s="394">
        <v>2.43055559694767E-2</v>
      </c>
      <c r="AF29" s="391"/>
      <c r="AG29" s="395">
        <v>0</v>
      </c>
      <c r="AH29" s="390">
        <v>0.55833333374725447</v>
      </c>
      <c r="AI29" s="391">
        <v>0.55833333333333335</v>
      </c>
      <c r="AJ29" s="392" t="s">
        <v>94</v>
      </c>
      <c r="AK29" s="391">
        <v>0</v>
      </c>
      <c r="AL29" s="393">
        <v>0</v>
      </c>
      <c r="AM29" s="394">
        <v>2.43055559694767E-2</v>
      </c>
      <c r="AN29" s="391"/>
      <c r="AO29" s="395">
        <v>0</v>
      </c>
      <c r="AP29" s="390">
        <v>0.58263888930281005</v>
      </c>
      <c r="AQ29" s="391">
        <v>0.58263888888888882</v>
      </c>
      <c r="AR29" s="392" t="s">
        <v>94</v>
      </c>
      <c r="AS29" s="391">
        <v>0</v>
      </c>
      <c r="AT29" s="393">
        <v>0</v>
      </c>
      <c r="AU29" s="394">
        <v>3.125E-2</v>
      </c>
      <c r="AV29" s="391"/>
      <c r="AW29" s="395">
        <v>0</v>
      </c>
      <c r="AX29" s="390">
        <v>0.61597222222222225</v>
      </c>
      <c r="AY29" s="391">
        <v>0.61597222222222225</v>
      </c>
      <c r="AZ29" s="392" t="s">
        <v>94</v>
      </c>
      <c r="BA29" s="391">
        <v>0</v>
      </c>
      <c r="BB29" s="393">
        <v>0</v>
      </c>
      <c r="BC29" s="394">
        <v>4.1666667908430099E-2</v>
      </c>
      <c r="BD29" s="391"/>
      <c r="BE29" s="395">
        <v>0</v>
      </c>
      <c r="BF29" s="390">
        <v>0.65763889013065235</v>
      </c>
      <c r="BG29" s="391">
        <v>0.65763888888888888</v>
      </c>
      <c r="BH29" s="392" t="s">
        <v>94</v>
      </c>
      <c r="BI29" s="391">
        <v>0</v>
      </c>
      <c r="BJ29" s="393">
        <v>0</v>
      </c>
      <c r="BK29" s="394">
        <v>2.777777798473835E-2</v>
      </c>
      <c r="BL29" s="391"/>
      <c r="BM29" s="395">
        <v>0</v>
      </c>
      <c r="BN29" s="390">
        <v>0.68541666687362723</v>
      </c>
      <c r="BO29" s="391">
        <v>0.68541666666666667</v>
      </c>
      <c r="BP29" s="392" t="s">
        <v>94</v>
      </c>
      <c r="BQ29" s="391">
        <v>0</v>
      </c>
      <c r="BR29" s="396">
        <v>0</v>
      </c>
      <c r="BS29" s="390">
        <v>0</v>
      </c>
      <c r="BT29" s="391">
        <v>0</v>
      </c>
      <c r="BU29" s="391">
        <v>0</v>
      </c>
      <c r="BV29" s="401">
        <v>71.099999999999994</v>
      </c>
      <c r="BW29" s="401">
        <v>0</v>
      </c>
      <c r="BX29" s="392">
        <v>0</v>
      </c>
      <c r="BY29" s="392">
        <v>0</v>
      </c>
      <c r="BZ29" s="392">
        <v>0</v>
      </c>
      <c r="CA29" s="462">
        <v>213.29999999999998</v>
      </c>
      <c r="CB29" s="390">
        <v>0.48541666666666666</v>
      </c>
      <c r="CC29" s="391">
        <v>0.48541666666666666</v>
      </c>
      <c r="CD29" s="391">
        <v>0</v>
      </c>
      <c r="CE29" s="391"/>
      <c r="CF29" s="391"/>
      <c r="CG29" s="397">
        <v>0.49320601851851853</v>
      </c>
      <c r="CH29" s="398">
        <v>0.49290509259259258</v>
      </c>
      <c r="CI29" s="399" t="s">
        <v>883</v>
      </c>
      <c r="CJ29" s="398">
        <v>3.0094385147094727E-4</v>
      </c>
      <c r="CK29" s="462">
        <v>26</v>
      </c>
      <c r="CL29" s="397">
        <v>0.50716435185185182</v>
      </c>
      <c r="CM29" s="398">
        <v>0.50719907407407405</v>
      </c>
      <c r="CN29" s="392" t="s">
        <v>885</v>
      </c>
      <c r="CO29" s="398">
        <v>3.4689903259277344E-5</v>
      </c>
      <c r="CP29" s="462">
        <v>3</v>
      </c>
      <c r="CQ29" s="390">
        <v>0.58472222222222225</v>
      </c>
      <c r="CR29" s="391">
        <v>0.58472222222222225</v>
      </c>
      <c r="CS29" s="391">
        <v>0</v>
      </c>
      <c r="CT29" s="391"/>
      <c r="CU29" s="391"/>
      <c r="CV29" s="397">
        <v>0.59167824074074082</v>
      </c>
      <c r="CW29" s="398">
        <v>0.5917824074074074</v>
      </c>
      <c r="CX29" s="399" t="s">
        <v>885</v>
      </c>
      <c r="CY29" s="398">
        <v>1.0412931442260742E-4</v>
      </c>
      <c r="CZ29" s="462">
        <v>9</v>
      </c>
      <c r="DA29" s="397">
        <v>0.59226851851851847</v>
      </c>
      <c r="DB29" s="398">
        <v>0.59233796296296293</v>
      </c>
      <c r="DC29" s="392" t="s">
        <v>885</v>
      </c>
      <c r="DD29" s="398">
        <v>6.9439411163330078E-5</v>
      </c>
      <c r="DE29" s="462">
        <v>6</v>
      </c>
      <c r="DF29" s="390">
        <v>0</v>
      </c>
      <c r="DG29" s="391">
        <v>0</v>
      </c>
      <c r="DH29" s="391">
        <v>0</v>
      </c>
      <c r="DI29" s="401">
        <v>41.4</v>
      </c>
      <c r="DJ29" s="401">
        <v>0</v>
      </c>
      <c r="DK29" s="392">
        <v>0</v>
      </c>
      <c r="DL29" s="392">
        <v>0</v>
      </c>
      <c r="DM29" s="392">
        <v>0</v>
      </c>
      <c r="DN29" s="462">
        <v>124.19999999999999</v>
      </c>
      <c r="DO29" s="402">
        <v>0</v>
      </c>
      <c r="DP29" s="400">
        <v>0</v>
      </c>
      <c r="DQ29" s="402">
        <v>0</v>
      </c>
      <c r="DR29" s="400">
        <v>240</v>
      </c>
      <c r="DS29" s="390">
        <v>0.66597222222222219</v>
      </c>
      <c r="DT29" s="396">
        <v>0</v>
      </c>
      <c r="DU29" s="390">
        <v>0.68055555555555547</v>
      </c>
      <c r="DV29" s="396">
        <v>0</v>
      </c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459"/>
      <c r="EP29" s="459"/>
      <c r="EQ29" s="459"/>
      <c r="ER29" s="459"/>
      <c r="ES29" s="459"/>
      <c r="ET29" s="459"/>
      <c r="EU29" s="390" t="e">
        <v>#VALUE!</v>
      </c>
      <c r="EV29" s="391">
        <v>0</v>
      </c>
      <c r="EW29" s="392" t="e">
        <v>#VALUE!</v>
      </c>
      <c r="EX29" s="391">
        <v>0</v>
      </c>
      <c r="EY29" s="396">
        <v>900</v>
      </c>
      <c r="EZ29" s="390">
        <v>0</v>
      </c>
      <c r="FA29" s="391">
        <v>0</v>
      </c>
      <c r="FB29" s="391">
        <v>0</v>
      </c>
      <c r="FC29" s="401">
        <v>71.099999999999994</v>
      </c>
      <c r="FD29" s="401">
        <v>0</v>
      </c>
      <c r="FE29" s="401">
        <v>0</v>
      </c>
      <c r="FF29" s="392">
        <v>0</v>
      </c>
      <c r="FG29" s="392">
        <v>0</v>
      </c>
      <c r="FH29" s="462">
        <v>213.29999999999998</v>
      </c>
      <c r="FI29" s="403"/>
    </row>
    <row r="30" spans="1:165" s="20" customFormat="1" x14ac:dyDescent="0.25">
      <c r="A30" s="253">
        <v>30</v>
      </c>
      <c r="B30" s="241" t="s">
        <v>622</v>
      </c>
      <c r="C30" s="241" t="s">
        <v>624</v>
      </c>
      <c r="D30" s="241" t="s">
        <v>626</v>
      </c>
      <c r="E30" s="241" t="s">
        <v>625</v>
      </c>
      <c r="F30" s="241" t="s">
        <v>590</v>
      </c>
      <c r="G30" s="487">
        <v>3081.6</v>
      </c>
      <c r="H30" s="487">
        <v>1080</v>
      </c>
      <c r="I30" s="487">
        <v>801.59999999999991</v>
      </c>
      <c r="J30" s="487">
        <v>1200</v>
      </c>
      <c r="K30" s="242">
        <v>0.43472222222222218</v>
      </c>
      <c r="L30" s="122">
        <v>0.43472222222222223</v>
      </c>
      <c r="M30" s="243" t="s">
        <v>94</v>
      </c>
      <c r="N30" s="122">
        <v>0</v>
      </c>
      <c r="O30" s="301">
        <v>0</v>
      </c>
      <c r="P30" s="300">
        <v>4.86111119389534E-2</v>
      </c>
      <c r="Q30" s="294"/>
      <c r="R30" s="242">
        <v>0.48333333416117563</v>
      </c>
      <c r="S30" s="122">
        <v>0.48333333333333334</v>
      </c>
      <c r="T30" s="243" t="s">
        <v>94</v>
      </c>
      <c r="U30" s="122">
        <v>0</v>
      </c>
      <c r="V30" s="301">
        <v>0</v>
      </c>
      <c r="W30" s="300">
        <v>4.86111119389534E-2</v>
      </c>
      <c r="X30" s="122"/>
      <c r="Y30" s="294">
        <v>0</v>
      </c>
      <c r="Z30" s="242">
        <v>0.53472222305006456</v>
      </c>
      <c r="AA30" s="122">
        <v>0.53472222222222221</v>
      </c>
      <c r="AB30" s="243" t="s">
        <v>94</v>
      </c>
      <c r="AC30" s="122">
        <v>0</v>
      </c>
      <c r="AD30" s="301">
        <v>0</v>
      </c>
      <c r="AE30" s="300">
        <v>2.43055559694767E-2</v>
      </c>
      <c r="AF30" s="122"/>
      <c r="AG30" s="294">
        <v>0</v>
      </c>
      <c r="AH30" s="242">
        <v>0.55902777819169891</v>
      </c>
      <c r="AI30" s="122">
        <v>0.56111111111111112</v>
      </c>
      <c r="AJ30" s="243" t="s">
        <v>885</v>
      </c>
      <c r="AK30" s="122">
        <v>2.0833015441894531E-3</v>
      </c>
      <c r="AL30" s="301">
        <v>180</v>
      </c>
      <c r="AM30" s="300">
        <v>2.43055559694767E-2</v>
      </c>
      <c r="AN30" s="122"/>
      <c r="AO30" s="294">
        <v>0</v>
      </c>
      <c r="AP30" s="242">
        <v>0.58541666708058782</v>
      </c>
      <c r="AQ30" s="122">
        <v>0.5854166666666667</v>
      </c>
      <c r="AR30" s="243" t="s">
        <v>94</v>
      </c>
      <c r="AS30" s="122">
        <v>0</v>
      </c>
      <c r="AT30" s="301">
        <v>0</v>
      </c>
      <c r="AU30" s="300">
        <v>3.125E-2</v>
      </c>
      <c r="AV30" s="122"/>
      <c r="AW30" s="294">
        <v>0</v>
      </c>
      <c r="AX30" s="242">
        <v>0.61875000000000002</v>
      </c>
      <c r="AY30" s="122">
        <v>0.61875000000000002</v>
      </c>
      <c r="AZ30" s="243" t="s">
        <v>94</v>
      </c>
      <c r="BA30" s="122">
        <v>0</v>
      </c>
      <c r="BB30" s="301">
        <v>0</v>
      </c>
      <c r="BC30" s="300">
        <v>4.1666667908430099E-2</v>
      </c>
      <c r="BD30" s="122"/>
      <c r="BE30" s="294">
        <v>0</v>
      </c>
      <c r="BF30" s="242">
        <v>0.66041666790843012</v>
      </c>
      <c r="BG30" s="122">
        <v>0.66041666666666665</v>
      </c>
      <c r="BH30" s="243" t="s">
        <v>94</v>
      </c>
      <c r="BI30" s="122">
        <v>0</v>
      </c>
      <c r="BJ30" s="301">
        <v>0</v>
      </c>
      <c r="BK30" s="300">
        <v>2.777777798473835E-2</v>
      </c>
      <c r="BL30" s="122"/>
      <c r="BM30" s="294">
        <v>0</v>
      </c>
      <c r="BN30" s="242">
        <v>0.688194444651405</v>
      </c>
      <c r="BO30" s="122">
        <v>0.68541666666666667</v>
      </c>
      <c r="BP30" s="243" t="s">
        <v>883</v>
      </c>
      <c r="BQ30" s="122">
        <v>2.7778148651123047E-3</v>
      </c>
      <c r="BR30" s="244">
        <v>0</v>
      </c>
      <c r="BS30" s="242">
        <v>0</v>
      </c>
      <c r="BT30" s="122">
        <v>0</v>
      </c>
      <c r="BU30" s="122">
        <v>0</v>
      </c>
      <c r="BV30" s="248">
        <v>61.4</v>
      </c>
      <c r="BW30" s="248">
        <v>0</v>
      </c>
      <c r="BX30" s="243">
        <v>0</v>
      </c>
      <c r="BY30" s="243" t="s">
        <v>870</v>
      </c>
      <c r="BZ30" s="243">
        <v>0</v>
      </c>
      <c r="CA30" s="463">
        <v>244.2</v>
      </c>
      <c r="CB30" s="242">
        <v>0.4861111111111111</v>
      </c>
      <c r="CC30" s="122">
        <v>0.4861111111111111</v>
      </c>
      <c r="CD30" s="122">
        <v>0</v>
      </c>
      <c r="CE30" s="122"/>
      <c r="CF30" s="122"/>
      <c r="CG30" s="247">
        <v>0.49390046296296297</v>
      </c>
      <c r="CH30" s="245">
        <v>0.49421296296296297</v>
      </c>
      <c r="CI30" s="240" t="s">
        <v>885</v>
      </c>
      <c r="CJ30" s="245">
        <v>3.1250715255737305E-4</v>
      </c>
      <c r="CK30" s="463">
        <v>27</v>
      </c>
      <c r="CL30" s="247">
        <v>0.50847222222222221</v>
      </c>
      <c r="CM30" s="245">
        <v>0.50851851851851848</v>
      </c>
      <c r="CN30" s="243" t="s">
        <v>885</v>
      </c>
      <c r="CO30" s="245">
        <v>4.6312808990478516E-5</v>
      </c>
      <c r="CP30" s="463">
        <v>4</v>
      </c>
      <c r="CQ30" s="242">
        <v>0.58750000000000002</v>
      </c>
      <c r="CR30" s="122">
        <v>0.58750000000000002</v>
      </c>
      <c r="CS30" s="122">
        <v>0</v>
      </c>
      <c r="CT30" s="122"/>
      <c r="CU30" s="122"/>
      <c r="CV30" s="247">
        <v>0.59445601851851859</v>
      </c>
      <c r="CW30" s="245">
        <v>0.59495370370370371</v>
      </c>
      <c r="CX30" s="240" t="s">
        <v>885</v>
      </c>
      <c r="CY30" s="245">
        <v>4.9769878387451172E-4</v>
      </c>
      <c r="CZ30" s="463">
        <v>43</v>
      </c>
      <c r="DA30" s="247">
        <v>0.59543981481481478</v>
      </c>
      <c r="DB30" s="245">
        <v>0.59542824074074074</v>
      </c>
      <c r="DC30" s="243" t="s">
        <v>883</v>
      </c>
      <c r="DD30" s="245">
        <v>1.1563301086425781E-5</v>
      </c>
      <c r="DE30" s="463">
        <v>1</v>
      </c>
      <c r="DF30" s="242">
        <v>0</v>
      </c>
      <c r="DG30" s="122">
        <v>0</v>
      </c>
      <c r="DH30" s="122">
        <v>0</v>
      </c>
      <c r="DI30" s="248">
        <v>40.799999999999997</v>
      </c>
      <c r="DJ30" s="248">
        <v>0</v>
      </c>
      <c r="DK30" s="243">
        <v>0</v>
      </c>
      <c r="DL30" s="243" t="s">
        <v>870</v>
      </c>
      <c r="DM30" s="243" t="s">
        <v>870</v>
      </c>
      <c r="DN30" s="463">
        <v>482.4</v>
      </c>
      <c r="DO30" s="249">
        <v>0</v>
      </c>
      <c r="DP30" s="246">
        <v>0</v>
      </c>
      <c r="DQ30" s="249">
        <v>0</v>
      </c>
      <c r="DR30" s="246">
        <v>1200</v>
      </c>
      <c r="DS30" s="242">
        <v>0.66666666666666663</v>
      </c>
      <c r="DT30" s="244">
        <v>0</v>
      </c>
      <c r="DU30" s="242">
        <v>0</v>
      </c>
      <c r="DV30" s="244">
        <v>900</v>
      </c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459"/>
      <c r="EP30" s="459"/>
      <c r="EQ30" s="459"/>
      <c r="ER30" s="459"/>
      <c r="ES30" s="459"/>
      <c r="ET30" s="459"/>
      <c r="EU30" s="242" t="e">
        <v>#VALUE!</v>
      </c>
      <c r="EV30" s="122">
        <v>0</v>
      </c>
      <c r="EW30" s="243" t="e">
        <v>#VALUE!</v>
      </c>
      <c r="EX30" s="122">
        <v>0</v>
      </c>
      <c r="EY30" s="244">
        <v>900</v>
      </c>
      <c r="EZ30" s="242">
        <v>0</v>
      </c>
      <c r="FA30" s="122">
        <v>0</v>
      </c>
      <c r="FB30" s="122">
        <v>0</v>
      </c>
      <c r="FC30" s="248">
        <v>61.4</v>
      </c>
      <c r="FD30" s="248">
        <v>0</v>
      </c>
      <c r="FE30" s="248">
        <v>0</v>
      </c>
      <c r="FF30" s="243" t="s">
        <v>870</v>
      </c>
      <c r="FG30" s="243">
        <v>0</v>
      </c>
      <c r="FH30" s="463">
        <v>214.2</v>
      </c>
    </row>
    <row r="31" spans="1:165" s="236" customFormat="1" x14ac:dyDescent="0.25">
      <c r="A31" s="388">
        <v>31</v>
      </c>
      <c r="B31" s="389" t="s">
        <v>629</v>
      </c>
      <c r="C31" s="389" t="s">
        <v>631</v>
      </c>
      <c r="D31" s="389" t="s">
        <v>633</v>
      </c>
      <c r="E31" s="389" t="s">
        <v>632</v>
      </c>
      <c r="F31" s="389" t="s">
        <v>590</v>
      </c>
      <c r="G31" s="486">
        <v>1629.6</v>
      </c>
      <c r="H31" s="486">
        <v>120</v>
      </c>
      <c r="I31" s="486">
        <v>549.6</v>
      </c>
      <c r="J31" s="486">
        <v>960</v>
      </c>
      <c r="K31" s="390">
        <v>0.43541666666666662</v>
      </c>
      <c r="L31" s="391">
        <v>0.43541666666666662</v>
      </c>
      <c r="M31" s="392" t="s">
        <v>94</v>
      </c>
      <c r="N31" s="391">
        <v>0</v>
      </c>
      <c r="O31" s="393">
        <v>0</v>
      </c>
      <c r="P31" s="394">
        <v>4.86111119389534E-2</v>
      </c>
      <c r="Q31" s="395"/>
      <c r="R31" s="390">
        <v>0.48402777860562002</v>
      </c>
      <c r="S31" s="391">
        <v>0.48402777777777778</v>
      </c>
      <c r="T31" s="392" t="s">
        <v>94</v>
      </c>
      <c r="U31" s="391">
        <v>0</v>
      </c>
      <c r="V31" s="393">
        <v>0</v>
      </c>
      <c r="W31" s="394">
        <v>4.86111119389534E-2</v>
      </c>
      <c r="X31" s="391"/>
      <c r="Y31" s="395">
        <v>0</v>
      </c>
      <c r="Z31" s="390">
        <v>0.53541666749450889</v>
      </c>
      <c r="AA31" s="391">
        <v>0.53541666666666665</v>
      </c>
      <c r="AB31" s="392" t="s">
        <v>94</v>
      </c>
      <c r="AC31" s="391">
        <v>0</v>
      </c>
      <c r="AD31" s="393">
        <v>0</v>
      </c>
      <c r="AE31" s="394">
        <v>2.43055559694767E-2</v>
      </c>
      <c r="AF31" s="391"/>
      <c r="AG31" s="395">
        <v>0</v>
      </c>
      <c r="AH31" s="390">
        <v>0.55972222263614335</v>
      </c>
      <c r="AI31" s="391">
        <v>0.56111111111111112</v>
      </c>
      <c r="AJ31" s="392" t="s">
        <v>885</v>
      </c>
      <c r="AK31" s="391">
        <v>1.388847827911377E-3</v>
      </c>
      <c r="AL31" s="393">
        <v>120</v>
      </c>
      <c r="AM31" s="394">
        <v>2.43055559694767E-2</v>
      </c>
      <c r="AN31" s="391"/>
      <c r="AO31" s="395">
        <v>0</v>
      </c>
      <c r="AP31" s="390">
        <v>0.58541666708058782</v>
      </c>
      <c r="AQ31" s="391">
        <v>0.5854166666666667</v>
      </c>
      <c r="AR31" s="392" t="s">
        <v>94</v>
      </c>
      <c r="AS31" s="391">
        <v>0</v>
      </c>
      <c r="AT31" s="393">
        <v>0</v>
      </c>
      <c r="AU31" s="394">
        <v>3.125E-2</v>
      </c>
      <c r="AV31" s="391"/>
      <c r="AW31" s="395">
        <v>0</v>
      </c>
      <c r="AX31" s="390">
        <v>0.62013888888888891</v>
      </c>
      <c r="AY31" s="391">
        <v>0.62013888888888891</v>
      </c>
      <c r="AZ31" s="392" t="s">
        <v>94</v>
      </c>
      <c r="BA31" s="391">
        <v>0</v>
      </c>
      <c r="BB31" s="393">
        <v>0</v>
      </c>
      <c r="BC31" s="394">
        <v>4.1666667908430099E-2</v>
      </c>
      <c r="BD31" s="391"/>
      <c r="BE31" s="395">
        <v>0</v>
      </c>
      <c r="BF31" s="390">
        <v>0.66180555679731901</v>
      </c>
      <c r="BG31" s="391">
        <v>0.66180555555555554</v>
      </c>
      <c r="BH31" s="392" t="s">
        <v>94</v>
      </c>
      <c r="BI31" s="391">
        <v>0</v>
      </c>
      <c r="BJ31" s="393">
        <v>0</v>
      </c>
      <c r="BK31" s="394">
        <v>2.777777798473835E-2</v>
      </c>
      <c r="BL31" s="391"/>
      <c r="BM31" s="395">
        <v>0</v>
      </c>
      <c r="BN31" s="390">
        <v>0.68958333354029389</v>
      </c>
      <c r="BO31" s="391">
        <v>0.6875</v>
      </c>
      <c r="BP31" s="392" t="s">
        <v>883</v>
      </c>
      <c r="BQ31" s="391">
        <v>2.0833611488342285E-3</v>
      </c>
      <c r="BR31" s="396">
        <v>0</v>
      </c>
      <c r="BS31" s="390">
        <v>0</v>
      </c>
      <c r="BT31" s="391">
        <v>0</v>
      </c>
      <c r="BU31" s="391">
        <v>0</v>
      </c>
      <c r="BV31" s="401">
        <v>76.7</v>
      </c>
      <c r="BW31" s="401">
        <v>0</v>
      </c>
      <c r="BX31" s="392">
        <v>0</v>
      </c>
      <c r="BY31" s="392">
        <v>0</v>
      </c>
      <c r="BZ31" s="392">
        <v>0</v>
      </c>
      <c r="CA31" s="462">
        <v>230.10000000000002</v>
      </c>
      <c r="CB31" s="390">
        <v>0.48680555555555555</v>
      </c>
      <c r="CC31" s="391">
        <v>0.48680555555555555</v>
      </c>
      <c r="CD31" s="391">
        <v>0</v>
      </c>
      <c r="CE31" s="391"/>
      <c r="CF31" s="391"/>
      <c r="CG31" s="397">
        <v>0.49459490740740741</v>
      </c>
      <c r="CH31" s="398">
        <v>0.49461805555555555</v>
      </c>
      <c r="CI31" s="399" t="s">
        <v>885</v>
      </c>
      <c r="CJ31" s="398">
        <v>2.3156404495239258E-5</v>
      </c>
      <c r="CK31" s="462">
        <v>2</v>
      </c>
      <c r="CL31" s="397">
        <v>0.5088773148148148</v>
      </c>
      <c r="CM31" s="398">
        <v>0.5085763888888889</v>
      </c>
      <c r="CN31" s="392" t="s">
        <v>883</v>
      </c>
      <c r="CO31" s="398">
        <v>3.0094385147094727E-4</v>
      </c>
      <c r="CP31" s="462">
        <v>26</v>
      </c>
      <c r="CQ31" s="390">
        <v>0.58888888888888891</v>
      </c>
      <c r="CR31" s="391">
        <v>0.58888888888888891</v>
      </c>
      <c r="CS31" s="391">
        <v>0</v>
      </c>
      <c r="CT31" s="391"/>
      <c r="CU31" s="391"/>
      <c r="CV31" s="397">
        <v>0.59584490740740748</v>
      </c>
      <c r="CW31" s="398">
        <v>0.59607638888888892</v>
      </c>
      <c r="CX31" s="399" t="s">
        <v>885</v>
      </c>
      <c r="CY31" s="398">
        <v>2.314448356628418E-4</v>
      </c>
      <c r="CZ31" s="462">
        <v>20</v>
      </c>
      <c r="DA31" s="397">
        <v>0.5965625</v>
      </c>
      <c r="DB31" s="398">
        <v>0.59642361111111108</v>
      </c>
      <c r="DC31" s="392" t="s">
        <v>883</v>
      </c>
      <c r="DD31" s="398">
        <v>1.3887882232666016E-4</v>
      </c>
      <c r="DE31" s="462">
        <v>12</v>
      </c>
      <c r="DF31" s="390">
        <v>0</v>
      </c>
      <c r="DG31" s="391">
        <v>0</v>
      </c>
      <c r="DH31" s="391">
        <v>0</v>
      </c>
      <c r="DI31" s="401">
        <v>66.5</v>
      </c>
      <c r="DJ31" s="401">
        <v>0</v>
      </c>
      <c r="DK31" s="392">
        <v>0</v>
      </c>
      <c r="DL31" s="392" t="s">
        <v>870</v>
      </c>
      <c r="DM31" s="392">
        <v>0</v>
      </c>
      <c r="DN31" s="462">
        <v>259.5</v>
      </c>
      <c r="DO31" s="402">
        <v>0</v>
      </c>
      <c r="DP31" s="400">
        <v>0</v>
      </c>
      <c r="DQ31" s="402">
        <v>0</v>
      </c>
      <c r="DR31" s="400">
        <v>960</v>
      </c>
      <c r="DS31" s="390">
        <v>0.66875000000000007</v>
      </c>
      <c r="DT31" s="396">
        <v>0</v>
      </c>
      <c r="DU31" s="390">
        <v>0.68263888888888891</v>
      </c>
      <c r="DV31" s="396">
        <v>0</v>
      </c>
      <c r="DW31" s="459"/>
      <c r="DX31" s="459"/>
      <c r="DY31" s="459"/>
      <c r="DZ31" s="459"/>
      <c r="EA31" s="459"/>
      <c r="EB31" s="459"/>
      <c r="EC31" s="459"/>
      <c r="ED31" s="459"/>
      <c r="EE31" s="459"/>
      <c r="EF31" s="459"/>
      <c r="EG31" s="459"/>
      <c r="EH31" s="459"/>
      <c r="EI31" s="459"/>
      <c r="EJ31" s="459"/>
      <c r="EK31" s="459"/>
      <c r="EL31" s="459"/>
      <c r="EM31" s="459"/>
      <c r="EN31" s="459"/>
      <c r="EO31" s="459"/>
      <c r="EP31" s="459"/>
      <c r="EQ31" s="459"/>
      <c r="ER31" s="459"/>
      <c r="ES31" s="459"/>
      <c r="ET31" s="459"/>
      <c r="EU31" s="390" t="e">
        <v>#VALUE!</v>
      </c>
      <c r="EV31" s="391">
        <v>0</v>
      </c>
      <c r="EW31" s="392" t="e">
        <v>#VALUE!</v>
      </c>
      <c r="EX31" s="391">
        <v>0</v>
      </c>
      <c r="EY31" s="396">
        <v>900</v>
      </c>
      <c r="EZ31" s="390">
        <v>0</v>
      </c>
      <c r="FA31" s="391">
        <v>0</v>
      </c>
      <c r="FB31" s="391">
        <v>0</v>
      </c>
      <c r="FC31" s="401">
        <v>76.7</v>
      </c>
      <c r="FD31" s="401">
        <v>0</v>
      </c>
      <c r="FE31" s="401">
        <v>0</v>
      </c>
      <c r="FF31" s="392">
        <v>0</v>
      </c>
      <c r="FG31" s="392">
        <v>0</v>
      </c>
      <c r="FH31" s="462">
        <v>230.10000000000002</v>
      </c>
      <c r="FI31" s="403"/>
    </row>
    <row r="32" spans="1:165" s="20" customFormat="1" x14ac:dyDescent="0.25">
      <c r="A32" s="253">
        <v>32</v>
      </c>
      <c r="B32" s="241" t="s">
        <v>662</v>
      </c>
      <c r="C32" s="241" t="s">
        <v>664</v>
      </c>
      <c r="D32" s="241" t="s">
        <v>665</v>
      </c>
      <c r="E32" s="241" t="s">
        <v>6</v>
      </c>
      <c r="F32" s="241" t="s">
        <v>867</v>
      </c>
      <c r="G32" s="487">
        <v>8135.4</v>
      </c>
      <c r="H32" s="487">
        <v>3480</v>
      </c>
      <c r="I32" s="487">
        <v>3935.4</v>
      </c>
      <c r="J32" s="487">
        <v>720</v>
      </c>
      <c r="K32" s="242">
        <v>0.43611111111111106</v>
      </c>
      <c r="L32" s="122">
        <v>0.43611111111111112</v>
      </c>
      <c r="M32" s="243" t="s">
        <v>94</v>
      </c>
      <c r="N32" s="122">
        <v>0</v>
      </c>
      <c r="O32" s="301">
        <v>0</v>
      </c>
      <c r="P32" s="300">
        <v>4.86111119389534E-2</v>
      </c>
      <c r="Q32" s="294"/>
      <c r="R32" s="242">
        <v>0.48472222305006452</v>
      </c>
      <c r="S32" s="122">
        <v>0.48472222222222222</v>
      </c>
      <c r="T32" s="243" t="s">
        <v>94</v>
      </c>
      <c r="U32" s="122">
        <v>0</v>
      </c>
      <c r="V32" s="301">
        <v>0</v>
      </c>
      <c r="W32" s="300">
        <v>4.86111119389534E-2</v>
      </c>
      <c r="X32" s="122"/>
      <c r="Y32" s="294">
        <v>0</v>
      </c>
      <c r="Z32" s="242">
        <v>0.53611111193895344</v>
      </c>
      <c r="AA32" s="122">
        <v>0.55486111111111114</v>
      </c>
      <c r="AB32" s="243" t="s">
        <v>885</v>
      </c>
      <c r="AC32" s="122">
        <v>1.8750011920928955E-2</v>
      </c>
      <c r="AD32" s="301">
        <v>600</v>
      </c>
      <c r="AE32" s="300">
        <v>2.43055559694767E-2</v>
      </c>
      <c r="AF32" s="122"/>
      <c r="AG32" s="294">
        <v>0</v>
      </c>
      <c r="AH32" s="242">
        <v>0.57916666708058784</v>
      </c>
      <c r="AI32" s="122">
        <v>0.57986111111111105</v>
      </c>
      <c r="AJ32" s="243" t="s">
        <v>885</v>
      </c>
      <c r="AK32" s="122">
        <v>6.9445371627807617E-4</v>
      </c>
      <c r="AL32" s="301">
        <v>60</v>
      </c>
      <c r="AM32" s="300">
        <v>2.43055559694767E-2</v>
      </c>
      <c r="AN32" s="122"/>
      <c r="AO32" s="294">
        <v>0</v>
      </c>
      <c r="AP32" s="242">
        <v>0.60416666708058775</v>
      </c>
      <c r="AQ32" s="122">
        <v>0.60416666666666663</v>
      </c>
      <c r="AR32" s="243" t="s">
        <v>94</v>
      </c>
      <c r="AS32" s="122">
        <v>0</v>
      </c>
      <c r="AT32" s="301">
        <v>0</v>
      </c>
      <c r="AU32" s="300">
        <v>3.125E-2</v>
      </c>
      <c r="AV32" s="122"/>
      <c r="AW32" s="294">
        <v>0</v>
      </c>
      <c r="AX32" s="242">
        <v>0.63750000000000007</v>
      </c>
      <c r="AY32" s="122">
        <v>0</v>
      </c>
      <c r="AZ32" s="243" t="s">
        <v>94</v>
      </c>
      <c r="BA32" s="122">
        <v>0</v>
      </c>
      <c r="BB32" s="301">
        <v>900</v>
      </c>
      <c r="BC32" s="300">
        <v>4.1666667908430099E-2</v>
      </c>
      <c r="BD32" s="122"/>
      <c r="BE32" s="294">
        <v>0</v>
      </c>
      <c r="BF32" s="242">
        <v>0.67916666790843017</v>
      </c>
      <c r="BG32" s="122">
        <v>0.65972222222222221</v>
      </c>
      <c r="BH32" s="243" t="s">
        <v>883</v>
      </c>
      <c r="BI32" s="122">
        <v>1.9444465637207031E-2</v>
      </c>
      <c r="BJ32" s="301">
        <v>1680</v>
      </c>
      <c r="BK32" s="300">
        <v>2.777777798473835E-2</v>
      </c>
      <c r="BL32" s="122"/>
      <c r="BM32" s="294">
        <v>0</v>
      </c>
      <c r="BN32" s="242">
        <v>0.68750000020696056</v>
      </c>
      <c r="BO32" s="122">
        <v>0.69027777777777777</v>
      </c>
      <c r="BP32" s="243" t="s">
        <v>885</v>
      </c>
      <c r="BQ32" s="122">
        <v>2.7777552604675293E-3</v>
      </c>
      <c r="BR32" s="244">
        <v>240</v>
      </c>
      <c r="BS32" s="242">
        <v>0</v>
      </c>
      <c r="BT32" s="122">
        <v>0</v>
      </c>
      <c r="BU32" s="122">
        <v>0</v>
      </c>
      <c r="BV32" s="248">
        <v>90.8</v>
      </c>
      <c r="BW32" s="248">
        <v>0</v>
      </c>
      <c r="BX32" s="243">
        <v>0</v>
      </c>
      <c r="BY32" s="243">
        <v>0</v>
      </c>
      <c r="BZ32" s="243">
        <v>0</v>
      </c>
      <c r="CA32" s="463">
        <v>272.39999999999998</v>
      </c>
      <c r="CB32" s="242">
        <v>0.48749999999999999</v>
      </c>
      <c r="CC32" s="122">
        <v>0.48749999999999999</v>
      </c>
      <c r="CD32" s="122">
        <v>0</v>
      </c>
      <c r="CE32" s="122"/>
      <c r="CF32" s="122"/>
      <c r="CG32" s="247">
        <v>0.49528935185185186</v>
      </c>
      <c r="CH32" s="245">
        <v>0.49601851851851847</v>
      </c>
      <c r="CI32" s="240" t="s">
        <v>885</v>
      </c>
      <c r="CJ32" s="245">
        <v>7.2917342185974121E-4</v>
      </c>
      <c r="CK32" s="463">
        <v>63</v>
      </c>
      <c r="CL32" s="247">
        <v>0.51027777777777772</v>
      </c>
      <c r="CM32" s="245">
        <v>0</v>
      </c>
      <c r="CN32" s="243" t="s">
        <v>94</v>
      </c>
      <c r="CO32" s="245">
        <v>0</v>
      </c>
      <c r="CP32" s="463">
        <v>900</v>
      </c>
      <c r="CQ32" s="242">
        <v>0.60625000000000007</v>
      </c>
      <c r="CR32" s="122">
        <v>0.60625000000000007</v>
      </c>
      <c r="CS32" s="122">
        <v>0</v>
      </c>
      <c r="CT32" s="122"/>
      <c r="CU32" s="122"/>
      <c r="CV32" s="247">
        <v>0.61320601851851864</v>
      </c>
      <c r="CW32" s="245">
        <v>0</v>
      </c>
      <c r="CX32" s="240" t="s">
        <v>94</v>
      </c>
      <c r="CY32" s="245">
        <v>0</v>
      </c>
      <c r="CZ32" s="463">
        <v>1800</v>
      </c>
      <c r="DA32" s="247">
        <v>0</v>
      </c>
      <c r="DB32" s="245">
        <v>0</v>
      </c>
      <c r="DC32" s="243" t="s">
        <v>94</v>
      </c>
      <c r="DD32" s="245">
        <v>0</v>
      </c>
      <c r="DE32" s="463">
        <v>0</v>
      </c>
      <c r="DF32" s="242">
        <v>0</v>
      </c>
      <c r="DG32" s="122">
        <v>0</v>
      </c>
      <c r="DH32" s="122">
        <v>0</v>
      </c>
      <c r="DI32" s="248">
        <v>0</v>
      </c>
      <c r="DJ32" s="248">
        <v>0</v>
      </c>
      <c r="DK32" s="243">
        <v>0</v>
      </c>
      <c r="DL32" s="243">
        <v>0</v>
      </c>
      <c r="DM32" s="243">
        <v>0</v>
      </c>
      <c r="DN32" s="463">
        <v>900</v>
      </c>
      <c r="DO32" s="249">
        <v>0</v>
      </c>
      <c r="DP32" s="246">
        <v>0</v>
      </c>
      <c r="DQ32" s="249">
        <v>0</v>
      </c>
      <c r="DR32" s="246">
        <v>720</v>
      </c>
      <c r="DS32" s="242">
        <v>0.67152777777777783</v>
      </c>
      <c r="DT32" s="244">
        <v>0</v>
      </c>
      <c r="DU32" s="242">
        <v>0.68402777777777779</v>
      </c>
      <c r="DV32" s="244">
        <v>0</v>
      </c>
      <c r="DW32" s="459"/>
      <c r="DX32" s="459"/>
      <c r="DY32" s="459"/>
      <c r="DZ32" s="459"/>
      <c r="EA32" s="459"/>
      <c r="EB32" s="459"/>
      <c r="EC32" s="459"/>
      <c r="ED32" s="459"/>
      <c r="EE32" s="459"/>
      <c r="EF32" s="459"/>
      <c r="EG32" s="459"/>
      <c r="EH32" s="459"/>
      <c r="EI32" s="459"/>
      <c r="EJ32" s="459"/>
      <c r="EK32" s="459"/>
      <c r="EL32" s="459"/>
      <c r="EM32" s="459"/>
      <c r="EN32" s="459"/>
      <c r="EO32" s="459"/>
      <c r="EP32" s="459"/>
      <c r="EQ32" s="459"/>
      <c r="ER32" s="459"/>
      <c r="ES32" s="459"/>
      <c r="ET32" s="459"/>
      <c r="EU32" s="242" t="e">
        <v>#VALUE!</v>
      </c>
      <c r="EV32" s="122">
        <v>0</v>
      </c>
      <c r="EW32" s="243" t="e">
        <v>#VALUE!</v>
      </c>
      <c r="EX32" s="122">
        <v>0</v>
      </c>
      <c r="EY32" s="244">
        <v>900</v>
      </c>
      <c r="EZ32" s="242">
        <v>0</v>
      </c>
      <c r="FA32" s="122">
        <v>0</v>
      </c>
      <c r="FB32" s="122">
        <v>0</v>
      </c>
      <c r="FC32" s="248">
        <v>90.8</v>
      </c>
      <c r="FD32" s="248">
        <v>0</v>
      </c>
      <c r="FE32" s="248">
        <v>0</v>
      </c>
      <c r="FF32" s="243">
        <v>0</v>
      </c>
      <c r="FG32" s="243">
        <v>0</v>
      </c>
      <c r="FH32" s="463">
        <v>272.39999999999998</v>
      </c>
    </row>
    <row r="33" spans="1:165" s="236" customFormat="1" x14ac:dyDescent="0.25">
      <c r="A33" s="388">
        <v>33</v>
      </c>
      <c r="B33" s="389" t="s">
        <v>596</v>
      </c>
      <c r="C33" s="389" t="s">
        <v>635</v>
      </c>
      <c r="D33" s="389" t="s">
        <v>637</v>
      </c>
      <c r="E33" s="389" t="s">
        <v>636</v>
      </c>
      <c r="F33" s="389" t="s">
        <v>627</v>
      </c>
      <c r="G33" s="486">
        <v>1063.4000000000001</v>
      </c>
      <c r="H33" s="486">
        <v>0</v>
      </c>
      <c r="I33" s="486">
        <v>703.4</v>
      </c>
      <c r="J33" s="486">
        <v>360</v>
      </c>
      <c r="K33" s="390">
        <v>0.4368055555555555</v>
      </c>
      <c r="L33" s="391">
        <v>0.4368055555555555</v>
      </c>
      <c r="M33" s="392" t="s">
        <v>94</v>
      </c>
      <c r="N33" s="391">
        <v>0</v>
      </c>
      <c r="O33" s="393">
        <v>0</v>
      </c>
      <c r="P33" s="394">
        <v>4.86111119389534E-2</v>
      </c>
      <c r="Q33" s="395"/>
      <c r="R33" s="390">
        <v>0.4854166674945089</v>
      </c>
      <c r="S33" s="391">
        <v>0.48541666666666666</v>
      </c>
      <c r="T33" s="392" t="s">
        <v>94</v>
      </c>
      <c r="U33" s="391">
        <v>0</v>
      </c>
      <c r="V33" s="393">
        <v>0</v>
      </c>
      <c r="W33" s="394">
        <v>4.86111119389534E-2</v>
      </c>
      <c r="X33" s="391"/>
      <c r="Y33" s="395">
        <v>0</v>
      </c>
      <c r="Z33" s="390">
        <v>0.53680555638339778</v>
      </c>
      <c r="AA33" s="391">
        <v>0.53680555555555554</v>
      </c>
      <c r="AB33" s="392" t="s">
        <v>94</v>
      </c>
      <c r="AC33" s="391">
        <v>0</v>
      </c>
      <c r="AD33" s="393">
        <v>0</v>
      </c>
      <c r="AE33" s="394">
        <v>2.43055559694767E-2</v>
      </c>
      <c r="AF33" s="391"/>
      <c r="AG33" s="395">
        <v>0</v>
      </c>
      <c r="AH33" s="390">
        <v>0.56111111152503224</v>
      </c>
      <c r="AI33" s="391">
        <v>0.56111111111111112</v>
      </c>
      <c r="AJ33" s="392" t="s">
        <v>94</v>
      </c>
      <c r="AK33" s="391">
        <v>0</v>
      </c>
      <c r="AL33" s="393">
        <v>0</v>
      </c>
      <c r="AM33" s="394">
        <v>2.43055559694767E-2</v>
      </c>
      <c r="AN33" s="391"/>
      <c r="AO33" s="395">
        <v>0</v>
      </c>
      <c r="AP33" s="390">
        <v>0.58541666708058782</v>
      </c>
      <c r="AQ33" s="391">
        <v>0.5854166666666667</v>
      </c>
      <c r="AR33" s="392" t="s">
        <v>94</v>
      </c>
      <c r="AS33" s="391">
        <v>0</v>
      </c>
      <c r="AT33" s="393">
        <v>0</v>
      </c>
      <c r="AU33" s="394">
        <v>3.125E-2</v>
      </c>
      <c r="AV33" s="391"/>
      <c r="AW33" s="395">
        <v>0</v>
      </c>
      <c r="AX33" s="390">
        <v>0.61944444444444446</v>
      </c>
      <c r="AY33" s="391">
        <v>0.61944444444444446</v>
      </c>
      <c r="AZ33" s="392" t="s">
        <v>94</v>
      </c>
      <c r="BA33" s="391">
        <v>0</v>
      </c>
      <c r="BB33" s="393">
        <v>0</v>
      </c>
      <c r="BC33" s="394">
        <v>4.1666667908430099E-2</v>
      </c>
      <c r="BD33" s="391"/>
      <c r="BE33" s="395">
        <v>0</v>
      </c>
      <c r="BF33" s="390">
        <v>0.66111111235287456</v>
      </c>
      <c r="BG33" s="391">
        <v>0.66111111111111109</v>
      </c>
      <c r="BH33" s="392" t="s">
        <v>94</v>
      </c>
      <c r="BI33" s="391">
        <v>0</v>
      </c>
      <c r="BJ33" s="393">
        <v>0</v>
      </c>
      <c r="BK33" s="394">
        <v>2.777777798473835E-2</v>
      </c>
      <c r="BL33" s="391"/>
      <c r="BM33" s="395">
        <v>0</v>
      </c>
      <c r="BN33" s="390">
        <v>0.68888888909584944</v>
      </c>
      <c r="BO33" s="391">
        <v>0.68680555555555556</v>
      </c>
      <c r="BP33" s="392" t="s">
        <v>883</v>
      </c>
      <c r="BQ33" s="391">
        <v>2.0833611488342285E-3</v>
      </c>
      <c r="BR33" s="396">
        <v>0</v>
      </c>
      <c r="BS33" s="390">
        <v>0</v>
      </c>
      <c r="BT33" s="391">
        <v>0</v>
      </c>
      <c r="BU33" s="391">
        <v>0</v>
      </c>
      <c r="BV33" s="401">
        <v>48.4</v>
      </c>
      <c r="BW33" s="401">
        <v>1</v>
      </c>
      <c r="BX33" s="392">
        <v>0</v>
      </c>
      <c r="BY33" s="392">
        <v>0</v>
      </c>
      <c r="BZ33" s="392">
        <v>0</v>
      </c>
      <c r="CA33" s="462">
        <v>160.19999999999999</v>
      </c>
      <c r="CB33" s="390">
        <v>0.48819444444444443</v>
      </c>
      <c r="CC33" s="391">
        <v>0.48819444444444443</v>
      </c>
      <c r="CD33" s="391">
        <v>0</v>
      </c>
      <c r="CE33" s="391"/>
      <c r="CF33" s="391"/>
      <c r="CG33" s="397">
        <v>0.4959837962962963</v>
      </c>
      <c r="CH33" s="398">
        <v>0.49604166666666666</v>
      </c>
      <c r="CI33" s="399" t="s">
        <v>885</v>
      </c>
      <c r="CJ33" s="398">
        <v>5.7846307754516602E-5</v>
      </c>
      <c r="CK33" s="462">
        <v>5</v>
      </c>
      <c r="CL33" s="397">
        <v>0.51030092592592591</v>
      </c>
      <c r="CM33" s="398">
        <v>0.51015046296296296</v>
      </c>
      <c r="CN33" s="392" t="s">
        <v>883</v>
      </c>
      <c r="CO33" s="398">
        <v>1.5044212341308594E-4</v>
      </c>
      <c r="CP33" s="462">
        <v>13</v>
      </c>
      <c r="CQ33" s="390">
        <v>0.58819444444444446</v>
      </c>
      <c r="CR33" s="391">
        <v>0.58819444444444446</v>
      </c>
      <c r="CS33" s="391">
        <v>0</v>
      </c>
      <c r="CT33" s="391"/>
      <c r="CU33" s="391"/>
      <c r="CV33" s="397">
        <v>0.59515046296296303</v>
      </c>
      <c r="CW33" s="398">
        <v>0.59537037037037044</v>
      </c>
      <c r="CX33" s="399" t="s">
        <v>885</v>
      </c>
      <c r="CY33" s="398">
        <v>2.1988153457641602E-4</v>
      </c>
      <c r="CZ33" s="462">
        <v>19</v>
      </c>
      <c r="DA33" s="397">
        <v>0.59585648148148151</v>
      </c>
      <c r="DB33" s="398">
        <v>0.59581018518518525</v>
      </c>
      <c r="DC33" s="392" t="s">
        <v>883</v>
      </c>
      <c r="DD33" s="398">
        <v>4.6312808990478516E-5</v>
      </c>
      <c r="DE33" s="462">
        <v>4</v>
      </c>
      <c r="DF33" s="390">
        <v>0</v>
      </c>
      <c r="DG33" s="391">
        <v>0</v>
      </c>
      <c r="DH33" s="391">
        <v>0</v>
      </c>
      <c r="DI33" s="401">
        <v>47.4</v>
      </c>
      <c r="DJ33" s="401">
        <v>0</v>
      </c>
      <c r="DK33" s="392">
        <v>0</v>
      </c>
      <c r="DL33" s="392" t="s">
        <v>870</v>
      </c>
      <c r="DM33" s="392" t="s">
        <v>870</v>
      </c>
      <c r="DN33" s="462">
        <v>502.2</v>
      </c>
      <c r="DO33" s="402">
        <v>0</v>
      </c>
      <c r="DP33" s="400">
        <v>0</v>
      </c>
      <c r="DQ33" s="402">
        <v>0</v>
      </c>
      <c r="DR33" s="400">
        <v>360</v>
      </c>
      <c r="DS33" s="390">
        <v>0.66805555555555562</v>
      </c>
      <c r="DT33" s="396">
        <v>0</v>
      </c>
      <c r="DU33" s="390">
        <v>0.68125000000000002</v>
      </c>
      <c r="DV33" s="396">
        <v>0</v>
      </c>
      <c r="DW33" s="459"/>
      <c r="DX33" s="459"/>
      <c r="DY33" s="459"/>
      <c r="DZ33" s="459"/>
      <c r="EA33" s="459"/>
      <c r="EB33" s="459"/>
      <c r="EC33" s="459"/>
      <c r="ED33" s="459"/>
      <c r="EE33" s="459"/>
      <c r="EF33" s="459"/>
      <c r="EG33" s="459"/>
      <c r="EH33" s="459"/>
      <c r="EI33" s="459"/>
      <c r="EJ33" s="459"/>
      <c r="EK33" s="459"/>
      <c r="EL33" s="459"/>
      <c r="EM33" s="459"/>
      <c r="EN33" s="459"/>
      <c r="EO33" s="459"/>
      <c r="EP33" s="459"/>
      <c r="EQ33" s="459"/>
      <c r="ER33" s="459"/>
      <c r="ES33" s="459"/>
      <c r="ET33" s="459"/>
      <c r="EU33" s="390" t="e">
        <v>#VALUE!</v>
      </c>
      <c r="EV33" s="391">
        <v>0</v>
      </c>
      <c r="EW33" s="392" t="e">
        <v>#VALUE!</v>
      </c>
      <c r="EX33" s="391">
        <v>0</v>
      </c>
      <c r="EY33" s="396">
        <v>900</v>
      </c>
      <c r="EZ33" s="390">
        <v>0</v>
      </c>
      <c r="FA33" s="391">
        <v>0</v>
      </c>
      <c r="FB33" s="391">
        <v>0</v>
      </c>
      <c r="FC33" s="401">
        <v>48.4</v>
      </c>
      <c r="FD33" s="401">
        <v>1</v>
      </c>
      <c r="FE33" s="401">
        <v>0</v>
      </c>
      <c r="FF33" s="392">
        <v>0</v>
      </c>
      <c r="FG33" s="392">
        <v>0</v>
      </c>
      <c r="FH33" s="462">
        <v>160.19999999999999</v>
      </c>
      <c r="FI33" s="403"/>
    </row>
    <row r="34" spans="1:165" s="20" customFormat="1" x14ac:dyDescent="0.25">
      <c r="A34" s="253">
        <v>34</v>
      </c>
      <c r="B34" s="241" t="s">
        <v>700</v>
      </c>
      <c r="C34" s="241" t="s">
        <v>713</v>
      </c>
      <c r="D34" s="241" t="s">
        <v>719</v>
      </c>
      <c r="E34" s="241" t="s">
        <v>6</v>
      </c>
      <c r="F34" s="241" t="s">
        <v>867</v>
      </c>
      <c r="G34" s="487">
        <v>2971.9</v>
      </c>
      <c r="H34" s="487">
        <v>1200</v>
      </c>
      <c r="I34" s="487">
        <v>931.9</v>
      </c>
      <c r="J34" s="487">
        <v>840</v>
      </c>
      <c r="K34" s="242">
        <v>0.43749999999999994</v>
      </c>
      <c r="L34" s="122">
        <v>0.4375</v>
      </c>
      <c r="M34" s="243" t="s">
        <v>94</v>
      </c>
      <c r="N34" s="122">
        <v>0</v>
      </c>
      <c r="O34" s="301">
        <v>0</v>
      </c>
      <c r="P34" s="300">
        <v>4.86111119389534E-2</v>
      </c>
      <c r="Q34" s="294"/>
      <c r="R34" s="242">
        <v>0.4861111119389534</v>
      </c>
      <c r="S34" s="122">
        <v>0.48541666666666666</v>
      </c>
      <c r="T34" s="243" t="s">
        <v>94</v>
      </c>
      <c r="U34" s="122">
        <v>6.9442391395568848E-4</v>
      </c>
      <c r="V34" s="301">
        <v>60</v>
      </c>
      <c r="W34" s="300">
        <v>4.86111119389534E-2</v>
      </c>
      <c r="X34" s="122"/>
      <c r="Y34" s="294">
        <v>0</v>
      </c>
      <c r="Z34" s="242">
        <v>0.53750000082784233</v>
      </c>
      <c r="AA34" s="122">
        <v>0.53749999999999998</v>
      </c>
      <c r="AB34" s="243" t="s">
        <v>94</v>
      </c>
      <c r="AC34" s="122">
        <v>0</v>
      </c>
      <c r="AD34" s="301">
        <v>0</v>
      </c>
      <c r="AE34" s="300">
        <v>2.43055559694767E-2</v>
      </c>
      <c r="AF34" s="122"/>
      <c r="AG34" s="294">
        <v>0</v>
      </c>
      <c r="AH34" s="242">
        <v>0.56180555596947668</v>
      </c>
      <c r="AI34" s="122">
        <v>0.56180555555555556</v>
      </c>
      <c r="AJ34" s="243" t="s">
        <v>94</v>
      </c>
      <c r="AK34" s="122">
        <v>0</v>
      </c>
      <c r="AL34" s="301">
        <v>0</v>
      </c>
      <c r="AM34" s="300">
        <v>2.43055559694767E-2</v>
      </c>
      <c r="AN34" s="122"/>
      <c r="AO34" s="294">
        <v>0</v>
      </c>
      <c r="AP34" s="242">
        <v>0.58611111152503226</v>
      </c>
      <c r="AQ34" s="122">
        <v>0.58611111111111114</v>
      </c>
      <c r="AR34" s="243" t="s">
        <v>94</v>
      </c>
      <c r="AS34" s="122">
        <v>0</v>
      </c>
      <c r="AT34" s="301">
        <v>0</v>
      </c>
      <c r="AU34" s="300">
        <v>3.125E-2</v>
      </c>
      <c r="AV34" s="122"/>
      <c r="AW34" s="294">
        <v>0</v>
      </c>
      <c r="AX34" s="242">
        <v>0.62152777777777779</v>
      </c>
      <c r="AY34" s="122">
        <v>0.62152777777777779</v>
      </c>
      <c r="AZ34" s="243" t="s">
        <v>94</v>
      </c>
      <c r="BA34" s="122">
        <v>0</v>
      </c>
      <c r="BB34" s="301">
        <v>0</v>
      </c>
      <c r="BC34" s="300">
        <v>4.1666667908430099E-2</v>
      </c>
      <c r="BD34" s="122"/>
      <c r="BE34" s="294">
        <v>0</v>
      </c>
      <c r="BF34" s="242">
        <v>0.66319444568620789</v>
      </c>
      <c r="BG34" s="122">
        <v>0.66319444444444442</v>
      </c>
      <c r="BH34" s="243" t="s">
        <v>94</v>
      </c>
      <c r="BI34" s="122">
        <v>0</v>
      </c>
      <c r="BJ34" s="301">
        <v>0</v>
      </c>
      <c r="BK34" s="300">
        <v>2.777777798473835E-2</v>
      </c>
      <c r="BL34" s="122"/>
      <c r="BM34" s="294">
        <v>0</v>
      </c>
      <c r="BN34" s="242">
        <v>0.69097222242918277</v>
      </c>
      <c r="BO34" s="122">
        <v>0.69374999999999998</v>
      </c>
      <c r="BP34" s="243" t="s">
        <v>885</v>
      </c>
      <c r="BQ34" s="122">
        <v>2.7778148651123047E-3</v>
      </c>
      <c r="BR34" s="244">
        <v>240</v>
      </c>
      <c r="BS34" s="242">
        <v>0</v>
      </c>
      <c r="BT34" s="122">
        <v>0</v>
      </c>
      <c r="BU34" s="122">
        <v>0</v>
      </c>
      <c r="BV34" s="248">
        <v>112</v>
      </c>
      <c r="BW34" s="248">
        <v>0</v>
      </c>
      <c r="BX34" s="243">
        <v>0</v>
      </c>
      <c r="BY34" s="243">
        <v>0</v>
      </c>
      <c r="BZ34" s="243">
        <v>0</v>
      </c>
      <c r="CA34" s="463">
        <v>336</v>
      </c>
      <c r="CB34" s="242">
        <v>0.48888888888888887</v>
      </c>
      <c r="CC34" s="122">
        <v>0.48888888888888887</v>
      </c>
      <c r="CD34" s="122">
        <v>0</v>
      </c>
      <c r="CE34" s="122"/>
      <c r="CF34" s="122"/>
      <c r="CG34" s="247">
        <v>0.49667824074074074</v>
      </c>
      <c r="CH34" s="245">
        <v>0.49869212962962961</v>
      </c>
      <c r="CI34" s="240" t="s">
        <v>885</v>
      </c>
      <c r="CJ34" s="245">
        <v>2.0138919353485107E-3</v>
      </c>
      <c r="CK34" s="463">
        <v>174</v>
      </c>
      <c r="CL34" s="247">
        <v>0.51295138888888892</v>
      </c>
      <c r="CM34" s="245">
        <v>0.51214120370370375</v>
      </c>
      <c r="CN34" s="243" t="s">
        <v>883</v>
      </c>
      <c r="CO34" s="245">
        <v>8.1014633178710938E-4</v>
      </c>
      <c r="CP34" s="463">
        <v>70</v>
      </c>
      <c r="CQ34" s="242">
        <v>0.59027777777777779</v>
      </c>
      <c r="CR34" s="122">
        <v>0.59027777777777779</v>
      </c>
      <c r="CS34" s="122">
        <v>0</v>
      </c>
      <c r="CT34" s="122"/>
      <c r="CU34" s="122"/>
      <c r="CV34" s="247">
        <v>0.59723379629629636</v>
      </c>
      <c r="CW34" s="245">
        <v>0.59745370370370365</v>
      </c>
      <c r="CX34" s="240" t="s">
        <v>885</v>
      </c>
      <c r="CY34" s="245">
        <v>2.1994113922119141E-4</v>
      </c>
      <c r="CZ34" s="463">
        <v>19</v>
      </c>
      <c r="DA34" s="247">
        <v>0.59793981481481473</v>
      </c>
      <c r="DB34" s="245">
        <v>0.5978472222222222</v>
      </c>
      <c r="DC34" s="243" t="s">
        <v>883</v>
      </c>
      <c r="DD34" s="245">
        <v>9.2566013336181641E-5</v>
      </c>
      <c r="DE34" s="463">
        <v>8</v>
      </c>
      <c r="DF34" s="242">
        <v>0</v>
      </c>
      <c r="DG34" s="122">
        <v>0</v>
      </c>
      <c r="DH34" s="122">
        <v>0</v>
      </c>
      <c r="DI34" s="248">
        <v>88.3</v>
      </c>
      <c r="DJ34" s="248">
        <v>0</v>
      </c>
      <c r="DK34" s="243">
        <v>0</v>
      </c>
      <c r="DL34" s="243" t="s">
        <v>870</v>
      </c>
      <c r="DM34" s="243">
        <v>0</v>
      </c>
      <c r="DN34" s="463">
        <v>324.89999999999998</v>
      </c>
      <c r="DO34" s="249">
        <v>0</v>
      </c>
      <c r="DP34" s="246">
        <v>0</v>
      </c>
      <c r="DQ34" s="249">
        <v>0</v>
      </c>
      <c r="DR34" s="246">
        <v>840</v>
      </c>
      <c r="DS34" s="242">
        <v>0.67013888888888884</v>
      </c>
      <c r="DT34" s="244">
        <v>0</v>
      </c>
      <c r="DU34" s="242">
        <v>0</v>
      </c>
      <c r="DV34" s="244">
        <v>900</v>
      </c>
      <c r="DW34" s="459"/>
      <c r="DX34" s="459"/>
      <c r="DY34" s="459"/>
      <c r="DZ34" s="459"/>
      <c r="EA34" s="459"/>
      <c r="EB34" s="459"/>
      <c r="EC34" s="459"/>
      <c r="ED34" s="459"/>
      <c r="EE34" s="459"/>
      <c r="EF34" s="459"/>
      <c r="EG34" s="459"/>
      <c r="EH34" s="459"/>
      <c r="EI34" s="459"/>
      <c r="EJ34" s="459"/>
      <c r="EK34" s="459"/>
      <c r="EL34" s="459"/>
      <c r="EM34" s="459"/>
      <c r="EN34" s="459"/>
      <c r="EO34" s="459"/>
      <c r="EP34" s="459"/>
      <c r="EQ34" s="459"/>
      <c r="ER34" s="459"/>
      <c r="ES34" s="459"/>
      <c r="ET34" s="459"/>
      <c r="EU34" s="242" t="e">
        <v>#VALUE!</v>
      </c>
      <c r="EV34" s="122">
        <v>0</v>
      </c>
      <c r="EW34" s="243" t="e">
        <v>#VALUE!</v>
      </c>
      <c r="EX34" s="122">
        <v>0</v>
      </c>
      <c r="EY34" s="244">
        <v>900</v>
      </c>
      <c r="EZ34" s="242">
        <v>0</v>
      </c>
      <c r="FA34" s="122">
        <v>0</v>
      </c>
      <c r="FB34" s="122">
        <v>0</v>
      </c>
      <c r="FC34" s="248">
        <v>112</v>
      </c>
      <c r="FD34" s="248">
        <v>0</v>
      </c>
      <c r="FE34" s="248">
        <v>0</v>
      </c>
      <c r="FF34" s="243">
        <v>0</v>
      </c>
      <c r="FG34" s="243">
        <v>0</v>
      </c>
      <c r="FH34" s="463">
        <v>336</v>
      </c>
    </row>
    <row r="35" spans="1:165" s="236" customFormat="1" x14ac:dyDescent="0.25">
      <c r="A35" s="388">
        <v>35</v>
      </c>
      <c r="B35" s="389" t="s">
        <v>820</v>
      </c>
      <c r="C35" s="389" t="s">
        <v>822</v>
      </c>
      <c r="D35" s="389" t="s">
        <v>823</v>
      </c>
      <c r="E35" s="389" t="s">
        <v>6</v>
      </c>
      <c r="F35" s="389" t="s">
        <v>867</v>
      </c>
      <c r="G35" s="486">
        <v>3511.6</v>
      </c>
      <c r="H35" s="486">
        <v>1380</v>
      </c>
      <c r="I35" s="486">
        <v>1411.6</v>
      </c>
      <c r="J35" s="486">
        <v>720</v>
      </c>
      <c r="K35" s="390">
        <v>0.43819444444444439</v>
      </c>
      <c r="L35" s="391">
        <v>0.4381944444444445</v>
      </c>
      <c r="M35" s="392" t="s">
        <v>94</v>
      </c>
      <c r="N35" s="391">
        <v>0</v>
      </c>
      <c r="O35" s="393">
        <v>0</v>
      </c>
      <c r="P35" s="394">
        <v>4.86111119389534E-2</v>
      </c>
      <c r="Q35" s="395"/>
      <c r="R35" s="390">
        <v>0.4868055563833979</v>
      </c>
      <c r="S35" s="391">
        <v>0.4861111111111111</v>
      </c>
      <c r="T35" s="392" t="s">
        <v>883</v>
      </c>
      <c r="U35" s="391">
        <v>6.9445371627807617E-4</v>
      </c>
      <c r="V35" s="393">
        <v>60</v>
      </c>
      <c r="W35" s="394">
        <v>4.86111119389534E-2</v>
      </c>
      <c r="X35" s="391"/>
      <c r="Y35" s="395">
        <v>0</v>
      </c>
      <c r="Z35" s="390">
        <v>0.53819444527228666</v>
      </c>
      <c r="AA35" s="391">
        <v>0.53819444444444442</v>
      </c>
      <c r="AB35" s="392" t="s">
        <v>94</v>
      </c>
      <c r="AC35" s="391">
        <v>0</v>
      </c>
      <c r="AD35" s="393">
        <v>0</v>
      </c>
      <c r="AE35" s="394">
        <v>2.43055559694767E-2</v>
      </c>
      <c r="AF35" s="391"/>
      <c r="AG35" s="395">
        <v>0</v>
      </c>
      <c r="AH35" s="390">
        <v>0.56250000041392112</v>
      </c>
      <c r="AI35" s="391">
        <v>0.56319444444444444</v>
      </c>
      <c r="AJ35" s="392" t="s">
        <v>885</v>
      </c>
      <c r="AK35" s="391">
        <v>6.9445371627807617E-4</v>
      </c>
      <c r="AL35" s="393">
        <v>60</v>
      </c>
      <c r="AM35" s="394">
        <v>2.43055559694767E-2</v>
      </c>
      <c r="AN35" s="391"/>
      <c r="AO35" s="395">
        <v>0</v>
      </c>
      <c r="AP35" s="390">
        <v>0.58750000041392114</v>
      </c>
      <c r="AQ35" s="391">
        <v>0.58611111111111114</v>
      </c>
      <c r="AR35" s="392" t="s">
        <v>883</v>
      </c>
      <c r="AS35" s="391">
        <v>1.388847827911377E-3</v>
      </c>
      <c r="AT35" s="393">
        <v>120</v>
      </c>
      <c r="AU35" s="394">
        <v>3.125E-2</v>
      </c>
      <c r="AV35" s="391"/>
      <c r="AW35" s="395">
        <v>0</v>
      </c>
      <c r="AX35" s="390">
        <v>0.62222222222222223</v>
      </c>
      <c r="AY35" s="391">
        <v>0.62152777777777779</v>
      </c>
      <c r="AZ35" s="392" t="s">
        <v>883</v>
      </c>
      <c r="BA35" s="391">
        <v>6.9445371627807617E-4</v>
      </c>
      <c r="BB35" s="393">
        <v>60</v>
      </c>
      <c r="BC35" s="394">
        <v>4.1666667908430099E-2</v>
      </c>
      <c r="BD35" s="391"/>
      <c r="BE35" s="395">
        <v>0</v>
      </c>
      <c r="BF35" s="390">
        <v>0.66319444568620789</v>
      </c>
      <c r="BG35" s="391">
        <v>0.66111111111111109</v>
      </c>
      <c r="BH35" s="392" t="s">
        <v>883</v>
      </c>
      <c r="BI35" s="391">
        <v>2.0833015441894531E-3</v>
      </c>
      <c r="BJ35" s="393">
        <v>180</v>
      </c>
      <c r="BK35" s="394">
        <v>2.777777798473835E-2</v>
      </c>
      <c r="BL35" s="391"/>
      <c r="BM35" s="395">
        <v>0</v>
      </c>
      <c r="BN35" s="390">
        <v>0.68888888909584944</v>
      </c>
      <c r="BO35" s="391">
        <v>0.68125000000000002</v>
      </c>
      <c r="BP35" s="392" t="s">
        <v>883</v>
      </c>
      <c r="BQ35" s="391">
        <v>7.6389312744140625E-3</v>
      </c>
      <c r="BR35" s="396">
        <v>0</v>
      </c>
      <c r="BS35" s="390">
        <v>0</v>
      </c>
      <c r="BT35" s="391">
        <v>0</v>
      </c>
      <c r="BU35" s="391">
        <v>0</v>
      </c>
      <c r="BV35" s="401">
        <v>93.3</v>
      </c>
      <c r="BW35" s="401">
        <v>0</v>
      </c>
      <c r="BX35" s="392">
        <v>0</v>
      </c>
      <c r="BY35" s="392">
        <v>0</v>
      </c>
      <c r="BZ35" s="392" t="s">
        <v>870</v>
      </c>
      <c r="CA35" s="462">
        <v>579.9</v>
      </c>
      <c r="CB35" s="390">
        <v>0.48958333333333331</v>
      </c>
      <c r="CC35" s="391">
        <v>0.48958333333333331</v>
      </c>
      <c r="CD35" s="391">
        <v>0</v>
      </c>
      <c r="CE35" s="391"/>
      <c r="CF35" s="391"/>
      <c r="CG35" s="397">
        <v>0.49737268518518518</v>
      </c>
      <c r="CH35" s="398">
        <v>0.49777777777777782</v>
      </c>
      <c r="CI35" s="399" t="s">
        <v>885</v>
      </c>
      <c r="CJ35" s="398">
        <v>4.0510296821594238E-4</v>
      </c>
      <c r="CK35" s="462">
        <v>35</v>
      </c>
      <c r="CL35" s="397">
        <v>0.51203703703703707</v>
      </c>
      <c r="CM35" s="398">
        <v>0.50859953703703698</v>
      </c>
      <c r="CN35" s="392" t="s">
        <v>883</v>
      </c>
      <c r="CO35" s="398">
        <v>3.4375190734863281E-3</v>
      </c>
      <c r="CP35" s="462">
        <v>297</v>
      </c>
      <c r="CQ35" s="390">
        <v>0.59097222222222223</v>
      </c>
      <c r="CR35" s="391">
        <v>0.59097222222222223</v>
      </c>
      <c r="CS35" s="391">
        <v>0</v>
      </c>
      <c r="CT35" s="391"/>
      <c r="CU35" s="391"/>
      <c r="CV35" s="397">
        <v>0.5979282407407408</v>
      </c>
      <c r="CW35" s="398">
        <v>0.59777777777777785</v>
      </c>
      <c r="CX35" s="399" t="s">
        <v>883</v>
      </c>
      <c r="CY35" s="398">
        <v>1.5044212341308594E-4</v>
      </c>
      <c r="CZ35" s="462">
        <v>13</v>
      </c>
      <c r="DA35" s="397">
        <v>0.59826388888888893</v>
      </c>
      <c r="DB35" s="398">
        <v>0.59814814814814821</v>
      </c>
      <c r="DC35" s="392" t="s">
        <v>883</v>
      </c>
      <c r="DD35" s="398">
        <v>1.156926155090332E-4</v>
      </c>
      <c r="DE35" s="462">
        <v>10</v>
      </c>
      <c r="DF35" s="390">
        <v>0</v>
      </c>
      <c r="DG35" s="391">
        <v>0</v>
      </c>
      <c r="DH35" s="391">
        <v>0</v>
      </c>
      <c r="DI35" s="401">
        <v>38.9</v>
      </c>
      <c r="DJ35" s="401">
        <v>0</v>
      </c>
      <c r="DK35" s="392">
        <v>0</v>
      </c>
      <c r="DL35" s="392" t="s">
        <v>870</v>
      </c>
      <c r="DM35" s="392" t="s">
        <v>870</v>
      </c>
      <c r="DN35" s="462">
        <v>476.7</v>
      </c>
      <c r="DO35" s="402">
        <v>0</v>
      </c>
      <c r="DP35" s="400">
        <v>0</v>
      </c>
      <c r="DQ35" s="402">
        <v>0</v>
      </c>
      <c r="DR35" s="400">
        <v>720</v>
      </c>
      <c r="DS35" s="390">
        <v>0.66875000000000007</v>
      </c>
      <c r="DT35" s="396">
        <v>0</v>
      </c>
      <c r="DU35" s="390">
        <v>0</v>
      </c>
      <c r="DV35" s="396">
        <v>900</v>
      </c>
      <c r="DW35" s="459"/>
      <c r="DX35" s="459"/>
      <c r="DY35" s="459"/>
      <c r="DZ35" s="459"/>
      <c r="EA35" s="459"/>
      <c r="EB35" s="459"/>
      <c r="EC35" s="459"/>
      <c r="ED35" s="459"/>
      <c r="EE35" s="459"/>
      <c r="EF35" s="459"/>
      <c r="EG35" s="459"/>
      <c r="EH35" s="459"/>
      <c r="EI35" s="459"/>
      <c r="EJ35" s="459"/>
      <c r="EK35" s="459"/>
      <c r="EL35" s="459"/>
      <c r="EM35" s="459"/>
      <c r="EN35" s="459"/>
      <c r="EO35" s="459"/>
      <c r="EP35" s="459"/>
      <c r="EQ35" s="459"/>
      <c r="ER35" s="459"/>
      <c r="ES35" s="459"/>
      <c r="ET35" s="459"/>
      <c r="EU35" s="390" t="e">
        <v>#VALUE!</v>
      </c>
      <c r="EV35" s="391">
        <v>0</v>
      </c>
      <c r="EW35" s="392" t="e">
        <v>#VALUE!</v>
      </c>
      <c r="EX35" s="391">
        <v>0</v>
      </c>
      <c r="EY35" s="396">
        <v>900</v>
      </c>
      <c r="EZ35" s="390">
        <v>0</v>
      </c>
      <c r="FA35" s="391">
        <v>0</v>
      </c>
      <c r="FB35" s="391">
        <v>0</v>
      </c>
      <c r="FC35" s="401">
        <v>93.3</v>
      </c>
      <c r="FD35" s="401">
        <v>0</v>
      </c>
      <c r="FE35" s="401">
        <v>0</v>
      </c>
      <c r="FF35" s="392">
        <v>0</v>
      </c>
      <c r="FG35" s="392" t="s">
        <v>870</v>
      </c>
      <c r="FH35" s="462">
        <v>339.9</v>
      </c>
      <c r="FI35" s="403"/>
    </row>
    <row r="36" spans="1:165" s="20" customFormat="1" x14ac:dyDescent="0.25">
      <c r="A36" s="253">
        <v>36</v>
      </c>
      <c r="B36" s="241" t="s">
        <v>701</v>
      </c>
      <c r="C36" s="241" t="s">
        <v>714</v>
      </c>
      <c r="D36" s="241" t="s">
        <v>720</v>
      </c>
      <c r="E36" s="241" t="s">
        <v>6</v>
      </c>
      <c r="F36" s="241" t="s">
        <v>867</v>
      </c>
      <c r="G36" s="487">
        <v>2334.6999999999998</v>
      </c>
      <c r="H36" s="487">
        <v>1140</v>
      </c>
      <c r="I36" s="487">
        <v>594.70000000000005</v>
      </c>
      <c r="J36" s="487">
        <v>600</v>
      </c>
      <c r="K36" s="242">
        <v>0.44583333333333325</v>
      </c>
      <c r="L36" s="122">
        <v>0.4458333333333333</v>
      </c>
      <c r="M36" s="243" t="s">
        <v>94</v>
      </c>
      <c r="N36" s="122">
        <v>0</v>
      </c>
      <c r="O36" s="301">
        <v>0</v>
      </c>
      <c r="P36" s="300">
        <v>4.86111119389534E-2</v>
      </c>
      <c r="Q36" s="294"/>
      <c r="R36" s="242">
        <v>0.4944444452722867</v>
      </c>
      <c r="S36" s="122">
        <v>0.49444444444444446</v>
      </c>
      <c r="T36" s="243" t="s">
        <v>883</v>
      </c>
      <c r="U36" s="122">
        <v>0</v>
      </c>
      <c r="V36" s="301">
        <v>0</v>
      </c>
      <c r="W36" s="300">
        <v>4.86111119389534E-2</v>
      </c>
      <c r="X36" s="122"/>
      <c r="Y36" s="294">
        <v>0</v>
      </c>
      <c r="Z36" s="242">
        <v>0.54652777860561996</v>
      </c>
      <c r="AA36" s="122">
        <v>0.54652777777777783</v>
      </c>
      <c r="AB36" s="243" t="s">
        <v>94</v>
      </c>
      <c r="AC36" s="122">
        <v>0</v>
      </c>
      <c r="AD36" s="301">
        <v>0</v>
      </c>
      <c r="AE36" s="300">
        <v>2.43055559694767E-2</v>
      </c>
      <c r="AF36" s="122"/>
      <c r="AG36" s="294">
        <v>0</v>
      </c>
      <c r="AH36" s="242">
        <v>0.57083333374725453</v>
      </c>
      <c r="AI36" s="122">
        <v>0.57291666666666663</v>
      </c>
      <c r="AJ36" s="243" t="s">
        <v>885</v>
      </c>
      <c r="AK36" s="122">
        <v>2.0833611488342285E-3</v>
      </c>
      <c r="AL36" s="301">
        <v>180</v>
      </c>
      <c r="AM36" s="300">
        <v>2.43055559694767E-2</v>
      </c>
      <c r="AN36" s="122"/>
      <c r="AO36" s="294">
        <v>0</v>
      </c>
      <c r="AP36" s="242">
        <v>0.59722222263614333</v>
      </c>
      <c r="AQ36" s="122">
        <v>0.59722222222222221</v>
      </c>
      <c r="AR36" s="243" t="s">
        <v>94</v>
      </c>
      <c r="AS36" s="122">
        <v>0</v>
      </c>
      <c r="AT36" s="301">
        <v>0</v>
      </c>
      <c r="AU36" s="300">
        <v>3.125E-2</v>
      </c>
      <c r="AV36" s="122"/>
      <c r="AW36" s="294">
        <v>0</v>
      </c>
      <c r="AX36" s="242">
        <v>0.63055555555555554</v>
      </c>
      <c r="AY36" s="122">
        <v>0.63124999999999998</v>
      </c>
      <c r="AZ36" s="243" t="s">
        <v>885</v>
      </c>
      <c r="BA36" s="122">
        <v>6.9445371627807617E-4</v>
      </c>
      <c r="BB36" s="301">
        <v>60</v>
      </c>
      <c r="BC36" s="300">
        <v>4.1666667908430099E-2</v>
      </c>
      <c r="BD36" s="122"/>
      <c r="BE36" s="294">
        <v>0</v>
      </c>
      <c r="BF36" s="242">
        <v>0.67291666790843008</v>
      </c>
      <c r="BG36" s="122">
        <v>0.67291666666666661</v>
      </c>
      <c r="BH36" s="243" t="s">
        <v>94</v>
      </c>
      <c r="BI36" s="122">
        <v>0</v>
      </c>
      <c r="BJ36" s="301">
        <v>0</v>
      </c>
      <c r="BK36" s="300">
        <v>2.777777798473835E-2</v>
      </c>
      <c r="BL36" s="122"/>
      <c r="BM36" s="294">
        <v>0</v>
      </c>
      <c r="BN36" s="242">
        <v>0.70069444465140496</v>
      </c>
      <c r="BO36" s="122">
        <v>0.7006944444444444</v>
      </c>
      <c r="BP36" s="243" t="s">
        <v>94</v>
      </c>
      <c r="BQ36" s="122">
        <v>0</v>
      </c>
      <c r="BR36" s="244">
        <v>0</v>
      </c>
      <c r="BS36" s="242">
        <v>0</v>
      </c>
      <c r="BT36" s="122">
        <v>0</v>
      </c>
      <c r="BU36" s="122">
        <v>0</v>
      </c>
      <c r="BV36" s="248">
        <v>90.5</v>
      </c>
      <c r="BW36" s="248">
        <v>0</v>
      </c>
      <c r="BX36" s="243">
        <v>0</v>
      </c>
      <c r="BY36" s="243">
        <v>0</v>
      </c>
      <c r="BZ36" s="243">
        <v>0</v>
      </c>
      <c r="CA36" s="463">
        <v>271.5</v>
      </c>
      <c r="CB36" s="242">
        <v>0.49791666666666662</v>
      </c>
      <c r="CC36" s="122">
        <v>0.49791666666666662</v>
      </c>
      <c r="CD36" s="122">
        <v>0</v>
      </c>
      <c r="CE36" s="122"/>
      <c r="CF36" s="122"/>
      <c r="CG36" s="247">
        <v>0.50570601851851849</v>
      </c>
      <c r="CH36" s="245">
        <v>0.50592592592592589</v>
      </c>
      <c r="CI36" s="240" t="s">
        <v>885</v>
      </c>
      <c r="CJ36" s="245">
        <v>2.1994113922119141E-4</v>
      </c>
      <c r="CK36" s="463">
        <v>19</v>
      </c>
      <c r="CL36" s="247">
        <v>0.52018518518518519</v>
      </c>
      <c r="CM36" s="245">
        <v>0.52046296296296302</v>
      </c>
      <c r="CN36" s="243" t="s">
        <v>885</v>
      </c>
      <c r="CO36" s="245">
        <v>2.778172492980957E-4</v>
      </c>
      <c r="CP36" s="463">
        <v>24</v>
      </c>
      <c r="CQ36" s="242">
        <v>0.59930555555555554</v>
      </c>
      <c r="CR36" s="122">
        <v>0.59930555555555554</v>
      </c>
      <c r="CS36" s="122">
        <v>0</v>
      </c>
      <c r="CT36" s="122"/>
      <c r="CU36" s="122"/>
      <c r="CV36" s="247">
        <v>0.60626157407407411</v>
      </c>
      <c r="CW36" s="245">
        <v>0.6075694444444445</v>
      </c>
      <c r="CX36" s="240" t="s">
        <v>885</v>
      </c>
      <c r="CY36" s="245">
        <v>1.3079047203063965E-3</v>
      </c>
      <c r="CZ36" s="463">
        <v>113</v>
      </c>
      <c r="DA36" s="247">
        <v>0.60805555555555557</v>
      </c>
      <c r="DB36" s="245">
        <v>0.60810185185185184</v>
      </c>
      <c r="DC36" s="243" t="s">
        <v>885</v>
      </c>
      <c r="DD36" s="245">
        <v>4.6312808990478516E-5</v>
      </c>
      <c r="DE36" s="463">
        <v>4</v>
      </c>
      <c r="DF36" s="242">
        <v>0</v>
      </c>
      <c r="DG36" s="122">
        <v>0</v>
      </c>
      <c r="DH36" s="122">
        <v>0</v>
      </c>
      <c r="DI36" s="248">
        <v>54.4</v>
      </c>
      <c r="DJ36" s="248">
        <v>0</v>
      </c>
      <c r="DK36" s="243">
        <v>0</v>
      </c>
      <c r="DL36" s="243">
        <v>0</v>
      </c>
      <c r="DM36" s="243">
        <v>0</v>
      </c>
      <c r="DN36" s="463">
        <v>163.19999999999999</v>
      </c>
      <c r="DO36" s="249">
        <v>0</v>
      </c>
      <c r="DP36" s="246">
        <v>0</v>
      </c>
      <c r="DQ36" s="249">
        <v>0</v>
      </c>
      <c r="DR36" s="246">
        <v>600</v>
      </c>
      <c r="DS36" s="242">
        <v>0.67986111111111114</v>
      </c>
      <c r="DT36" s="244">
        <v>0</v>
      </c>
      <c r="DU36" s="242">
        <v>0</v>
      </c>
      <c r="DV36" s="244">
        <v>900</v>
      </c>
      <c r="DW36" s="459"/>
      <c r="DX36" s="459"/>
      <c r="DY36" s="459"/>
      <c r="DZ36" s="459"/>
      <c r="EA36" s="459"/>
      <c r="EB36" s="459"/>
      <c r="EC36" s="459"/>
      <c r="ED36" s="459"/>
      <c r="EE36" s="459"/>
      <c r="EF36" s="459"/>
      <c r="EG36" s="459"/>
      <c r="EH36" s="459"/>
      <c r="EI36" s="459"/>
      <c r="EJ36" s="459"/>
      <c r="EK36" s="459"/>
      <c r="EL36" s="459"/>
      <c r="EM36" s="459"/>
      <c r="EN36" s="459"/>
      <c r="EO36" s="459"/>
      <c r="EP36" s="459"/>
      <c r="EQ36" s="459"/>
      <c r="ER36" s="459"/>
      <c r="ES36" s="459"/>
      <c r="ET36" s="459"/>
      <c r="EU36" s="242" t="e">
        <v>#VALUE!</v>
      </c>
      <c r="EV36" s="122">
        <v>0</v>
      </c>
      <c r="EW36" s="243" t="e">
        <v>#VALUE!</v>
      </c>
      <c r="EX36" s="122">
        <v>0</v>
      </c>
      <c r="EY36" s="244">
        <v>900</v>
      </c>
      <c r="EZ36" s="242">
        <v>0</v>
      </c>
      <c r="FA36" s="122">
        <v>0</v>
      </c>
      <c r="FB36" s="122">
        <v>0</v>
      </c>
      <c r="FC36" s="248">
        <v>69</v>
      </c>
      <c r="FD36" s="248">
        <v>0</v>
      </c>
      <c r="FE36" s="248">
        <v>0</v>
      </c>
      <c r="FF36" s="243" t="s">
        <v>870</v>
      </c>
      <c r="FG36" s="243">
        <v>0</v>
      </c>
      <c r="FH36" s="463">
        <v>237</v>
      </c>
    </row>
    <row r="37" spans="1:165" s="236" customFormat="1" x14ac:dyDescent="0.25">
      <c r="A37" s="253">
        <v>37</v>
      </c>
      <c r="B37" s="241" t="s">
        <v>703</v>
      </c>
      <c r="C37" s="241" t="s">
        <v>755</v>
      </c>
      <c r="D37" s="241" t="s">
        <v>756</v>
      </c>
      <c r="E37" s="241" t="s">
        <v>6</v>
      </c>
      <c r="F37" s="241" t="s">
        <v>590</v>
      </c>
      <c r="G37" s="487">
        <v>1936.5</v>
      </c>
      <c r="H37" s="487">
        <v>300</v>
      </c>
      <c r="I37" s="487">
        <v>1036.5</v>
      </c>
      <c r="J37" s="487">
        <v>600</v>
      </c>
      <c r="K37" s="242">
        <v>0.43888888888888883</v>
      </c>
      <c r="L37" s="122">
        <v>0.43888888888888888</v>
      </c>
      <c r="M37" s="243" t="s">
        <v>94</v>
      </c>
      <c r="N37" s="122">
        <v>0</v>
      </c>
      <c r="O37" s="301">
        <v>0</v>
      </c>
      <c r="P37" s="300">
        <v>4.86111119389534E-2</v>
      </c>
      <c r="Q37" s="294"/>
      <c r="R37" s="242">
        <v>0.48750000082784228</v>
      </c>
      <c r="S37" s="122">
        <v>0.48749999999999999</v>
      </c>
      <c r="T37" s="243" t="s">
        <v>94</v>
      </c>
      <c r="U37" s="122">
        <v>0</v>
      </c>
      <c r="V37" s="301">
        <v>0</v>
      </c>
      <c r="W37" s="300">
        <v>4.86111119389534E-2</v>
      </c>
      <c r="X37" s="122"/>
      <c r="Y37" s="294">
        <v>0</v>
      </c>
      <c r="Z37" s="242">
        <v>0.53958333416117554</v>
      </c>
      <c r="AA37" s="122">
        <v>0.5395833333333333</v>
      </c>
      <c r="AB37" s="243" t="s">
        <v>94</v>
      </c>
      <c r="AC37" s="122">
        <v>0</v>
      </c>
      <c r="AD37" s="301">
        <v>0</v>
      </c>
      <c r="AE37" s="300">
        <v>2.43055559694767E-2</v>
      </c>
      <c r="AF37" s="122"/>
      <c r="AG37" s="294">
        <v>0</v>
      </c>
      <c r="AH37" s="242">
        <v>0.56388888930281</v>
      </c>
      <c r="AI37" s="122">
        <v>0.56388888888888888</v>
      </c>
      <c r="AJ37" s="243" t="s">
        <v>94</v>
      </c>
      <c r="AK37" s="122">
        <v>0</v>
      </c>
      <c r="AL37" s="301">
        <v>0</v>
      </c>
      <c r="AM37" s="300">
        <v>2.43055559694767E-2</v>
      </c>
      <c r="AN37" s="122"/>
      <c r="AO37" s="294">
        <v>0</v>
      </c>
      <c r="AP37" s="242">
        <v>0.58819444485836558</v>
      </c>
      <c r="AQ37" s="122">
        <v>0.58819444444444446</v>
      </c>
      <c r="AR37" s="243" t="s">
        <v>94</v>
      </c>
      <c r="AS37" s="122">
        <v>0</v>
      </c>
      <c r="AT37" s="301">
        <v>0</v>
      </c>
      <c r="AU37" s="300">
        <v>3.125E-2</v>
      </c>
      <c r="AV37" s="122"/>
      <c r="AW37" s="294">
        <v>0</v>
      </c>
      <c r="AX37" s="242">
        <v>0.62430555555555556</v>
      </c>
      <c r="AY37" s="122">
        <v>0.62430555555555556</v>
      </c>
      <c r="AZ37" s="243" t="s">
        <v>94</v>
      </c>
      <c r="BA37" s="122">
        <v>0</v>
      </c>
      <c r="BB37" s="301">
        <v>0</v>
      </c>
      <c r="BC37" s="300">
        <v>4.1666667908430099E-2</v>
      </c>
      <c r="BD37" s="122"/>
      <c r="BE37" s="294">
        <v>0</v>
      </c>
      <c r="BF37" s="242">
        <v>0.66597222346398566</v>
      </c>
      <c r="BG37" s="122">
        <v>0.66597222222222219</v>
      </c>
      <c r="BH37" s="243" t="s">
        <v>94</v>
      </c>
      <c r="BI37" s="122">
        <v>0</v>
      </c>
      <c r="BJ37" s="301">
        <v>0</v>
      </c>
      <c r="BK37" s="300">
        <v>2.777777798473835E-2</v>
      </c>
      <c r="BL37" s="122"/>
      <c r="BM37" s="294">
        <v>0</v>
      </c>
      <c r="BN37" s="242">
        <v>0.69375000020696054</v>
      </c>
      <c r="BO37" s="122">
        <v>0.6972222222222223</v>
      </c>
      <c r="BP37" s="243" t="s">
        <v>885</v>
      </c>
      <c r="BQ37" s="122">
        <v>3.4722089767456055E-3</v>
      </c>
      <c r="BR37" s="244">
        <v>300</v>
      </c>
      <c r="BS37" s="242">
        <v>0</v>
      </c>
      <c r="BT37" s="122">
        <v>0</v>
      </c>
      <c r="BU37" s="122">
        <v>0</v>
      </c>
      <c r="BV37" s="248">
        <v>69</v>
      </c>
      <c r="BW37" s="248">
        <v>0</v>
      </c>
      <c r="BX37" s="243">
        <v>0</v>
      </c>
      <c r="BY37" s="243" t="s">
        <v>870</v>
      </c>
      <c r="BZ37" s="243">
        <v>0</v>
      </c>
      <c r="CA37" s="463">
        <v>267</v>
      </c>
      <c r="CB37" s="242">
        <v>0.4909722222222222</v>
      </c>
      <c r="CC37" s="122">
        <v>0.4909722222222222</v>
      </c>
      <c r="CD37" s="122">
        <v>0</v>
      </c>
      <c r="CE37" s="122"/>
      <c r="CF37" s="122"/>
      <c r="CG37" s="247">
        <v>0.49876157407407407</v>
      </c>
      <c r="CH37" s="245">
        <v>0.50069444444444444</v>
      </c>
      <c r="CI37" s="240" t="s">
        <v>885</v>
      </c>
      <c r="CJ37" s="245">
        <v>1.9328892230987549E-3</v>
      </c>
      <c r="CK37" s="463">
        <v>167</v>
      </c>
      <c r="CL37" s="247">
        <v>0.51495370370370375</v>
      </c>
      <c r="CM37" s="245">
        <v>0.51487268518518514</v>
      </c>
      <c r="CN37" s="243" t="s">
        <v>883</v>
      </c>
      <c r="CO37" s="245">
        <v>8.106231689453125E-5</v>
      </c>
      <c r="CP37" s="463">
        <v>7</v>
      </c>
      <c r="CQ37" s="242">
        <v>0.59305555555555556</v>
      </c>
      <c r="CR37" s="122">
        <v>0.59305555555555556</v>
      </c>
      <c r="CS37" s="122">
        <v>0</v>
      </c>
      <c r="CT37" s="122"/>
      <c r="CU37" s="122"/>
      <c r="CV37" s="247">
        <v>0.60001157407407413</v>
      </c>
      <c r="CW37" s="245">
        <v>0.60122685185185187</v>
      </c>
      <c r="CX37" s="240" t="s">
        <v>885</v>
      </c>
      <c r="CY37" s="245">
        <v>1.2152791023254395E-3</v>
      </c>
      <c r="CZ37" s="463">
        <v>105</v>
      </c>
      <c r="DA37" s="247">
        <v>0.60171296296296295</v>
      </c>
      <c r="DB37" s="245">
        <v>0.60174768518518518</v>
      </c>
      <c r="DC37" s="243" t="s">
        <v>885</v>
      </c>
      <c r="DD37" s="245">
        <v>3.4749507904052734E-5</v>
      </c>
      <c r="DE37" s="463">
        <v>3</v>
      </c>
      <c r="DF37" s="242">
        <v>0</v>
      </c>
      <c r="DG37" s="122">
        <v>0</v>
      </c>
      <c r="DH37" s="122">
        <v>0</v>
      </c>
      <c r="DI37" s="248">
        <v>42.5</v>
      </c>
      <c r="DJ37" s="248">
        <v>0</v>
      </c>
      <c r="DK37" s="243">
        <v>0</v>
      </c>
      <c r="DL37" s="243" t="s">
        <v>870</v>
      </c>
      <c r="DM37" s="243" t="s">
        <v>870</v>
      </c>
      <c r="DN37" s="463">
        <v>487.5</v>
      </c>
      <c r="DO37" s="249">
        <v>0</v>
      </c>
      <c r="DP37" s="246">
        <v>0</v>
      </c>
      <c r="DQ37" s="249">
        <v>0</v>
      </c>
      <c r="DR37" s="246">
        <v>600</v>
      </c>
      <c r="DS37" s="242">
        <v>0.6743055555555556</v>
      </c>
      <c r="DT37" s="244">
        <v>0</v>
      </c>
      <c r="DU37" s="242">
        <v>0.69305555555555554</v>
      </c>
      <c r="DV37" s="244">
        <v>0</v>
      </c>
      <c r="DW37" s="459"/>
      <c r="DX37" s="459"/>
      <c r="DY37" s="459"/>
      <c r="DZ37" s="459"/>
      <c r="EA37" s="459"/>
      <c r="EB37" s="459"/>
      <c r="EC37" s="459"/>
      <c r="ED37" s="459"/>
      <c r="EE37" s="459"/>
      <c r="EF37" s="459"/>
      <c r="EG37" s="459"/>
      <c r="EH37" s="459"/>
      <c r="EI37" s="459"/>
      <c r="EJ37" s="459"/>
      <c r="EK37" s="459"/>
      <c r="EL37" s="459"/>
      <c r="EM37" s="459"/>
      <c r="EN37" s="459"/>
      <c r="EO37" s="459"/>
      <c r="EP37" s="459"/>
      <c r="EQ37" s="459"/>
      <c r="ER37" s="459"/>
      <c r="ES37" s="459"/>
      <c r="ET37" s="459"/>
      <c r="EU37" s="390" t="e">
        <v>#VALUE!</v>
      </c>
      <c r="EV37" s="391">
        <v>0</v>
      </c>
      <c r="EW37" s="392" t="e">
        <v>#VALUE!</v>
      </c>
      <c r="EX37" s="391">
        <v>0</v>
      </c>
      <c r="EY37" s="396">
        <v>900</v>
      </c>
      <c r="EZ37" s="390">
        <v>0</v>
      </c>
      <c r="FA37" s="391">
        <v>0</v>
      </c>
      <c r="FB37" s="391">
        <v>0</v>
      </c>
      <c r="FC37" s="401">
        <v>63.1</v>
      </c>
      <c r="FD37" s="401">
        <v>0</v>
      </c>
      <c r="FE37" s="401">
        <v>0</v>
      </c>
      <c r="FF37" s="392">
        <v>0</v>
      </c>
      <c r="FG37" s="392">
        <v>0</v>
      </c>
      <c r="FH37" s="462">
        <v>189.3</v>
      </c>
      <c r="FI37" s="403"/>
    </row>
    <row r="38" spans="1:165" s="20" customFormat="1" x14ac:dyDescent="0.25">
      <c r="A38" s="388">
        <v>38</v>
      </c>
      <c r="B38" s="389" t="s">
        <v>705</v>
      </c>
      <c r="C38" s="389" t="s">
        <v>717</v>
      </c>
      <c r="D38" s="389" t="s">
        <v>723</v>
      </c>
      <c r="E38" s="389" t="s">
        <v>6</v>
      </c>
      <c r="F38" s="389" t="s">
        <v>867</v>
      </c>
      <c r="G38" s="486">
        <v>972.1</v>
      </c>
      <c r="H38" s="486">
        <v>60</v>
      </c>
      <c r="I38" s="486">
        <v>432.1</v>
      </c>
      <c r="J38" s="486">
        <v>480</v>
      </c>
      <c r="K38" s="390">
        <v>0.43958333333333327</v>
      </c>
      <c r="L38" s="391">
        <v>0.43888888888888888</v>
      </c>
      <c r="M38" s="392" t="s">
        <v>883</v>
      </c>
      <c r="N38" s="391">
        <v>6.9445371627807617E-4</v>
      </c>
      <c r="O38" s="393">
        <v>60</v>
      </c>
      <c r="P38" s="394">
        <v>4.86111119389534E-2</v>
      </c>
      <c r="Q38" s="395"/>
      <c r="R38" s="390">
        <v>0.48750000082784228</v>
      </c>
      <c r="S38" s="391">
        <v>0.48749999999999999</v>
      </c>
      <c r="T38" s="392" t="s">
        <v>94</v>
      </c>
      <c r="U38" s="391">
        <v>0</v>
      </c>
      <c r="V38" s="393">
        <v>0</v>
      </c>
      <c r="W38" s="394">
        <v>4.86111119389534E-2</v>
      </c>
      <c r="X38" s="391"/>
      <c r="Y38" s="395">
        <v>0</v>
      </c>
      <c r="Z38" s="390">
        <v>0.53888888971673121</v>
      </c>
      <c r="AA38" s="391">
        <v>0.53888888888888886</v>
      </c>
      <c r="AB38" s="392" t="s">
        <v>94</v>
      </c>
      <c r="AC38" s="391">
        <v>0</v>
      </c>
      <c r="AD38" s="393">
        <v>0</v>
      </c>
      <c r="AE38" s="394">
        <v>2.43055559694767E-2</v>
      </c>
      <c r="AF38" s="391"/>
      <c r="AG38" s="395">
        <v>0</v>
      </c>
      <c r="AH38" s="390">
        <v>0.56319444485836556</v>
      </c>
      <c r="AI38" s="391">
        <v>0.56319444444444444</v>
      </c>
      <c r="AJ38" s="392" t="s">
        <v>94</v>
      </c>
      <c r="AK38" s="391">
        <v>0</v>
      </c>
      <c r="AL38" s="393">
        <v>0</v>
      </c>
      <c r="AM38" s="394">
        <v>2.43055559694767E-2</v>
      </c>
      <c r="AN38" s="391"/>
      <c r="AO38" s="395">
        <v>0</v>
      </c>
      <c r="AP38" s="390">
        <v>0.58750000041392114</v>
      </c>
      <c r="AQ38" s="391">
        <v>0.58750000000000002</v>
      </c>
      <c r="AR38" s="392" t="s">
        <v>94</v>
      </c>
      <c r="AS38" s="391">
        <v>0</v>
      </c>
      <c r="AT38" s="393">
        <v>0</v>
      </c>
      <c r="AU38" s="394">
        <v>3.125E-2</v>
      </c>
      <c r="AV38" s="391"/>
      <c r="AW38" s="395">
        <v>0</v>
      </c>
      <c r="AX38" s="390">
        <v>0.62361111111111112</v>
      </c>
      <c r="AY38" s="391">
        <v>0.62361111111111112</v>
      </c>
      <c r="AZ38" s="392" t="s">
        <v>94</v>
      </c>
      <c r="BA38" s="391">
        <v>0</v>
      </c>
      <c r="BB38" s="393">
        <v>0</v>
      </c>
      <c r="BC38" s="394">
        <v>4.1666667908430099E-2</v>
      </c>
      <c r="BD38" s="391"/>
      <c r="BE38" s="395">
        <v>0</v>
      </c>
      <c r="BF38" s="390">
        <v>0.66527777901954122</v>
      </c>
      <c r="BG38" s="391">
        <v>0.66527777777777775</v>
      </c>
      <c r="BH38" s="392" t="s">
        <v>94</v>
      </c>
      <c r="BI38" s="391">
        <v>0</v>
      </c>
      <c r="BJ38" s="393">
        <v>0</v>
      </c>
      <c r="BK38" s="394">
        <v>2.777777798473835E-2</v>
      </c>
      <c r="BL38" s="391"/>
      <c r="BM38" s="395">
        <v>0</v>
      </c>
      <c r="BN38" s="390">
        <v>0.6930555557625161</v>
      </c>
      <c r="BO38" s="391">
        <v>0.69305555555555554</v>
      </c>
      <c r="BP38" s="392" t="s">
        <v>94</v>
      </c>
      <c r="BQ38" s="391">
        <v>0</v>
      </c>
      <c r="BR38" s="396">
        <v>0</v>
      </c>
      <c r="BS38" s="390">
        <v>0</v>
      </c>
      <c r="BT38" s="391">
        <v>0</v>
      </c>
      <c r="BU38" s="391">
        <v>0</v>
      </c>
      <c r="BV38" s="401">
        <v>63.1</v>
      </c>
      <c r="BW38" s="401">
        <v>0</v>
      </c>
      <c r="BX38" s="392">
        <v>0</v>
      </c>
      <c r="BY38" s="392">
        <v>0</v>
      </c>
      <c r="BZ38" s="392">
        <v>0</v>
      </c>
      <c r="CA38" s="462">
        <v>189.3</v>
      </c>
      <c r="CB38" s="390">
        <v>0.49027777777777781</v>
      </c>
      <c r="CC38" s="391">
        <v>0.49027777777777781</v>
      </c>
      <c r="CD38" s="391">
        <v>0</v>
      </c>
      <c r="CE38" s="391"/>
      <c r="CF38" s="391"/>
      <c r="CG38" s="397">
        <v>0.49806712962962968</v>
      </c>
      <c r="CH38" s="398">
        <v>0.49774305555555554</v>
      </c>
      <c r="CI38" s="399" t="s">
        <v>883</v>
      </c>
      <c r="CJ38" s="398">
        <v>3.2407045364379883E-4</v>
      </c>
      <c r="CK38" s="462">
        <v>28</v>
      </c>
      <c r="CL38" s="397">
        <v>0.51200231481481484</v>
      </c>
      <c r="CM38" s="398">
        <v>0.5119907407407408</v>
      </c>
      <c r="CN38" s="392" t="s">
        <v>883</v>
      </c>
      <c r="CO38" s="398">
        <v>1.1563301086425781E-5</v>
      </c>
      <c r="CP38" s="462">
        <v>1</v>
      </c>
      <c r="CQ38" s="390">
        <v>0.59236111111111112</v>
      </c>
      <c r="CR38" s="391">
        <v>0.59236111111111112</v>
      </c>
      <c r="CS38" s="391">
        <v>0</v>
      </c>
      <c r="CT38" s="391"/>
      <c r="CU38" s="391"/>
      <c r="CV38" s="397">
        <v>0.59931712962962969</v>
      </c>
      <c r="CW38" s="398">
        <v>0.59986111111111107</v>
      </c>
      <c r="CX38" s="399" t="s">
        <v>885</v>
      </c>
      <c r="CY38" s="398">
        <v>5.4395198822021484E-4</v>
      </c>
      <c r="CZ38" s="462">
        <v>47</v>
      </c>
      <c r="DA38" s="397">
        <v>0.60034722222222214</v>
      </c>
      <c r="DB38" s="398">
        <v>0.60034722222222225</v>
      </c>
      <c r="DC38" s="392" t="s">
        <v>94</v>
      </c>
      <c r="DD38" s="398">
        <v>0</v>
      </c>
      <c r="DE38" s="462">
        <v>0</v>
      </c>
      <c r="DF38" s="390">
        <v>0</v>
      </c>
      <c r="DG38" s="391">
        <v>0</v>
      </c>
      <c r="DH38" s="391">
        <v>0</v>
      </c>
      <c r="DI38" s="401">
        <v>55.6</v>
      </c>
      <c r="DJ38" s="401">
        <v>0</v>
      </c>
      <c r="DK38" s="392">
        <v>0</v>
      </c>
      <c r="DL38" s="392">
        <v>0</v>
      </c>
      <c r="DM38" s="392">
        <v>0</v>
      </c>
      <c r="DN38" s="462">
        <v>166.8</v>
      </c>
      <c r="DO38" s="402">
        <v>0</v>
      </c>
      <c r="DP38" s="400">
        <v>0</v>
      </c>
      <c r="DQ38" s="402">
        <v>0</v>
      </c>
      <c r="DR38" s="400">
        <v>480</v>
      </c>
      <c r="DS38" s="390">
        <v>0.67291666666666661</v>
      </c>
      <c r="DT38" s="396">
        <v>0</v>
      </c>
      <c r="DU38" s="390">
        <v>0.68819444444444444</v>
      </c>
      <c r="DV38" s="396">
        <v>0</v>
      </c>
      <c r="DW38" s="459"/>
      <c r="DX38" s="459"/>
      <c r="DY38" s="459"/>
      <c r="DZ38" s="459"/>
      <c r="EA38" s="459"/>
      <c r="EB38" s="459"/>
      <c r="EC38" s="459"/>
      <c r="ED38" s="459"/>
      <c r="EE38" s="459"/>
      <c r="EF38" s="459"/>
      <c r="EG38" s="459"/>
      <c r="EH38" s="459"/>
      <c r="EI38" s="459"/>
      <c r="EJ38" s="459"/>
      <c r="EK38" s="459"/>
      <c r="EL38" s="459"/>
      <c r="EM38" s="459"/>
      <c r="EN38" s="459"/>
      <c r="EO38" s="459"/>
      <c r="EP38" s="459"/>
      <c r="EQ38" s="459"/>
      <c r="ER38" s="459"/>
      <c r="ES38" s="459"/>
      <c r="ET38" s="459"/>
      <c r="EU38" s="242" t="e">
        <v>#VALUE!</v>
      </c>
      <c r="EV38" s="122">
        <v>0</v>
      </c>
      <c r="EW38" s="243" t="e">
        <v>#VALUE!</v>
      </c>
      <c r="EX38" s="122">
        <v>0</v>
      </c>
      <c r="EY38" s="244">
        <v>900</v>
      </c>
      <c r="EZ38" s="242">
        <v>0</v>
      </c>
      <c r="FA38" s="122">
        <v>0</v>
      </c>
      <c r="FB38" s="122">
        <v>0</v>
      </c>
      <c r="FC38" s="248">
        <v>57.1</v>
      </c>
      <c r="FD38" s="248">
        <v>0</v>
      </c>
      <c r="FE38" s="248">
        <v>0</v>
      </c>
      <c r="FF38" s="243" t="s">
        <v>870</v>
      </c>
      <c r="FG38" s="243">
        <v>0</v>
      </c>
      <c r="FH38" s="463">
        <v>201.3</v>
      </c>
    </row>
    <row r="39" spans="1:165" s="236" customFormat="1" x14ac:dyDescent="0.25">
      <c r="A39" s="253">
        <v>39</v>
      </c>
      <c r="B39" s="241" t="s">
        <v>706</v>
      </c>
      <c r="C39" s="241" t="s">
        <v>758</v>
      </c>
      <c r="D39" s="241" t="s">
        <v>759</v>
      </c>
      <c r="E39" s="241" t="s">
        <v>747</v>
      </c>
      <c r="F39" s="241" t="s">
        <v>867</v>
      </c>
      <c r="G39" s="487">
        <v>4326.8</v>
      </c>
      <c r="H39" s="487">
        <v>1860</v>
      </c>
      <c r="I39" s="487">
        <v>1506.8</v>
      </c>
      <c r="J39" s="487">
        <v>960</v>
      </c>
      <c r="K39" s="242">
        <v>0.44027777777777771</v>
      </c>
      <c r="L39" s="122">
        <v>0.44027777777777777</v>
      </c>
      <c r="M39" s="243" t="s">
        <v>94</v>
      </c>
      <c r="N39" s="122">
        <v>0</v>
      </c>
      <c r="O39" s="301">
        <v>0</v>
      </c>
      <c r="P39" s="300">
        <v>4.86111119389534E-2</v>
      </c>
      <c r="Q39" s="294"/>
      <c r="R39" s="242">
        <v>0.48888888971673117</v>
      </c>
      <c r="S39" s="122">
        <v>0.48819444444444443</v>
      </c>
      <c r="T39" s="243" t="s">
        <v>883</v>
      </c>
      <c r="U39" s="122">
        <v>6.9445371627807617E-4</v>
      </c>
      <c r="V39" s="301">
        <v>60</v>
      </c>
      <c r="W39" s="300">
        <v>4.86111119389534E-2</v>
      </c>
      <c r="X39" s="122"/>
      <c r="Y39" s="294">
        <v>0</v>
      </c>
      <c r="Z39" s="242">
        <v>0.5402777786056201</v>
      </c>
      <c r="AA39" s="122">
        <v>0.54027777777777775</v>
      </c>
      <c r="AB39" s="243" t="s">
        <v>94</v>
      </c>
      <c r="AC39" s="122">
        <v>0</v>
      </c>
      <c r="AD39" s="301">
        <v>0</v>
      </c>
      <c r="AE39" s="300">
        <v>2.43055559694767E-2</v>
      </c>
      <c r="AF39" s="122"/>
      <c r="AG39" s="294">
        <v>0</v>
      </c>
      <c r="AH39" s="242">
        <v>0.56458333374725445</v>
      </c>
      <c r="AI39" s="122">
        <v>0.56458333333333333</v>
      </c>
      <c r="AJ39" s="243" t="s">
        <v>94</v>
      </c>
      <c r="AK39" s="122">
        <v>0</v>
      </c>
      <c r="AL39" s="301">
        <v>0</v>
      </c>
      <c r="AM39" s="300">
        <v>2.43055559694767E-2</v>
      </c>
      <c r="AN39" s="122"/>
      <c r="AO39" s="294">
        <v>0</v>
      </c>
      <c r="AP39" s="242">
        <v>0.58888888930281003</v>
      </c>
      <c r="AQ39" s="122">
        <v>0.58888888888888891</v>
      </c>
      <c r="AR39" s="243" t="s">
        <v>94</v>
      </c>
      <c r="AS39" s="122">
        <v>0</v>
      </c>
      <c r="AT39" s="301">
        <v>0</v>
      </c>
      <c r="AU39" s="300">
        <v>3.125E-2</v>
      </c>
      <c r="AV39" s="122"/>
      <c r="AW39" s="294">
        <v>0</v>
      </c>
      <c r="AX39" s="242">
        <v>0.625</v>
      </c>
      <c r="AY39" s="122">
        <v>0.625</v>
      </c>
      <c r="AZ39" s="243" t="s">
        <v>94</v>
      </c>
      <c r="BA39" s="122">
        <v>0</v>
      </c>
      <c r="BB39" s="301">
        <v>0</v>
      </c>
      <c r="BC39" s="300">
        <v>4.1666667908430099E-2</v>
      </c>
      <c r="BD39" s="122"/>
      <c r="BE39" s="294">
        <v>0</v>
      </c>
      <c r="BF39" s="242">
        <v>0.6666666679084301</v>
      </c>
      <c r="BG39" s="122">
        <v>0.66666666666666663</v>
      </c>
      <c r="BH39" s="243" t="s">
        <v>94</v>
      </c>
      <c r="BI39" s="122">
        <v>0</v>
      </c>
      <c r="BJ39" s="301">
        <v>0</v>
      </c>
      <c r="BK39" s="300">
        <v>2.777777798473835E-2</v>
      </c>
      <c r="BL39" s="122"/>
      <c r="BM39" s="294">
        <v>0</v>
      </c>
      <c r="BN39" s="242">
        <v>0.69444444465140498</v>
      </c>
      <c r="BO39" s="122">
        <v>0.69027777777777777</v>
      </c>
      <c r="BP39" s="243" t="s">
        <v>883</v>
      </c>
      <c r="BQ39" s="122">
        <v>4.1666626930236816E-3</v>
      </c>
      <c r="BR39" s="244">
        <v>0</v>
      </c>
      <c r="BS39" s="242">
        <v>0</v>
      </c>
      <c r="BT39" s="122">
        <v>0</v>
      </c>
      <c r="BU39" s="122">
        <v>0</v>
      </c>
      <c r="BV39" s="248">
        <v>57.1</v>
      </c>
      <c r="BW39" s="248">
        <v>0</v>
      </c>
      <c r="BX39" s="243">
        <v>0</v>
      </c>
      <c r="BY39" s="243" t="s">
        <v>870</v>
      </c>
      <c r="BZ39" s="243">
        <v>0</v>
      </c>
      <c r="CA39" s="463">
        <v>231.3</v>
      </c>
      <c r="CB39" s="242">
        <v>0.4916666666666667</v>
      </c>
      <c r="CC39" s="122">
        <v>0.4916666666666667</v>
      </c>
      <c r="CD39" s="122">
        <v>0</v>
      </c>
      <c r="CE39" s="122"/>
      <c r="CF39" s="122"/>
      <c r="CG39" s="247">
        <v>0.49945601851851856</v>
      </c>
      <c r="CH39" s="245">
        <v>0.50182870370370369</v>
      </c>
      <c r="CI39" s="240" t="s">
        <v>885</v>
      </c>
      <c r="CJ39" s="245">
        <v>2.3727118968963623E-3</v>
      </c>
      <c r="CK39" s="463">
        <v>205</v>
      </c>
      <c r="CL39" s="247">
        <v>0.516087962962963</v>
      </c>
      <c r="CM39" s="245">
        <v>0.51928240740740739</v>
      </c>
      <c r="CN39" s="243" t="s">
        <v>885</v>
      </c>
      <c r="CO39" s="245">
        <v>3.1944513320922852E-3</v>
      </c>
      <c r="CP39" s="463">
        <v>276</v>
      </c>
      <c r="CQ39" s="242">
        <v>0.59375</v>
      </c>
      <c r="CR39" s="122">
        <v>0.59375</v>
      </c>
      <c r="CS39" s="122">
        <v>0</v>
      </c>
      <c r="CT39" s="122"/>
      <c r="CU39" s="122"/>
      <c r="CV39" s="247">
        <v>0.60070601851851857</v>
      </c>
      <c r="CW39" s="245">
        <v>0.60415509259259259</v>
      </c>
      <c r="CX39" s="240" t="s">
        <v>885</v>
      </c>
      <c r="CY39" s="245">
        <v>3.4490227699279785E-3</v>
      </c>
      <c r="CZ39" s="463">
        <v>298</v>
      </c>
      <c r="DA39" s="247">
        <v>0.60464120370370367</v>
      </c>
      <c r="DB39" s="245">
        <v>0.60464120370370367</v>
      </c>
      <c r="DC39" s="243" t="s">
        <v>94</v>
      </c>
      <c r="DD39" s="245">
        <v>0</v>
      </c>
      <c r="DE39" s="463">
        <v>0</v>
      </c>
      <c r="DF39" s="242">
        <v>0</v>
      </c>
      <c r="DG39" s="122">
        <v>0</v>
      </c>
      <c r="DH39" s="122">
        <v>0</v>
      </c>
      <c r="DI39" s="248">
        <v>45.5</v>
      </c>
      <c r="DJ39" s="248">
        <v>0</v>
      </c>
      <c r="DK39" s="243">
        <v>0</v>
      </c>
      <c r="DL39" s="243" t="s">
        <v>870</v>
      </c>
      <c r="DM39" s="243" t="s">
        <v>870</v>
      </c>
      <c r="DN39" s="463">
        <v>496.5</v>
      </c>
      <c r="DO39" s="249">
        <v>0</v>
      </c>
      <c r="DP39" s="246">
        <v>0</v>
      </c>
      <c r="DQ39" s="249">
        <v>0</v>
      </c>
      <c r="DR39" s="246">
        <v>960</v>
      </c>
      <c r="DS39" s="242">
        <v>0</v>
      </c>
      <c r="DT39" s="244">
        <v>900</v>
      </c>
      <c r="DU39" s="242">
        <v>0</v>
      </c>
      <c r="DV39" s="244">
        <v>900</v>
      </c>
      <c r="DW39" s="459"/>
      <c r="DX39" s="459"/>
      <c r="DY39" s="459"/>
      <c r="DZ39" s="459"/>
      <c r="EA39" s="459"/>
      <c r="EB39" s="459"/>
      <c r="EC39" s="459"/>
      <c r="ED39" s="459"/>
      <c r="EE39" s="459"/>
      <c r="EF39" s="459"/>
      <c r="EG39" s="459"/>
      <c r="EH39" s="459"/>
      <c r="EI39" s="459"/>
      <c r="EJ39" s="459"/>
      <c r="EK39" s="459"/>
      <c r="EL39" s="459"/>
      <c r="EM39" s="459"/>
      <c r="EN39" s="459"/>
      <c r="EO39" s="459"/>
      <c r="EP39" s="459"/>
      <c r="EQ39" s="459"/>
      <c r="ER39" s="459"/>
      <c r="ES39" s="459"/>
      <c r="ET39" s="459"/>
      <c r="EU39" s="390" t="e">
        <v>#VALUE!</v>
      </c>
      <c r="EV39" s="391">
        <v>0</v>
      </c>
      <c r="EW39" s="392" t="e">
        <v>#VALUE!</v>
      </c>
      <c r="EX39" s="391">
        <v>0</v>
      </c>
      <c r="EY39" s="396">
        <v>900</v>
      </c>
      <c r="EZ39" s="390">
        <v>0</v>
      </c>
      <c r="FA39" s="391">
        <v>0</v>
      </c>
      <c r="FB39" s="391">
        <v>0</v>
      </c>
      <c r="FC39" s="401">
        <v>68.2</v>
      </c>
      <c r="FD39" s="401">
        <v>0</v>
      </c>
      <c r="FE39" s="401">
        <v>0</v>
      </c>
      <c r="FF39" s="392">
        <v>0</v>
      </c>
      <c r="FG39" s="392">
        <v>0</v>
      </c>
      <c r="FH39" s="462">
        <v>204.60000000000002</v>
      </c>
      <c r="FI39" s="403"/>
    </row>
    <row r="40" spans="1:165" s="20" customFormat="1" x14ac:dyDescent="0.25">
      <c r="A40" s="388">
        <v>40</v>
      </c>
      <c r="B40" s="389" t="s">
        <v>854</v>
      </c>
      <c r="C40" s="389" t="s">
        <v>856</v>
      </c>
      <c r="D40" s="389" t="s">
        <v>857</v>
      </c>
      <c r="E40" s="389" t="s">
        <v>6</v>
      </c>
      <c r="F40" s="389" t="s">
        <v>867</v>
      </c>
      <c r="G40" s="486">
        <v>3333.4</v>
      </c>
      <c r="H40" s="486">
        <v>1320</v>
      </c>
      <c r="I40" s="486">
        <v>1173.4000000000001</v>
      </c>
      <c r="J40" s="486">
        <v>840</v>
      </c>
      <c r="K40" s="390">
        <v>0.44097222222222215</v>
      </c>
      <c r="L40" s="391">
        <v>0.44097222222222227</v>
      </c>
      <c r="M40" s="392" t="s">
        <v>94</v>
      </c>
      <c r="N40" s="391">
        <v>0</v>
      </c>
      <c r="O40" s="393">
        <v>0</v>
      </c>
      <c r="P40" s="394">
        <v>4.86111119389534E-2</v>
      </c>
      <c r="Q40" s="395"/>
      <c r="R40" s="390">
        <v>0.48958333416117567</v>
      </c>
      <c r="S40" s="391">
        <v>0.48958333333333331</v>
      </c>
      <c r="T40" s="392" t="s">
        <v>94</v>
      </c>
      <c r="U40" s="391">
        <v>0</v>
      </c>
      <c r="V40" s="393">
        <v>0</v>
      </c>
      <c r="W40" s="394">
        <v>4.86111119389534E-2</v>
      </c>
      <c r="X40" s="391"/>
      <c r="Y40" s="395">
        <v>0</v>
      </c>
      <c r="Z40" s="390">
        <v>0.54097222305006443</v>
      </c>
      <c r="AA40" s="391">
        <v>0.54097222222222219</v>
      </c>
      <c r="AB40" s="392" t="s">
        <v>94</v>
      </c>
      <c r="AC40" s="391">
        <v>0</v>
      </c>
      <c r="AD40" s="393">
        <v>0</v>
      </c>
      <c r="AE40" s="394">
        <v>2.43055559694767E-2</v>
      </c>
      <c r="AF40" s="391"/>
      <c r="AG40" s="395">
        <v>0</v>
      </c>
      <c r="AH40" s="390">
        <v>0.56527777819169889</v>
      </c>
      <c r="AI40" s="391">
        <v>0.56527777777777777</v>
      </c>
      <c r="AJ40" s="392" t="s">
        <v>94</v>
      </c>
      <c r="AK40" s="391">
        <v>0</v>
      </c>
      <c r="AL40" s="393">
        <v>0</v>
      </c>
      <c r="AM40" s="394">
        <v>2.43055559694767E-2</v>
      </c>
      <c r="AN40" s="391"/>
      <c r="AO40" s="395">
        <v>0</v>
      </c>
      <c r="AP40" s="390">
        <v>0.58958333374725447</v>
      </c>
      <c r="AQ40" s="391">
        <v>0.58958333333333335</v>
      </c>
      <c r="AR40" s="392" t="s">
        <v>94</v>
      </c>
      <c r="AS40" s="391">
        <v>0</v>
      </c>
      <c r="AT40" s="393">
        <v>0</v>
      </c>
      <c r="AU40" s="394">
        <v>3.125E-2</v>
      </c>
      <c r="AV40" s="391"/>
      <c r="AW40" s="395">
        <v>0</v>
      </c>
      <c r="AX40" s="390">
        <v>0.62569444444444444</v>
      </c>
      <c r="AY40" s="391">
        <v>0.62569444444444444</v>
      </c>
      <c r="AZ40" s="392" t="s">
        <v>94</v>
      </c>
      <c r="BA40" s="391">
        <v>0</v>
      </c>
      <c r="BB40" s="393">
        <v>0</v>
      </c>
      <c r="BC40" s="394">
        <v>4.1666667908430099E-2</v>
      </c>
      <c r="BD40" s="391"/>
      <c r="BE40" s="395">
        <v>0</v>
      </c>
      <c r="BF40" s="390">
        <v>0.66736111235287454</v>
      </c>
      <c r="BG40" s="391">
        <v>0.66736111111111107</v>
      </c>
      <c r="BH40" s="392" t="s">
        <v>94</v>
      </c>
      <c r="BI40" s="391">
        <v>0</v>
      </c>
      <c r="BJ40" s="393">
        <v>0</v>
      </c>
      <c r="BK40" s="394">
        <v>2.777777798473835E-2</v>
      </c>
      <c r="BL40" s="391"/>
      <c r="BM40" s="395">
        <v>0</v>
      </c>
      <c r="BN40" s="390">
        <v>0.69513888909584942</v>
      </c>
      <c r="BO40" s="391">
        <v>0.70000000000000007</v>
      </c>
      <c r="BP40" s="392" t="s">
        <v>885</v>
      </c>
      <c r="BQ40" s="391">
        <v>4.8611164093017578E-3</v>
      </c>
      <c r="BR40" s="396">
        <v>420</v>
      </c>
      <c r="BS40" s="390">
        <v>0</v>
      </c>
      <c r="BT40" s="391">
        <v>0</v>
      </c>
      <c r="BU40" s="391">
        <v>0</v>
      </c>
      <c r="BV40" s="401">
        <v>68.2</v>
      </c>
      <c r="BW40" s="401">
        <v>0</v>
      </c>
      <c r="BX40" s="392">
        <v>0</v>
      </c>
      <c r="BY40" s="392">
        <v>0</v>
      </c>
      <c r="BZ40" s="392">
        <v>0</v>
      </c>
      <c r="CA40" s="462">
        <v>204.60000000000002</v>
      </c>
      <c r="CB40" s="390">
        <v>0.49236111111111108</v>
      </c>
      <c r="CC40" s="391">
        <v>0.49236111111111108</v>
      </c>
      <c r="CD40" s="391">
        <v>0</v>
      </c>
      <c r="CE40" s="391"/>
      <c r="CF40" s="391"/>
      <c r="CG40" s="397">
        <v>0.50015046296296295</v>
      </c>
      <c r="CH40" s="398">
        <v>0.50170138888888893</v>
      </c>
      <c r="CI40" s="399" t="s">
        <v>885</v>
      </c>
      <c r="CJ40" s="398">
        <v>1.5509724617004395E-3</v>
      </c>
      <c r="CK40" s="462">
        <v>134</v>
      </c>
      <c r="CL40" s="397">
        <v>0.51596064814814824</v>
      </c>
      <c r="CM40" s="398">
        <v>0.51574074074074072</v>
      </c>
      <c r="CN40" s="392" t="s">
        <v>883</v>
      </c>
      <c r="CO40" s="398">
        <v>2.1988153457641602E-4</v>
      </c>
      <c r="CP40" s="462">
        <v>19</v>
      </c>
      <c r="CQ40" s="390">
        <v>0.59444444444444444</v>
      </c>
      <c r="CR40" s="391">
        <v>0.59444444444444444</v>
      </c>
      <c r="CS40" s="391">
        <v>0</v>
      </c>
      <c r="CT40" s="391"/>
      <c r="CU40" s="391"/>
      <c r="CV40" s="397">
        <v>0.60140046296296301</v>
      </c>
      <c r="CW40" s="398">
        <v>0.60563657407407401</v>
      </c>
      <c r="CX40" s="399" t="s">
        <v>885</v>
      </c>
      <c r="CY40" s="398">
        <v>4.2361617088317871E-3</v>
      </c>
      <c r="CZ40" s="462">
        <v>366</v>
      </c>
      <c r="DA40" s="397">
        <v>0.60612268518518508</v>
      </c>
      <c r="DB40" s="398">
        <v>0.60611111111111116</v>
      </c>
      <c r="DC40" s="392" t="s">
        <v>883</v>
      </c>
      <c r="DD40" s="398">
        <v>1.1563301086425781E-5</v>
      </c>
      <c r="DE40" s="462">
        <v>1</v>
      </c>
      <c r="DF40" s="390">
        <v>0</v>
      </c>
      <c r="DG40" s="391">
        <v>0</v>
      </c>
      <c r="DH40" s="391">
        <v>0</v>
      </c>
      <c r="DI40" s="401">
        <v>49.6</v>
      </c>
      <c r="DJ40" s="401">
        <v>0</v>
      </c>
      <c r="DK40" s="392">
        <v>0</v>
      </c>
      <c r="DL40" s="392">
        <v>0</v>
      </c>
      <c r="DM40" s="392" t="s">
        <v>870</v>
      </c>
      <c r="DN40" s="462">
        <v>448.8</v>
      </c>
      <c r="DO40" s="402">
        <v>0</v>
      </c>
      <c r="DP40" s="400">
        <v>0</v>
      </c>
      <c r="DQ40" s="402">
        <v>0</v>
      </c>
      <c r="DR40" s="400">
        <v>840</v>
      </c>
      <c r="DS40" s="390">
        <v>0.68888888888888899</v>
      </c>
      <c r="DT40" s="396">
        <v>0</v>
      </c>
      <c r="DU40" s="390">
        <v>0</v>
      </c>
      <c r="DV40" s="396">
        <v>900</v>
      </c>
      <c r="DW40" s="459"/>
      <c r="DX40" s="459"/>
      <c r="DY40" s="459"/>
      <c r="DZ40" s="459"/>
      <c r="EA40" s="459"/>
      <c r="EB40" s="459"/>
      <c r="EC40" s="459"/>
      <c r="ED40" s="459"/>
      <c r="EE40" s="459"/>
      <c r="EF40" s="459"/>
      <c r="EG40" s="459"/>
      <c r="EH40" s="459"/>
      <c r="EI40" s="459"/>
      <c r="EJ40" s="459"/>
      <c r="EK40" s="459"/>
      <c r="EL40" s="459"/>
      <c r="EM40" s="459"/>
      <c r="EN40" s="459"/>
      <c r="EO40" s="459"/>
      <c r="EP40" s="459"/>
      <c r="EQ40" s="459"/>
      <c r="ER40" s="459"/>
      <c r="ES40" s="459"/>
      <c r="ET40" s="459"/>
      <c r="EU40" s="242" t="e">
        <v>#VALUE!</v>
      </c>
      <c r="EV40" s="122">
        <v>0</v>
      </c>
      <c r="EW40" s="243" t="e">
        <v>#VALUE!</v>
      </c>
      <c r="EX40" s="122">
        <v>0</v>
      </c>
      <c r="EY40" s="244">
        <v>900</v>
      </c>
      <c r="EZ40" s="242">
        <v>0</v>
      </c>
      <c r="FA40" s="122">
        <v>0</v>
      </c>
      <c r="FB40" s="122">
        <v>0</v>
      </c>
      <c r="FC40" s="248">
        <v>53.8</v>
      </c>
      <c r="FD40" s="248">
        <v>0</v>
      </c>
      <c r="FE40" s="248">
        <v>0</v>
      </c>
      <c r="FF40" s="243">
        <v>0</v>
      </c>
      <c r="FG40" s="243">
        <v>0</v>
      </c>
      <c r="FH40" s="463">
        <v>161.39999999999998</v>
      </c>
    </row>
    <row r="41" spans="1:165" s="236" customFormat="1" x14ac:dyDescent="0.25">
      <c r="A41" s="253">
        <v>41</v>
      </c>
      <c r="B41" s="241" t="s">
        <v>801</v>
      </c>
      <c r="C41" s="241" t="s">
        <v>803</v>
      </c>
      <c r="D41" s="241" t="s">
        <v>804</v>
      </c>
      <c r="E41" s="241" t="s">
        <v>6</v>
      </c>
      <c r="F41" s="241" t="s">
        <v>590</v>
      </c>
      <c r="G41" s="487">
        <v>2597</v>
      </c>
      <c r="H41" s="487">
        <v>900</v>
      </c>
      <c r="I41" s="487">
        <v>737</v>
      </c>
      <c r="J41" s="487">
        <v>960</v>
      </c>
      <c r="K41" s="242">
        <v>0.4416666666666666</v>
      </c>
      <c r="L41" s="122">
        <v>0.44166666666666665</v>
      </c>
      <c r="M41" s="243" t="s">
        <v>94</v>
      </c>
      <c r="N41" s="122">
        <v>0</v>
      </c>
      <c r="O41" s="301">
        <v>0</v>
      </c>
      <c r="P41" s="300">
        <v>4.86111119389534E-2</v>
      </c>
      <c r="Q41" s="294"/>
      <c r="R41" s="242">
        <v>0.49027777860562005</v>
      </c>
      <c r="S41" s="122">
        <v>0.49027777777777781</v>
      </c>
      <c r="T41" s="243" t="s">
        <v>94</v>
      </c>
      <c r="U41" s="122">
        <v>0</v>
      </c>
      <c r="V41" s="301">
        <v>0</v>
      </c>
      <c r="W41" s="300">
        <v>4.86111119389534E-2</v>
      </c>
      <c r="X41" s="122"/>
      <c r="Y41" s="294">
        <v>0</v>
      </c>
      <c r="Z41" s="242">
        <v>0.54166666749450898</v>
      </c>
      <c r="AA41" s="122">
        <v>0.54166666666666663</v>
      </c>
      <c r="AB41" s="243" t="s">
        <v>94</v>
      </c>
      <c r="AC41" s="122">
        <v>0</v>
      </c>
      <c r="AD41" s="301">
        <v>0</v>
      </c>
      <c r="AE41" s="300">
        <v>2.43055559694767E-2</v>
      </c>
      <c r="AF41" s="122"/>
      <c r="AG41" s="294">
        <v>0</v>
      </c>
      <c r="AH41" s="242">
        <v>0.56597222263614333</v>
      </c>
      <c r="AI41" s="122">
        <v>0.56597222222222221</v>
      </c>
      <c r="AJ41" s="243" t="s">
        <v>94</v>
      </c>
      <c r="AK41" s="122">
        <v>0</v>
      </c>
      <c r="AL41" s="301">
        <v>0</v>
      </c>
      <c r="AM41" s="300">
        <v>2.43055559694767E-2</v>
      </c>
      <c r="AN41" s="122"/>
      <c r="AO41" s="294">
        <v>0</v>
      </c>
      <c r="AP41" s="242">
        <v>0.59027777819169891</v>
      </c>
      <c r="AQ41" s="122">
        <v>0.59027777777777779</v>
      </c>
      <c r="AR41" s="243" t="s">
        <v>94</v>
      </c>
      <c r="AS41" s="122">
        <v>0</v>
      </c>
      <c r="AT41" s="301">
        <v>0</v>
      </c>
      <c r="AU41" s="300">
        <v>3.125E-2</v>
      </c>
      <c r="AV41" s="122"/>
      <c r="AW41" s="294">
        <v>0</v>
      </c>
      <c r="AX41" s="242">
        <v>0.62638888888888888</v>
      </c>
      <c r="AY41" s="122">
        <v>0.62638888888888888</v>
      </c>
      <c r="AZ41" s="243" t="s">
        <v>94</v>
      </c>
      <c r="BA41" s="122">
        <v>0</v>
      </c>
      <c r="BB41" s="301">
        <v>0</v>
      </c>
      <c r="BC41" s="300">
        <v>4.1666667908430099E-2</v>
      </c>
      <c r="BD41" s="122"/>
      <c r="BE41" s="294">
        <v>0</v>
      </c>
      <c r="BF41" s="242">
        <v>0.66805555679731898</v>
      </c>
      <c r="BG41" s="122">
        <v>0.66805555555555562</v>
      </c>
      <c r="BH41" s="243" t="s">
        <v>94</v>
      </c>
      <c r="BI41" s="122">
        <v>0</v>
      </c>
      <c r="BJ41" s="301">
        <v>0</v>
      </c>
      <c r="BK41" s="300">
        <v>2.777777798473835E-2</v>
      </c>
      <c r="BL41" s="122"/>
      <c r="BM41" s="294">
        <v>0</v>
      </c>
      <c r="BN41" s="242">
        <v>0.69583333354029397</v>
      </c>
      <c r="BO41" s="122">
        <v>0.69166666666666676</v>
      </c>
      <c r="BP41" s="243" t="s">
        <v>883</v>
      </c>
      <c r="BQ41" s="122">
        <v>4.1666626930236816E-3</v>
      </c>
      <c r="BR41" s="244">
        <v>0</v>
      </c>
      <c r="BS41" s="242">
        <v>0</v>
      </c>
      <c r="BT41" s="122">
        <v>0</v>
      </c>
      <c r="BU41" s="122">
        <v>0</v>
      </c>
      <c r="BV41" s="248">
        <v>53.8</v>
      </c>
      <c r="BW41" s="248">
        <v>0</v>
      </c>
      <c r="BX41" s="243">
        <v>0</v>
      </c>
      <c r="BY41" s="243">
        <v>0</v>
      </c>
      <c r="BZ41" s="243">
        <v>0</v>
      </c>
      <c r="CA41" s="463">
        <v>161.39999999999998</v>
      </c>
      <c r="CB41" s="242">
        <v>0.49305555555555558</v>
      </c>
      <c r="CC41" s="122">
        <v>0.49305555555555558</v>
      </c>
      <c r="CD41" s="122">
        <v>0</v>
      </c>
      <c r="CE41" s="122"/>
      <c r="CF41" s="122"/>
      <c r="CG41" s="247">
        <v>0.50084490740740739</v>
      </c>
      <c r="CH41" s="245">
        <v>0.50172453703703701</v>
      </c>
      <c r="CI41" s="240" t="s">
        <v>885</v>
      </c>
      <c r="CJ41" s="245">
        <v>8.7964534759521484E-4</v>
      </c>
      <c r="CK41" s="463">
        <v>76</v>
      </c>
      <c r="CL41" s="247">
        <v>0.51598379629629632</v>
      </c>
      <c r="CM41" s="245">
        <v>0.5157870370370371</v>
      </c>
      <c r="CN41" s="243" t="s">
        <v>883</v>
      </c>
      <c r="CO41" s="245">
        <v>1.9675493240356445E-4</v>
      </c>
      <c r="CP41" s="463">
        <v>17</v>
      </c>
      <c r="CQ41" s="242">
        <v>0.59513888888888888</v>
      </c>
      <c r="CR41" s="122">
        <v>0.59513888888888888</v>
      </c>
      <c r="CS41" s="122">
        <v>0</v>
      </c>
      <c r="CT41" s="122"/>
      <c r="CU41" s="122"/>
      <c r="CV41" s="247">
        <v>0.60209490740740745</v>
      </c>
      <c r="CW41" s="245">
        <v>0.60166666666666668</v>
      </c>
      <c r="CX41" s="240" t="s">
        <v>883</v>
      </c>
      <c r="CY41" s="245">
        <v>4.2819976806640625E-4</v>
      </c>
      <c r="CZ41" s="463">
        <v>37</v>
      </c>
      <c r="DA41" s="247">
        <v>0.60215277777777776</v>
      </c>
      <c r="DB41" s="245">
        <v>0.60207175925925926</v>
      </c>
      <c r="DC41" s="243" t="s">
        <v>883</v>
      </c>
      <c r="DD41" s="245">
        <v>8.1002712249755859E-5</v>
      </c>
      <c r="DE41" s="463">
        <v>7</v>
      </c>
      <c r="DF41" s="242">
        <v>0</v>
      </c>
      <c r="DG41" s="122">
        <v>0</v>
      </c>
      <c r="DH41" s="122">
        <v>0</v>
      </c>
      <c r="DI41" s="248">
        <v>46.2</v>
      </c>
      <c r="DJ41" s="248">
        <v>0</v>
      </c>
      <c r="DK41" s="243">
        <v>0</v>
      </c>
      <c r="DL41" s="243">
        <v>0</v>
      </c>
      <c r="DM41" s="243" t="s">
        <v>870</v>
      </c>
      <c r="DN41" s="463">
        <v>438.6</v>
      </c>
      <c r="DO41" s="249">
        <v>0</v>
      </c>
      <c r="DP41" s="246">
        <v>0</v>
      </c>
      <c r="DQ41" s="249">
        <v>0</v>
      </c>
      <c r="DR41" s="246">
        <v>960</v>
      </c>
      <c r="DS41" s="242">
        <v>0.67499999999999993</v>
      </c>
      <c r="DT41" s="244">
        <v>0</v>
      </c>
      <c r="DU41" s="242">
        <v>0</v>
      </c>
      <c r="DV41" s="244">
        <v>900</v>
      </c>
      <c r="DW41" s="459"/>
      <c r="DX41" s="459"/>
      <c r="DY41" s="459"/>
      <c r="DZ41" s="459"/>
      <c r="EA41" s="459"/>
      <c r="EB41" s="459"/>
      <c r="EC41" s="459"/>
      <c r="ED41" s="459"/>
      <c r="EE41" s="459"/>
      <c r="EF41" s="459"/>
      <c r="EG41" s="459"/>
      <c r="EH41" s="459"/>
      <c r="EI41" s="459"/>
      <c r="EJ41" s="459"/>
      <c r="EK41" s="459"/>
      <c r="EL41" s="459"/>
      <c r="EM41" s="459"/>
      <c r="EN41" s="459"/>
      <c r="EO41" s="459"/>
      <c r="EP41" s="459"/>
      <c r="EQ41" s="459"/>
      <c r="ER41" s="459"/>
      <c r="ES41" s="459"/>
      <c r="ET41" s="459"/>
      <c r="EU41" s="390" t="e">
        <v>#VALUE!</v>
      </c>
      <c r="EV41" s="391">
        <v>0</v>
      </c>
      <c r="EW41" s="392" t="e">
        <v>#VALUE!</v>
      </c>
      <c r="EX41" s="391">
        <v>0</v>
      </c>
      <c r="EY41" s="396">
        <v>900</v>
      </c>
      <c r="EZ41" s="390">
        <v>0</v>
      </c>
      <c r="FA41" s="391">
        <v>0</v>
      </c>
      <c r="FB41" s="391">
        <v>0</v>
      </c>
      <c r="FC41" s="401">
        <v>57.8</v>
      </c>
      <c r="FD41" s="401">
        <v>0</v>
      </c>
      <c r="FE41" s="401">
        <v>0</v>
      </c>
      <c r="FF41" s="392">
        <v>0</v>
      </c>
      <c r="FG41" s="392">
        <v>0</v>
      </c>
      <c r="FH41" s="462">
        <v>173.39999999999998</v>
      </c>
      <c r="FI41" s="403"/>
    </row>
    <row r="42" spans="1:165" s="236" customFormat="1" x14ac:dyDescent="0.25">
      <c r="A42" s="388">
        <v>42</v>
      </c>
      <c r="B42" s="389" t="s">
        <v>824</v>
      </c>
      <c r="C42" s="389" t="s">
        <v>827</v>
      </c>
      <c r="D42" s="389" t="s">
        <v>830</v>
      </c>
      <c r="E42" s="389" t="s">
        <v>6</v>
      </c>
      <c r="F42" s="389" t="s">
        <v>867</v>
      </c>
      <c r="G42" s="486">
        <v>2168.8000000000002</v>
      </c>
      <c r="H42" s="486">
        <v>960</v>
      </c>
      <c r="I42" s="486">
        <v>968.8</v>
      </c>
      <c r="J42" s="486">
        <v>240</v>
      </c>
      <c r="K42" s="390">
        <v>0.44236111111111104</v>
      </c>
      <c r="L42" s="391">
        <v>0.44236111111111115</v>
      </c>
      <c r="M42" s="392" t="s">
        <v>94</v>
      </c>
      <c r="N42" s="391">
        <v>0</v>
      </c>
      <c r="O42" s="393">
        <v>0</v>
      </c>
      <c r="P42" s="394">
        <v>4.86111119389534E-2</v>
      </c>
      <c r="Q42" s="395"/>
      <c r="R42" s="390">
        <v>0.49097222305006455</v>
      </c>
      <c r="S42" s="391">
        <v>0.49027777777777781</v>
      </c>
      <c r="T42" s="392" t="s">
        <v>883</v>
      </c>
      <c r="U42" s="391">
        <v>6.9445371627807617E-4</v>
      </c>
      <c r="V42" s="393">
        <v>60</v>
      </c>
      <c r="W42" s="394">
        <v>4.86111119389534E-2</v>
      </c>
      <c r="X42" s="391"/>
      <c r="Y42" s="395">
        <v>0</v>
      </c>
      <c r="Z42" s="390">
        <v>0.54236111193895331</v>
      </c>
      <c r="AA42" s="391">
        <v>0.54236111111111118</v>
      </c>
      <c r="AB42" s="392" t="s">
        <v>94</v>
      </c>
      <c r="AC42" s="391">
        <v>0</v>
      </c>
      <c r="AD42" s="393">
        <v>0</v>
      </c>
      <c r="AE42" s="394">
        <v>2.43055559694767E-2</v>
      </c>
      <c r="AF42" s="391"/>
      <c r="AG42" s="395">
        <v>0</v>
      </c>
      <c r="AH42" s="390">
        <v>0.56666666708058788</v>
      </c>
      <c r="AI42" s="391">
        <v>0.56666666666666665</v>
      </c>
      <c r="AJ42" s="392" t="s">
        <v>94</v>
      </c>
      <c r="AK42" s="391">
        <v>0</v>
      </c>
      <c r="AL42" s="393">
        <v>0</v>
      </c>
      <c r="AM42" s="394">
        <v>2.43055559694767E-2</v>
      </c>
      <c r="AN42" s="391"/>
      <c r="AO42" s="395">
        <v>0</v>
      </c>
      <c r="AP42" s="390">
        <v>0.59097222263614335</v>
      </c>
      <c r="AQ42" s="391">
        <v>0.59097222222222223</v>
      </c>
      <c r="AR42" s="392" t="s">
        <v>94</v>
      </c>
      <c r="AS42" s="391">
        <v>0</v>
      </c>
      <c r="AT42" s="393">
        <v>0</v>
      </c>
      <c r="AU42" s="394">
        <v>3.125E-2</v>
      </c>
      <c r="AV42" s="391"/>
      <c r="AW42" s="395">
        <v>0</v>
      </c>
      <c r="AX42" s="390">
        <v>0.62708333333333333</v>
      </c>
      <c r="AY42" s="391">
        <v>0.62708333333333333</v>
      </c>
      <c r="AZ42" s="392" t="s">
        <v>94</v>
      </c>
      <c r="BA42" s="391">
        <v>0</v>
      </c>
      <c r="BB42" s="393">
        <v>0</v>
      </c>
      <c r="BC42" s="394">
        <v>4.1666667908430099E-2</v>
      </c>
      <c r="BD42" s="391"/>
      <c r="BE42" s="395">
        <v>0</v>
      </c>
      <c r="BF42" s="390">
        <v>0.66875000124176343</v>
      </c>
      <c r="BG42" s="391">
        <v>0.66875000000000007</v>
      </c>
      <c r="BH42" s="392" t="s">
        <v>94</v>
      </c>
      <c r="BI42" s="391">
        <v>0</v>
      </c>
      <c r="BJ42" s="393">
        <v>0</v>
      </c>
      <c r="BK42" s="394">
        <v>2.777777798473835E-2</v>
      </c>
      <c r="BL42" s="391"/>
      <c r="BM42" s="395">
        <v>0</v>
      </c>
      <c r="BN42" s="390">
        <v>0.69652777798473842</v>
      </c>
      <c r="BO42" s="391">
        <v>0.69305555555555554</v>
      </c>
      <c r="BP42" s="392" t="s">
        <v>883</v>
      </c>
      <c r="BQ42" s="391">
        <v>3.4722089767456055E-3</v>
      </c>
      <c r="BR42" s="396">
        <v>0</v>
      </c>
      <c r="BS42" s="390">
        <v>0</v>
      </c>
      <c r="BT42" s="391">
        <v>0</v>
      </c>
      <c r="BU42" s="391">
        <v>0</v>
      </c>
      <c r="BV42" s="401">
        <v>57.8</v>
      </c>
      <c r="BW42" s="401">
        <v>0</v>
      </c>
      <c r="BX42" s="392">
        <v>0</v>
      </c>
      <c r="BY42" s="392">
        <v>0</v>
      </c>
      <c r="BZ42" s="392">
        <v>0</v>
      </c>
      <c r="CA42" s="462">
        <v>173.39999999999998</v>
      </c>
      <c r="CB42" s="390">
        <v>0.49374999999999997</v>
      </c>
      <c r="CC42" s="391">
        <v>0.49374999999999997</v>
      </c>
      <c r="CD42" s="391">
        <v>0</v>
      </c>
      <c r="CE42" s="391"/>
      <c r="CF42" s="391"/>
      <c r="CG42" s="397">
        <v>0.50153935185185183</v>
      </c>
      <c r="CH42" s="398">
        <v>0.5019675925925926</v>
      </c>
      <c r="CI42" s="399" t="s">
        <v>885</v>
      </c>
      <c r="CJ42" s="398">
        <v>4.2825937271118164E-4</v>
      </c>
      <c r="CK42" s="462">
        <v>37</v>
      </c>
      <c r="CL42" s="397">
        <v>0.51622685185185191</v>
      </c>
      <c r="CM42" s="398">
        <v>0.51790509259259265</v>
      </c>
      <c r="CN42" s="392" t="s">
        <v>885</v>
      </c>
      <c r="CO42" s="398">
        <v>1.6782879829406738E-3</v>
      </c>
      <c r="CP42" s="462">
        <v>145</v>
      </c>
      <c r="CQ42" s="390">
        <v>0.59583333333333333</v>
      </c>
      <c r="CR42" s="391">
        <v>0.59583333333333333</v>
      </c>
      <c r="CS42" s="391">
        <v>0</v>
      </c>
      <c r="CT42" s="391"/>
      <c r="CU42" s="391"/>
      <c r="CV42" s="397">
        <v>0.6027893518518519</v>
      </c>
      <c r="CW42" s="398">
        <v>0.60402777777777772</v>
      </c>
      <c r="CX42" s="399" t="s">
        <v>885</v>
      </c>
      <c r="CY42" s="398">
        <v>1.238405704498291E-3</v>
      </c>
      <c r="CZ42" s="462">
        <v>107</v>
      </c>
      <c r="DA42" s="397">
        <v>0.6045138888888888</v>
      </c>
      <c r="DB42" s="398">
        <v>0.60468749999999993</v>
      </c>
      <c r="DC42" s="392" t="s">
        <v>885</v>
      </c>
      <c r="DD42" s="398">
        <v>1.7362833023071289E-4</v>
      </c>
      <c r="DE42" s="462">
        <v>15</v>
      </c>
      <c r="DF42" s="390">
        <v>0</v>
      </c>
      <c r="DG42" s="391">
        <v>0</v>
      </c>
      <c r="DH42" s="391">
        <v>0</v>
      </c>
      <c r="DI42" s="401">
        <v>43.8</v>
      </c>
      <c r="DJ42" s="401">
        <v>0</v>
      </c>
      <c r="DK42" s="392">
        <v>0</v>
      </c>
      <c r="DL42" s="392" t="s">
        <v>870</v>
      </c>
      <c r="DM42" s="392" t="s">
        <v>870</v>
      </c>
      <c r="DN42" s="462">
        <v>491.4</v>
      </c>
      <c r="DO42" s="402">
        <v>0</v>
      </c>
      <c r="DP42" s="400">
        <v>0</v>
      </c>
      <c r="DQ42" s="402">
        <v>0</v>
      </c>
      <c r="DR42" s="400">
        <v>240</v>
      </c>
      <c r="DS42" s="390">
        <v>0.67569444444444438</v>
      </c>
      <c r="DT42" s="396">
        <v>0</v>
      </c>
      <c r="DU42" s="390">
        <v>0</v>
      </c>
      <c r="DV42" s="396">
        <v>900</v>
      </c>
      <c r="DW42" s="459"/>
      <c r="DX42" s="459"/>
      <c r="DY42" s="459"/>
      <c r="DZ42" s="459"/>
      <c r="EA42" s="459"/>
      <c r="EB42" s="459"/>
      <c r="EC42" s="459"/>
      <c r="ED42" s="459"/>
      <c r="EE42" s="459"/>
      <c r="EF42" s="459"/>
      <c r="EG42" s="459"/>
      <c r="EH42" s="459"/>
      <c r="EI42" s="459"/>
      <c r="EJ42" s="459"/>
      <c r="EK42" s="459"/>
      <c r="EL42" s="459"/>
      <c r="EM42" s="459"/>
      <c r="EN42" s="459"/>
      <c r="EO42" s="459"/>
      <c r="EP42" s="459"/>
      <c r="EQ42" s="459"/>
      <c r="ER42" s="459"/>
      <c r="ES42" s="459"/>
      <c r="ET42" s="459"/>
      <c r="EU42" s="390" t="e">
        <v>#VALUE!</v>
      </c>
      <c r="EV42" s="391">
        <v>0</v>
      </c>
      <c r="EW42" s="392" t="e">
        <v>#VALUE!</v>
      </c>
      <c r="EX42" s="391">
        <v>0</v>
      </c>
      <c r="EY42" s="396">
        <v>900</v>
      </c>
      <c r="EZ42" s="390">
        <v>0</v>
      </c>
      <c r="FA42" s="391">
        <v>0</v>
      </c>
      <c r="FB42" s="391">
        <v>0</v>
      </c>
      <c r="FC42" s="401">
        <v>83.7</v>
      </c>
      <c r="FD42" s="401">
        <v>0</v>
      </c>
      <c r="FE42" s="401">
        <v>0</v>
      </c>
      <c r="FF42" s="392">
        <v>0</v>
      </c>
      <c r="FG42" s="392" t="s">
        <v>870</v>
      </c>
      <c r="FH42" s="462">
        <v>311.10000000000002</v>
      </c>
      <c r="FI42" s="403"/>
    </row>
    <row r="43" spans="1:165" s="20" customFormat="1" x14ac:dyDescent="0.25">
      <c r="A43" s="253">
        <v>43</v>
      </c>
      <c r="B43" s="241" t="s">
        <v>825</v>
      </c>
      <c r="C43" s="241" t="s">
        <v>829</v>
      </c>
      <c r="D43" s="241" t="s">
        <v>831</v>
      </c>
      <c r="E43" s="241" t="s">
        <v>6</v>
      </c>
      <c r="F43" s="241" t="s">
        <v>867</v>
      </c>
      <c r="G43" s="487">
        <v>2697.8</v>
      </c>
      <c r="H43" s="487">
        <v>1020</v>
      </c>
      <c r="I43" s="487">
        <v>1197.8</v>
      </c>
      <c r="J43" s="487">
        <v>480</v>
      </c>
      <c r="K43" s="242">
        <v>0.44305555555555548</v>
      </c>
      <c r="L43" s="122">
        <v>0.44305555555555554</v>
      </c>
      <c r="M43" s="243" t="s">
        <v>94</v>
      </c>
      <c r="N43" s="122">
        <v>0</v>
      </c>
      <c r="O43" s="301">
        <v>0</v>
      </c>
      <c r="P43" s="300">
        <v>4.86111119389534E-2</v>
      </c>
      <c r="Q43" s="294"/>
      <c r="R43" s="242">
        <v>0.49166666749450894</v>
      </c>
      <c r="S43" s="122">
        <v>0.4916666666666667</v>
      </c>
      <c r="T43" s="243" t="s">
        <v>94</v>
      </c>
      <c r="U43" s="122">
        <v>0</v>
      </c>
      <c r="V43" s="301">
        <v>0</v>
      </c>
      <c r="W43" s="300">
        <v>4.86111119389534E-2</v>
      </c>
      <c r="X43" s="122"/>
      <c r="Y43" s="294">
        <v>0</v>
      </c>
      <c r="Z43" s="242">
        <v>0.54375000082784219</v>
      </c>
      <c r="AA43" s="122">
        <v>0.54305555555555551</v>
      </c>
      <c r="AB43" s="243" t="s">
        <v>883</v>
      </c>
      <c r="AC43" s="122">
        <v>6.9445371627807617E-4</v>
      </c>
      <c r="AD43" s="301">
        <v>60</v>
      </c>
      <c r="AE43" s="300">
        <v>2.43055559694767E-2</v>
      </c>
      <c r="AF43" s="122"/>
      <c r="AG43" s="294">
        <v>0</v>
      </c>
      <c r="AH43" s="242">
        <v>0.56736111152503221</v>
      </c>
      <c r="AI43" s="122">
        <v>0.56805555555555554</v>
      </c>
      <c r="AJ43" s="243" t="s">
        <v>885</v>
      </c>
      <c r="AK43" s="122">
        <v>6.9445371627807617E-4</v>
      </c>
      <c r="AL43" s="301">
        <v>60</v>
      </c>
      <c r="AM43" s="300">
        <v>2.43055559694767E-2</v>
      </c>
      <c r="AN43" s="122"/>
      <c r="AO43" s="294">
        <v>0</v>
      </c>
      <c r="AP43" s="242">
        <v>0.59236111152503224</v>
      </c>
      <c r="AQ43" s="122">
        <v>0.59236111111111112</v>
      </c>
      <c r="AR43" s="243" t="s">
        <v>94</v>
      </c>
      <c r="AS43" s="122">
        <v>0</v>
      </c>
      <c r="AT43" s="301">
        <v>0</v>
      </c>
      <c r="AU43" s="300">
        <v>3.125E-2</v>
      </c>
      <c r="AV43" s="122"/>
      <c r="AW43" s="294">
        <v>0</v>
      </c>
      <c r="AX43" s="242">
        <v>0.62847222222222221</v>
      </c>
      <c r="AY43" s="122">
        <v>0.62847222222222221</v>
      </c>
      <c r="AZ43" s="243" t="s">
        <v>94</v>
      </c>
      <c r="BA43" s="122">
        <v>0</v>
      </c>
      <c r="BB43" s="301">
        <v>0</v>
      </c>
      <c r="BC43" s="300">
        <v>4.1666667908430099E-2</v>
      </c>
      <c r="BD43" s="122"/>
      <c r="BE43" s="294">
        <v>0</v>
      </c>
      <c r="BF43" s="242">
        <v>0.67013889013065231</v>
      </c>
      <c r="BG43" s="122">
        <v>0.67013888888888884</v>
      </c>
      <c r="BH43" s="243" t="s">
        <v>94</v>
      </c>
      <c r="BI43" s="122">
        <v>0</v>
      </c>
      <c r="BJ43" s="301">
        <v>0</v>
      </c>
      <c r="BK43" s="300">
        <v>2.777777798473835E-2</v>
      </c>
      <c r="BL43" s="122"/>
      <c r="BM43" s="294">
        <v>0</v>
      </c>
      <c r="BN43" s="242">
        <v>0.69791666687362719</v>
      </c>
      <c r="BO43" s="122">
        <v>0.69513888888888886</v>
      </c>
      <c r="BP43" s="243" t="s">
        <v>883</v>
      </c>
      <c r="BQ43" s="122">
        <v>2.7778148651123047E-3</v>
      </c>
      <c r="BR43" s="244">
        <v>0</v>
      </c>
      <c r="BS43" s="242">
        <v>0</v>
      </c>
      <c r="BT43" s="122">
        <v>0</v>
      </c>
      <c r="BU43" s="122">
        <v>0</v>
      </c>
      <c r="BV43" s="248">
        <v>67.8</v>
      </c>
      <c r="BW43" s="248">
        <v>1</v>
      </c>
      <c r="BX43" s="243">
        <v>0</v>
      </c>
      <c r="BY43" s="243">
        <v>0</v>
      </c>
      <c r="BZ43" s="243">
        <v>0</v>
      </c>
      <c r="CA43" s="463">
        <v>218.39999999999998</v>
      </c>
      <c r="CB43" s="242">
        <v>0.49513888888888885</v>
      </c>
      <c r="CC43" s="122">
        <v>0.49513888888888885</v>
      </c>
      <c r="CD43" s="122">
        <v>0</v>
      </c>
      <c r="CE43" s="122"/>
      <c r="CF43" s="122"/>
      <c r="CG43" s="247">
        <v>0.50292824074074072</v>
      </c>
      <c r="CH43" s="245">
        <v>0.50511574074074073</v>
      </c>
      <c r="CI43" s="240" t="s">
        <v>885</v>
      </c>
      <c r="CJ43" s="245">
        <v>2.1874904632568359E-3</v>
      </c>
      <c r="CK43" s="463">
        <v>189</v>
      </c>
      <c r="CL43" s="247">
        <v>0.51937500000000003</v>
      </c>
      <c r="CM43" s="245">
        <v>0.52195601851851847</v>
      </c>
      <c r="CN43" s="243" t="s">
        <v>885</v>
      </c>
      <c r="CO43" s="245">
        <v>2.5810003280639648E-3</v>
      </c>
      <c r="CP43" s="463">
        <v>223</v>
      </c>
      <c r="CQ43" s="242">
        <v>0.59722222222222221</v>
      </c>
      <c r="CR43" s="122">
        <v>0.59722222222222221</v>
      </c>
      <c r="CS43" s="122">
        <v>0</v>
      </c>
      <c r="CT43" s="122"/>
      <c r="CU43" s="122"/>
      <c r="CV43" s="247">
        <v>0.60417824074074078</v>
      </c>
      <c r="CW43" s="245">
        <v>0.60560185185185189</v>
      </c>
      <c r="CX43" s="240" t="s">
        <v>885</v>
      </c>
      <c r="CY43" s="245">
        <v>1.4235973358154297E-3</v>
      </c>
      <c r="CZ43" s="463">
        <v>123</v>
      </c>
      <c r="DA43" s="247">
        <v>0.60608796296296297</v>
      </c>
      <c r="DB43" s="245">
        <v>0.6060416666666667</v>
      </c>
      <c r="DC43" s="243" t="s">
        <v>883</v>
      </c>
      <c r="DD43" s="245">
        <v>4.6312808990478516E-5</v>
      </c>
      <c r="DE43" s="463">
        <v>4</v>
      </c>
      <c r="DF43" s="242">
        <v>0</v>
      </c>
      <c r="DG43" s="122">
        <v>0</v>
      </c>
      <c r="DH43" s="122">
        <v>0</v>
      </c>
      <c r="DI43" s="248">
        <v>46.8</v>
      </c>
      <c r="DJ43" s="248">
        <v>0</v>
      </c>
      <c r="DK43" s="243">
        <v>0</v>
      </c>
      <c r="DL43" s="243">
        <v>0</v>
      </c>
      <c r="DM43" s="243" t="s">
        <v>870</v>
      </c>
      <c r="DN43" s="463">
        <v>440.4</v>
      </c>
      <c r="DO43" s="249">
        <v>0</v>
      </c>
      <c r="DP43" s="246">
        <v>0</v>
      </c>
      <c r="DQ43" s="249">
        <v>0</v>
      </c>
      <c r="DR43" s="246">
        <v>480</v>
      </c>
      <c r="DS43" s="242">
        <v>0.6791666666666667</v>
      </c>
      <c r="DT43" s="244">
        <v>0</v>
      </c>
      <c r="DU43" s="242">
        <v>0</v>
      </c>
      <c r="DV43" s="244">
        <v>900</v>
      </c>
      <c r="DW43" s="459"/>
      <c r="DX43" s="459"/>
      <c r="DY43" s="459"/>
      <c r="DZ43" s="459"/>
      <c r="EA43" s="459"/>
      <c r="EB43" s="459"/>
      <c r="EC43" s="459"/>
      <c r="ED43" s="459"/>
      <c r="EE43" s="459"/>
      <c r="EF43" s="459"/>
      <c r="EG43" s="459"/>
      <c r="EH43" s="459"/>
      <c r="EI43" s="459"/>
      <c r="EJ43" s="459"/>
      <c r="EK43" s="459"/>
      <c r="EL43" s="459"/>
      <c r="EM43" s="459"/>
      <c r="EN43" s="459"/>
      <c r="EO43" s="459"/>
      <c r="EP43" s="459"/>
      <c r="EQ43" s="459"/>
      <c r="ER43" s="459"/>
      <c r="ES43" s="459"/>
      <c r="ET43" s="459"/>
      <c r="EU43" s="242" t="e">
        <v>#VALUE!</v>
      </c>
      <c r="EV43" s="122">
        <v>0</v>
      </c>
      <c r="EW43" s="243" t="e">
        <v>#VALUE!</v>
      </c>
      <c r="EX43" s="122">
        <v>0</v>
      </c>
      <c r="EY43" s="244">
        <v>900</v>
      </c>
      <c r="EZ43" s="242">
        <v>0</v>
      </c>
      <c r="FA43" s="122">
        <v>0</v>
      </c>
      <c r="FB43" s="122">
        <v>0</v>
      </c>
      <c r="FC43" s="248">
        <v>59.4</v>
      </c>
      <c r="FD43" s="248">
        <v>1</v>
      </c>
      <c r="FE43" s="248">
        <v>0</v>
      </c>
      <c r="FF43" s="243">
        <v>0</v>
      </c>
      <c r="FG43" s="243">
        <v>0</v>
      </c>
      <c r="FH43" s="463">
        <v>193.2</v>
      </c>
    </row>
    <row r="44" spans="1:165" s="236" customFormat="1" x14ac:dyDescent="0.25">
      <c r="A44" s="388">
        <v>44</v>
      </c>
      <c r="B44" s="389" t="s">
        <v>832</v>
      </c>
      <c r="C44" s="389" t="s">
        <v>834</v>
      </c>
      <c r="D44" s="389" t="s">
        <v>836</v>
      </c>
      <c r="E44" s="389" t="s">
        <v>6</v>
      </c>
      <c r="F44" s="389" t="s">
        <v>867</v>
      </c>
      <c r="G44" s="486">
        <v>2107.6</v>
      </c>
      <c r="H44" s="486">
        <v>600</v>
      </c>
      <c r="I44" s="486">
        <v>907.6</v>
      </c>
      <c r="J44" s="486">
        <v>600</v>
      </c>
      <c r="K44" s="390">
        <v>0.44374999999999992</v>
      </c>
      <c r="L44" s="391">
        <v>0.44375000000000003</v>
      </c>
      <c r="M44" s="392" t="s">
        <v>94</v>
      </c>
      <c r="N44" s="391">
        <v>0</v>
      </c>
      <c r="O44" s="393">
        <v>0</v>
      </c>
      <c r="P44" s="394">
        <v>4.86111119389534E-2</v>
      </c>
      <c r="Q44" s="395"/>
      <c r="R44" s="390">
        <v>0.49236111193895343</v>
      </c>
      <c r="S44" s="391">
        <v>0.4909722222222222</v>
      </c>
      <c r="T44" s="392" t="s">
        <v>883</v>
      </c>
      <c r="U44" s="391">
        <v>1.3888776302337646E-3</v>
      </c>
      <c r="V44" s="393">
        <v>120</v>
      </c>
      <c r="W44" s="394">
        <v>4.86111119389534E-2</v>
      </c>
      <c r="X44" s="391"/>
      <c r="Y44" s="395">
        <v>0</v>
      </c>
      <c r="Z44" s="390">
        <v>0.54305555638339786</v>
      </c>
      <c r="AA44" s="391">
        <v>0.54305555555555551</v>
      </c>
      <c r="AB44" s="392" t="s">
        <v>94</v>
      </c>
      <c r="AC44" s="391">
        <v>0</v>
      </c>
      <c r="AD44" s="393">
        <v>0</v>
      </c>
      <c r="AE44" s="394">
        <v>2.43055559694767E-2</v>
      </c>
      <c r="AF44" s="391"/>
      <c r="AG44" s="395">
        <v>0</v>
      </c>
      <c r="AH44" s="390">
        <v>0.56736111152503221</v>
      </c>
      <c r="AI44" s="391">
        <v>0.56736111111111109</v>
      </c>
      <c r="AJ44" s="392" t="s">
        <v>94</v>
      </c>
      <c r="AK44" s="391">
        <v>0</v>
      </c>
      <c r="AL44" s="393">
        <v>0</v>
      </c>
      <c r="AM44" s="394">
        <v>2.43055559694767E-2</v>
      </c>
      <c r="AN44" s="391"/>
      <c r="AO44" s="395">
        <v>0</v>
      </c>
      <c r="AP44" s="390">
        <v>0.59166666708058779</v>
      </c>
      <c r="AQ44" s="391">
        <v>0.59166666666666667</v>
      </c>
      <c r="AR44" s="392" t="s">
        <v>94</v>
      </c>
      <c r="AS44" s="391">
        <v>0</v>
      </c>
      <c r="AT44" s="393">
        <v>0</v>
      </c>
      <c r="AU44" s="394">
        <v>3.125E-2</v>
      </c>
      <c r="AV44" s="391"/>
      <c r="AW44" s="395">
        <v>0</v>
      </c>
      <c r="AX44" s="390">
        <v>0.62777777777777777</v>
      </c>
      <c r="AY44" s="391">
        <v>0.62777777777777777</v>
      </c>
      <c r="AZ44" s="392" t="s">
        <v>94</v>
      </c>
      <c r="BA44" s="391">
        <v>0</v>
      </c>
      <c r="BB44" s="393">
        <v>0</v>
      </c>
      <c r="BC44" s="394">
        <v>4.1666667908430099E-2</v>
      </c>
      <c r="BD44" s="391"/>
      <c r="BE44" s="395">
        <v>0</v>
      </c>
      <c r="BF44" s="390">
        <v>0.66944444568620787</v>
      </c>
      <c r="BG44" s="391">
        <v>0.6694444444444444</v>
      </c>
      <c r="BH44" s="392" t="s">
        <v>94</v>
      </c>
      <c r="BI44" s="391">
        <v>0</v>
      </c>
      <c r="BJ44" s="393">
        <v>0</v>
      </c>
      <c r="BK44" s="394">
        <v>2.777777798473835E-2</v>
      </c>
      <c r="BL44" s="391"/>
      <c r="BM44" s="395">
        <v>0</v>
      </c>
      <c r="BN44" s="390">
        <v>0.69722222242918275</v>
      </c>
      <c r="BO44" s="391">
        <v>0.70277777777777783</v>
      </c>
      <c r="BP44" s="392" t="s">
        <v>885</v>
      </c>
      <c r="BQ44" s="391">
        <v>5.555570125579834E-3</v>
      </c>
      <c r="BR44" s="396">
        <v>480</v>
      </c>
      <c r="BS44" s="390">
        <v>0</v>
      </c>
      <c r="BT44" s="391">
        <v>0</v>
      </c>
      <c r="BU44" s="391">
        <v>0</v>
      </c>
      <c r="BV44" s="401">
        <v>83.7</v>
      </c>
      <c r="BW44" s="401">
        <v>0</v>
      </c>
      <c r="BX44" s="392">
        <v>0</v>
      </c>
      <c r="BY44" s="392">
        <v>0</v>
      </c>
      <c r="BZ44" s="392" t="s">
        <v>870</v>
      </c>
      <c r="CA44" s="462">
        <v>551.1</v>
      </c>
      <c r="CB44" s="390">
        <v>0.49444444444444446</v>
      </c>
      <c r="CC44" s="391">
        <v>0.49444444444444446</v>
      </c>
      <c r="CD44" s="391">
        <v>0</v>
      </c>
      <c r="CE44" s="391"/>
      <c r="CF44" s="391"/>
      <c r="CG44" s="397">
        <v>0.50223379629629628</v>
      </c>
      <c r="CH44" s="398">
        <v>0.50262731481481482</v>
      </c>
      <c r="CI44" s="399" t="s">
        <v>885</v>
      </c>
      <c r="CJ44" s="398">
        <v>3.9350986480712891E-4</v>
      </c>
      <c r="CK44" s="462">
        <v>34</v>
      </c>
      <c r="CL44" s="397">
        <v>0.51688657407407412</v>
      </c>
      <c r="CM44" s="398">
        <v>0.51689814814814816</v>
      </c>
      <c r="CN44" s="392" t="s">
        <v>885</v>
      </c>
      <c r="CO44" s="398">
        <v>1.1563301086425781E-5</v>
      </c>
      <c r="CP44" s="462">
        <v>1</v>
      </c>
      <c r="CQ44" s="390">
        <v>0.59652777777777777</v>
      </c>
      <c r="CR44" s="391">
        <v>0.59652777777777777</v>
      </c>
      <c r="CS44" s="391">
        <v>0</v>
      </c>
      <c r="CT44" s="391"/>
      <c r="CU44" s="391"/>
      <c r="CV44" s="397">
        <v>0.60348379629629634</v>
      </c>
      <c r="CW44" s="398">
        <v>0.6045949074074074</v>
      </c>
      <c r="CX44" s="399" t="s">
        <v>885</v>
      </c>
      <c r="CY44" s="398">
        <v>1.1110901832580566E-3</v>
      </c>
      <c r="CZ44" s="462">
        <v>96</v>
      </c>
      <c r="DA44" s="397">
        <v>0.60508101851851848</v>
      </c>
      <c r="DB44" s="398">
        <v>0.6050578703703704</v>
      </c>
      <c r="DC44" s="392" t="s">
        <v>883</v>
      </c>
      <c r="DD44" s="398">
        <v>2.3126602172851563E-5</v>
      </c>
      <c r="DE44" s="462">
        <v>2</v>
      </c>
      <c r="DF44" s="390">
        <v>0</v>
      </c>
      <c r="DG44" s="391">
        <v>0</v>
      </c>
      <c r="DH44" s="391">
        <v>0</v>
      </c>
      <c r="DI44" s="401">
        <v>69.5</v>
      </c>
      <c r="DJ44" s="401">
        <v>1</v>
      </c>
      <c r="DK44" s="392">
        <v>0</v>
      </c>
      <c r="DL44" s="392">
        <v>0</v>
      </c>
      <c r="DM44" s="392">
        <v>0</v>
      </c>
      <c r="DN44" s="462">
        <v>223.5</v>
      </c>
      <c r="DO44" s="402">
        <v>0</v>
      </c>
      <c r="DP44" s="400">
        <v>0</v>
      </c>
      <c r="DQ44" s="402">
        <v>0</v>
      </c>
      <c r="DR44" s="400">
        <v>600</v>
      </c>
      <c r="DS44" s="390">
        <v>0.68402777777777779</v>
      </c>
      <c r="DT44" s="396">
        <v>0</v>
      </c>
      <c r="DU44" s="390">
        <v>0.6972222222222223</v>
      </c>
      <c r="DV44" s="396">
        <v>0</v>
      </c>
      <c r="DW44" s="459"/>
      <c r="DX44" s="459"/>
      <c r="DY44" s="459"/>
      <c r="DZ44" s="459"/>
      <c r="EA44" s="459"/>
      <c r="EB44" s="459"/>
      <c r="EC44" s="459"/>
      <c r="ED44" s="459"/>
      <c r="EE44" s="459"/>
      <c r="EF44" s="459"/>
      <c r="EG44" s="459"/>
      <c r="EH44" s="459"/>
      <c r="EI44" s="459"/>
      <c r="EJ44" s="459"/>
      <c r="EK44" s="459"/>
      <c r="EL44" s="459"/>
      <c r="EM44" s="459"/>
      <c r="EN44" s="459"/>
      <c r="EO44" s="459"/>
      <c r="EP44" s="459"/>
      <c r="EQ44" s="459"/>
      <c r="ER44" s="459"/>
      <c r="ES44" s="459"/>
      <c r="ET44" s="459"/>
      <c r="EU44" s="390" t="e">
        <v>#VALUE!</v>
      </c>
      <c r="EV44" s="391">
        <v>0</v>
      </c>
      <c r="EW44" s="392" t="e">
        <v>#VALUE!</v>
      </c>
      <c r="EX44" s="391">
        <v>0</v>
      </c>
      <c r="EY44" s="396">
        <v>900</v>
      </c>
      <c r="EZ44" s="390">
        <v>0</v>
      </c>
      <c r="FA44" s="391">
        <v>0</v>
      </c>
      <c r="FB44" s="391">
        <v>0</v>
      </c>
      <c r="FC44" s="401">
        <v>55.2</v>
      </c>
      <c r="FD44" s="401">
        <v>0</v>
      </c>
      <c r="FE44" s="401">
        <v>0</v>
      </c>
      <c r="FF44" s="392">
        <v>0</v>
      </c>
      <c r="FG44" s="392">
        <v>0</v>
      </c>
      <c r="FH44" s="462">
        <v>165.60000000000002</v>
      </c>
      <c r="FI44" s="403"/>
    </row>
    <row r="45" spans="1:165" s="20" customFormat="1" x14ac:dyDescent="0.25">
      <c r="A45" s="253">
        <v>45</v>
      </c>
      <c r="B45" s="241" t="s">
        <v>838</v>
      </c>
      <c r="C45" s="241" t="s">
        <v>843</v>
      </c>
      <c r="D45" s="241" t="s">
        <v>846</v>
      </c>
      <c r="E45" s="241" t="s">
        <v>844</v>
      </c>
      <c r="F45" s="241" t="s">
        <v>590</v>
      </c>
      <c r="G45" s="487">
        <v>3009.1</v>
      </c>
      <c r="H45" s="487">
        <v>900</v>
      </c>
      <c r="I45" s="487">
        <v>1269.0999999999999</v>
      </c>
      <c r="J45" s="487">
        <v>840</v>
      </c>
      <c r="K45" s="242">
        <v>0.44444444444444436</v>
      </c>
      <c r="L45" s="122">
        <v>0.44444444444444442</v>
      </c>
      <c r="M45" s="243" t="s">
        <v>94</v>
      </c>
      <c r="N45" s="122">
        <v>0</v>
      </c>
      <c r="O45" s="301">
        <v>0</v>
      </c>
      <c r="P45" s="300">
        <v>4.86111119389534E-2</v>
      </c>
      <c r="Q45" s="294"/>
      <c r="R45" s="242">
        <v>0.49305555638339782</v>
      </c>
      <c r="S45" s="122">
        <v>0.49305555555555558</v>
      </c>
      <c r="T45" s="243" t="s">
        <v>94</v>
      </c>
      <c r="U45" s="122">
        <v>0</v>
      </c>
      <c r="V45" s="301">
        <v>0</v>
      </c>
      <c r="W45" s="300">
        <v>4.86111119389534E-2</v>
      </c>
      <c r="X45" s="122"/>
      <c r="Y45" s="294">
        <v>0</v>
      </c>
      <c r="Z45" s="242">
        <v>0.54513888971673108</v>
      </c>
      <c r="AA45" s="122">
        <v>0.54513888888888895</v>
      </c>
      <c r="AB45" s="243" t="s">
        <v>94</v>
      </c>
      <c r="AC45" s="122">
        <v>0</v>
      </c>
      <c r="AD45" s="301">
        <v>0</v>
      </c>
      <c r="AE45" s="300">
        <v>2.43055559694767E-2</v>
      </c>
      <c r="AF45" s="122"/>
      <c r="AG45" s="294">
        <v>0</v>
      </c>
      <c r="AH45" s="242">
        <v>0.56944444485836565</v>
      </c>
      <c r="AI45" s="122">
        <v>0.56944444444444442</v>
      </c>
      <c r="AJ45" s="243" t="s">
        <v>94</v>
      </c>
      <c r="AK45" s="122">
        <v>0</v>
      </c>
      <c r="AL45" s="301">
        <v>0</v>
      </c>
      <c r="AM45" s="300">
        <v>2.43055559694767E-2</v>
      </c>
      <c r="AN45" s="122"/>
      <c r="AO45" s="294">
        <v>0</v>
      </c>
      <c r="AP45" s="242">
        <v>0.59375000041392112</v>
      </c>
      <c r="AQ45" s="122">
        <v>0.59375</v>
      </c>
      <c r="AR45" s="243" t="s">
        <v>94</v>
      </c>
      <c r="AS45" s="122">
        <v>0</v>
      </c>
      <c r="AT45" s="301">
        <v>0</v>
      </c>
      <c r="AU45" s="300">
        <v>3.125E-2</v>
      </c>
      <c r="AV45" s="122"/>
      <c r="AW45" s="294">
        <v>0</v>
      </c>
      <c r="AX45" s="242">
        <v>0.62916666666666665</v>
      </c>
      <c r="AY45" s="122">
        <v>0.62916666666666665</v>
      </c>
      <c r="AZ45" s="243" t="s">
        <v>94</v>
      </c>
      <c r="BA45" s="122">
        <v>0</v>
      </c>
      <c r="BB45" s="301">
        <v>0</v>
      </c>
      <c r="BC45" s="300">
        <v>4.1666667908430099E-2</v>
      </c>
      <c r="BD45" s="122"/>
      <c r="BE45" s="294">
        <v>0</v>
      </c>
      <c r="BF45" s="242">
        <v>0.67083333457509675</v>
      </c>
      <c r="BG45" s="122">
        <v>0.67083333333333339</v>
      </c>
      <c r="BH45" s="243" t="s">
        <v>94</v>
      </c>
      <c r="BI45" s="122">
        <v>0</v>
      </c>
      <c r="BJ45" s="301">
        <v>0</v>
      </c>
      <c r="BK45" s="300">
        <v>2.777777798473835E-2</v>
      </c>
      <c r="BL45" s="122"/>
      <c r="BM45" s="294">
        <v>0</v>
      </c>
      <c r="BN45" s="242">
        <v>0.69861111131807174</v>
      </c>
      <c r="BO45" s="122">
        <v>0.69930555555555562</v>
      </c>
      <c r="BP45" s="243" t="s">
        <v>94</v>
      </c>
      <c r="BQ45" s="122">
        <v>6.9439411163330078E-4</v>
      </c>
      <c r="BR45" s="244">
        <v>0</v>
      </c>
      <c r="BS45" s="242">
        <v>0</v>
      </c>
      <c r="BT45" s="122">
        <v>0</v>
      </c>
      <c r="BU45" s="122">
        <v>0</v>
      </c>
      <c r="BV45" s="248">
        <v>59.4</v>
      </c>
      <c r="BW45" s="248">
        <v>1</v>
      </c>
      <c r="BX45" s="243">
        <v>0</v>
      </c>
      <c r="BY45" s="243">
        <v>0</v>
      </c>
      <c r="BZ45" s="243">
        <v>0</v>
      </c>
      <c r="CA45" s="463">
        <v>193.2</v>
      </c>
      <c r="CB45" s="242">
        <v>0.49652777777777773</v>
      </c>
      <c r="CC45" s="122">
        <v>0.49652777777777773</v>
      </c>
      <c r="CD45" s="122">
        <v>0</v>
      </c>
      <c r="CE45" s="122"/>
      <c r="CF45" s="122"/>
      <c r="CG45" s="247">
        <v>0.5043171296296296</v>
      </c>
      <c r="CH45" s="245">
        <v>0.50886574074074076</v>
      </c>
      <c r="CI45" s="240" t="s">
        <v>885</v>
      </c>
      <c r="CJ45" s="245">
        <v>4.5486092567443848E-3</v>
      </c>
      <c r="CK45" s="463">
        <v>393</v>
      </c>
      <c r="CL45" s="247">
        <v>0.52312500000000006</v>
      </c>
      <c r="CM45" s="245">
        <v>0.5239583333333333</v>
      </c>
      <c r="CN45" s="243" t="s">
        <v>885</v>
      </c>
      <c r="CO45" s="245">
        <v>8.3333253860473633E-4</v>
      </c>
      <c r="CP45" s="463">
        <v>72</v>
      </c>
      <c r="CQ45" s="242">
        <v>0.59791666666666665</v>
      </c>
      <c r="CR45" s="122">
        <v>0.59791666666666665</v>
      </c>
      <c r="CS45" s="122">
        <v>0</v>
      </c>
      <c r="CT45" s="122"/>
      <c r="CU45" s="122"/>
      <c r="CV45" s="247">
        <v>0.60487268518518522</v>
      </c>
      <c r="CW45" s="245">
        <v>0.60850694444444442</v>
      </c>
      <c r="CX45" s="240" t="s">
        <v>885</v>
      </c>
      <c r="CY45" s="245">
        <v>3.6342144012451172E-3</v>
      </c>
      <c r="CZ45" s="463">
        <v>314</v>
      </c>
      <c r="DA45" s="247">
        <v>0.6089930555555555</v>
      </c>
      <c r="DB45" s="245">
        <v>0.60855324074074069</v>
      </c>
      <c r="DC45" s="243" t="s">
        <v>883</v>
      </c>
      <c r="DD45" s="245">
        <v>4.3982267379760742E-4</v>
      </c>
      <c r="DE45" s="463">
        <v>38</v>
      </c>
      <c r="DF45" s="242">
        <v>0</v>
      </c>
      <c r="DG45" s="122">
        <v>0</v>
      </c>
      <c r="DH45" s="122">
        <v>0</v>
      </c>
      <c r="DI45" s="248">
        <v>86.3</v>
      </c>
      <c r="DJ45" s="248">
        <v>0</v>
      </c>
      <c r="DK45" s="243">
        <v>0</v>
      </c>
      <c r="DL45" s="243">
        <v>0</v>
      </c>
      <c r="DM45" s="243">
        <v>0</v>
      </c>
      <c r="DN45" s="463">
        <v>258.89999999999998</v>
      </c>
      <c r="DO45" s="249">
        <v>0</v>
      </c>
      <c r="DP45" s="246">
        <v>0</v>
      </c>
      <c r="DQ45" s="249">
        <v>0</v>
      </c>
      <c r="DR45" s="246">
        <v>840</v>
      </c>
      <c r="DS45" s="242">
        <v>0.68611111111111101</v>
      </c>
      <c r="DT45" s="244">
        <v>0</v>
      </c>
      <c r="DU45" s="242">
        <v>0</v>
      </c>
      <c r="DV45" s="244">
        <v>900</v>
      </c>
      <c r="DW45" s="459"/>
      <c r="DX45" s="459"/>
      <c r="DY45" s="459"/>
      <c r="DZ45" s="459"/>
      <c r="EA45" s="459"/>
      <c r="EB45" s="459"/>
      <c r="EC45" s="459"/>
      <c r="ED45" s="459"/>
      <c r="EE45" s="459"/>
      <c r="EF45" s="459"/>
      <c r="EG45" s="459"/>
      <c r="EH45" s="459"/>
      <c r="EI45" s="459"/>
      <c r="EJ45" s="459"/>
      <c r="EK45" s="459"/>
      <c r="EL45" s="459"/>
      <c r="EM45" s="459"/>
      <c r="EN45" s="459"/>
      <c r="EO45" s="459"/>
      <c r="EP45" s="459"/>
      <c r="EQ45" s="459"/>
      <c r="ER45" s="459"/>
      <c r="ES45" s="459"/>
      <c r="ET45" s="459"/>
      <c r="EU45" s="242" t="e">
        <v>#VALUE!</v>
      </c>
      <c r="EV45" s="122">
        <v>0</v>
      </c>
      <c r="EW45" s="243" t="e">
        <v>#VALUE!</v>
      </c>
      <c r="EX45" s="122">
        <v>0</v>
      </c>
      <c r="EY45" s="244">
        <v>900</v>
      </c>
      <c r="EZ45" s="242">
        <v>0</v>
      </c>
      <c r="FA45" s="122">
        <v>0</v>
      </c>
      <c r="FB45" s="122">
        <v>0</v>
      </c>
      <c r="FC45" s="248">
        <v>90.5</v>
      </c>
      <c r="FD45" s="248">
        <v>0</v>
      </c>
      <c r="FE45" s="248">
        <v>0</v>
      </c>
      <c r="FF45" s="243">
        <v>0</v>
      </c>
      <c r="FG45" s="243">
        <v>0</v>
      </c>
      <c r="FH45" s="463">
        <v>271.5</v>
      </c>
    </row>
    <row r="46" spans="1:165" s="236" customFormat="1" x14ac:dyDescent="0.25">
      <c r="A46" s="388">
        <v>47</v>
      </c>
      <c r="B46" s="389" t="s">
        <v>840</v>
      </c>
      <c r="C46" s="389" t="s">
        <v>842</v>
      </c>
      <c r="D46" s="389" t="s">
        <v>845</v>
      </c>
      <c r="E46" s="389" t="s">
        <v>887</v>
      </c>
      <c r="F46" s="389" t="s">
        <v>627</v>
      </c>
      <c r="G46" s="486">
        <v>308.5</v>
      </c>
      <c r="H46" s="486">
        <v>0</v>
      </c>
      <c r="I46" s="486">
        <v>308.5</v>
      </c>
      <c r="J46" s="486">
        <v>0</v>
      </c>
      <c r="K46" s="390">
        <v>0.44513888888888881</v>
      </c>
      <c r="L46" s="391">
        <v>0.44513888888888892</v>
      </c>
      <c r="M46" s="392" t="s">
        <v>94</v>
      </c>
      <c r="N46" s="391">
        <v>0</v>
      </c>
      <c r="O46" s="393">
        <v>0</v>
      </c>
      <c r="P46" s="394">
        <v>4.86111119389534E-2</v>
      </c>
      <c r="Q46" s="395"/>
      <c r="R46" s="390">
        <v>0.49375000082784232</v>
      </c>
      <c r="S46" s="391">
        <v>0.49374999999999997</v>
      </c>
      <c r="T46" s="392" t="s">
        <v>94</v>
      </c>
      <c r="U46" s="391">
        <v>0</v>
      </c>
      <c r="V46" s="393">
        <v>0</v>
      </c>
      <c r="W46" s="394">
        <v>4.86111119389534E-2</v>
      </c>
      <c r="X46" s="391"/>
      <c r="Y46" s="395">
        <v>0</v>
      </c>
      <c r="Z46" s="390">
        <v>0.54583333416117563</v>
      </c>
      <c r="AA46" s="391">
        <v>0.54583333333333328</v>
      </c>
      <c r="AB46" s="392" t="s">
        <v>94</v>
      </c>
      <c r="AC46" s="391">
        <v>0</v>
      </c>
      <c r="AD46" s="393">
        <v>0</v>
      </c>
      <c r="AE46" s="394">
        <v>2.43055559694767E-2</v>
      </c>
      <c r="AF46" s="391"/>
      <c r="AG46" s="395">
        <v>0</v>
      </c>
      <c r="AH46" s="390">
        <v>0.57013888930280998</v>
      </c>
      <c r="AI46" s="391">
        <v>0.57013888888888886</v>
      </c>
      <c r="AJ46" s="392" t="s">
        <v>94</v>
      </c>
      <c r="AK46" s="391">
        <v>0</v>
      </c>
      <c r="AL46" s="393">
        <v>0</v>
      </c>
      <c r="AM46" s="394">
        <v>2.43055559694767E-2</v>
      </c>
      <c r="AN46" s="391"/>
      <c r="AO46" s="395">
        <v>0</v>
      </c>
      <c r="AP46" s="390">
        <v>0.59444444485836556</v>
      </c>
      <c r="AQ46" s="391">
        <v>0.59444444444444444</v>
      </c>
      <c r="AR46" s="392" t="s">
        <v>94</v>
      </c>
      <c r="AS46" s="391">
        <v>0</v>
      </c>
      <c r="AT46" s="393">
        <v>0</v>
      </c>
      <c r="AU46" s="394">
        <v>3.125E-2</v>
      </c>
      <c r="AV46" s="391"/>
      <c r="AW46" s="395">
        <v>0</v>
      </c>
      <c r="AX46" s="390">
        <v>0.62986111111111109</v>
      </c>
      <c r="AY46" s="391">
        <v>0.62986111111111109</v>
      </c>
      <c r="AZ46" s="392" t="s">
        <v>94</v>
      </c>
      <c r="BA46" s="391">
        <v>0</v>
      </c>
      <c r="BB46" s="393">
        <v>0</v>
      </c>
      <c r="BC46" s="394">
        <v>4.1666667908430099E-2</v>
      </c>
      <c r="BD46" s="391"/>
      <c r="BE46" s="395">
        <v>0</v>
      </c>
      <c r="BF46" s="390">
        <v>0.67152777901954119</v>
      </c>
      <c r="BG46" s="391">
        <v>0.67152777777777783</v>
      </c>
      <c r="BH46" s="392" t="s">
        <v>94</v>
      </c>
      <c r="BI46" s="391">
        <v>0</v>
      </c>
      <c r="BJ46" s="393">
        <v>0</v>
      </c>
      <c r="BK46" s="394">
        <v>2.777777798473835E-2</v>
      </c>
      <c r="BL46" s="391"/>
      <c r="BM46" s="395">
        <v>0</v>
      </c>
      <c r="BN46" s="390">
        <v>0.69930555576251618</v>
      </c>
      <c r="BO46" s="391">
        <v>0.69652777777777775</v>
      </c>
      <c r="BP46" s="392" t="s">
        <v>883</v>
      </c>
      <c r="BQ46" s="391">
        <v>2.7777552604675293E-3</v>
      </c>
      <c r="BR46" s="396">
        <v>0</v>
      </c>
      <c r="BS46" s="390">
        <v>0</v>
      </c>
      <c r="BT46" s="391">
        <v>0</v>
      </c>
      <c r="BU46" s="391">
        <v>0</v>
      </c>
      <c r="BV46" s="401">
        <v>55.2</v>
      </c>
      <c r="BW46" s="401">
        <v>0</v>
      </c>
      <c r="BX46" s="392">
        <v>0</v>
      </c>
      <c r="BY46" s="392">
        <v>0</v>
      </c>
      <c r="BZ46" s="392">
        <v>0</v>
      </c>
      <c r="CA46" s="462">
        <v>165.60000000000002</v>
      </c>
      <c r="CB46" s="390">
        <v>0.49722222222222223</v>
      </c>
      <c r="CC46" s="391">
        <v>0.49722222222222223</v>
      </c>
      <c r="CD46" s="391">
        <v>0</v>
      </c>
      <c r="CE46" s="391"/>
      <c r="CF46" s="391"/>
      <c r="CG46" s="397">
        <v>0.50501157407407404</v>
      </c>
      <c r="CH46" s="398">
        <v>0.50501157407407404</v>
      </c>
      <c r="CI46" s="399" t="s">
        <v>94</v>
      </c>
      <c r="CJ46" s="398">
        <v>0</v>
      </c>
      <c r="CK46" s="462">
        <v>0</v>
      </c>
      <c r="CL46" s="397">
        <v>0.51927083333333335</v>
      </c>
      <c r="CM46" s="398">
        <v>0.51903935185185179</v>
      </c>
      <c r="CN46" s="392" t="s">
        <v>883</v>
      </c>
      <c r="CO46" s="398">
        <v>2.3150444030761719E-4</v>
      </c>
      <c r="CP46" s="462">
        <v>20</v>
      </c>
      <c r="CQ46" s="390">
        <v>0.59861111111111109</v>
      </c>
      <c r="CR46" s="391">
        <v>0.59861111111111109</v>
      </c>
      <c r="CS46" s="391">
        <v>0</v>
      </c>
      <c r="CT46" s="391"/>
      <c r="CU46" s="391"/>
      <c r="CV46" s="397">
        <v>0.60556712962962966</v>
      </c>
      <c r="CW46" s="398">
        <v>0.6055787037037037</v>
      </c>
      <c r="CX46" s="399" t="s">
        <v>885</v>
      </c>
      <c r="CY46" s="398">
        <v>1.1563301086425781E-5</v>
      </c>
      <c r="CZ46" s="462">
        <v>1</v>
      </c>
      <c r="DA46" s="397">
        <v>0.60606481481481478</v>
      </c>
      <c r="DB46" s="398">
        <v>0.60607638888888882</v>
      </c>
      <c r="DC46" s="392" t="s">
        <v>885</v>
      </c>
      <c r="DD46" s="398">
        <v>1.1563301086425781E-5</v>
      </c>
      <c r="DE46" s="462">
        <v>1</v>
      </c>
      <c r="DF46" s="390">
        <v>0</v>
      </c>
      <c r="DG46" s="391">
        <v>0</v>
      </c>
      <c r="DH46" s="391">
        <v>0</v>
      </c>
      <c r="DI46" s="401">
        <v>40.299999999999997</v>
      </c>
      <c r="DJ46" s="401">
        <v>0</v>
      </c>
      <c r="DK46" s="392">
        <v>0</v>
      </c>
      <c r="DL46" s="392">
        <v>0</v>
      </c>
      <c r="DM46" s="392">
        <v>0</v>
      </c>
      <c r="DN46" s="462">
        <v>120.89999999999999</v>
      </c>
      <c r="DO46" s="402">
        <v>0</v>
      </c>
      <c r="DP46" s="400">
        <v>0</v>
      </c>
      <c r="DQ46" s="402">
        <v>0</v>
      </c>
      <c r="DR46" s="400">
        <v>0</v>
      </c>
      <c r="DS46" s="390">
        <v>0.6777777777777777</v>
      </c>
      <c r="DT46" s="396">
        <v>0</v>
      </c>
      <c r="DU46" s="390">
        <v>0.69027777777777777</v>
      </c>
      <c r="DV46" s="396">
        <v>0</v>
      </c>
      <c r="DW46" s="459"/>
      <c r="DX46" s="459"/>
      <c r="DY46" s="459"/>
      <c r="DZ46" s="459"/>
      <c r="EA46" s="459"/>
      <c r="EB46" s="459"/>
      <c r="EC46" s="459"/>
      <c r="ED46" s="459"/>
      <c r="EE46" s="459"/>
      <c r="EF46" s="459"/>
      <c r="EG46" s="459"/>
      <c r="EH46" s="459"/>
      <c r="EI46" s="459"/>
      <c r="EJ46" s="459"/>
      <c r="EK46" s="459"/>
      <c r="EL46" s="459"/>
      <c r="EM46" s="459"/>
      <c r="EN46" s="459"/>
      <c r="EO46" s="459"/>
      <c r="EP46" s="459"/>
      <c r="EQ46" s="459"/>
      <c r="ER46" s="459"/>
      <c r="ES46" s="459"/>
      <c r="ET46" s="459"/>
      <c r="EU46" s="390"/>
      <c r="EV46" s="391"/>
      <c r="EW46" s="392"/>
      <c r="EX46" s="391"/>
      <c r="EY46" s="396"/>
      <c r="EZ46" s="390"/>
      <c r="FA46" s="391"/>
      <c r="FB46" s="391"/>
      <c r="FC46" s="401"/>
      <c r="FD46" s="401"/>
      <c r="FE46" s="401"/>
      <c r="FF46" s="392"/>
      <c r="FG46" s="392"/>
      <c r="FH46" s="462"/>
      <c r="FI46" s="403"/>
    </row>
  </sheetData>
  <autoFilter ref="A4:DV46">
    <sortState ref="A5:DV47">
      <sortCondition ref="A4:A47"/>
    </sortState>
  </autoFilter>
  <pageMargins left="0.39370078740157483" right="0.39370078740157483" top="0.39370078740157483" bottom="0.3937007874015748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99"/>
  </sheetPr>
  <dimension ref="B1:P27"/>
  <sheetViews>
    <sheetView view="pageBreakPreview" topLeftCell="A4" zoomScale="70" zoomScaleNormal="70" zoomScaleSheetLayoutView="70" zoomScalePageLayoutView="40" workbookViewId="0">
      <selection activeCell="E20" sqref="E20"/>
    </sheetView>
  </sheetViews>
  <sheetFormatPr defaultRowHeight="15" x14ac:dyDescent="0.25"/>
  <cols>
    <col min="1" max="1" width="1.7109375" style="92" customWidth="1"/>
    <col min="2" max="2" width="5.28515625" style="91" customWidth="1"/>
    <col min="3" max="3" width="11" style="91" customWidth="1"/>
    <col min="4" max="4" width="5.28515625" style="92" customWidth="1"/>
    <col min="5" max="5" width="11" style="92" customWidth="1"/>
    <col min="6" max="6" width="5.28515625" style="92" customWidth="1"/>
    <col min="7" max="7" width="11" style="92" customWidth="1"/>
    <col min="8" max="8" width="5.28515625" style="91" customWidth="1"/>
    <col min="9" max="9" width="11" style="91" customWidth="1"/>
    <col min="10" max="10" width="5.28515625" style="92" customWidth="1"/>
    <col min="11" max="11" width="11" style="92" customWidth="1"/>
    <col min="12" max="12" width="1.7109375" style="92" customWidth="1"/>
    <col min="13" max="13" width="8" style="92" customWidth="1"/>
    <col min="14" max="16384" width="9.140625" style="92"/>
  </cols>
  <sheetData>
    <row r="1" spans="2:16" ht="17.45" customHeight="1" x14ac:dyDescent="0.25">
      <c r="B1" s="410"/>
      <c r="C1" s="410"/>
      <c r="D1" s="410"/>
      <c r="E1" s="410"/>
      <c r="F1" s="410"/>
      <c r="G1" s="410"/>
      <c r="H1" s="411"/>
      <c r="I1" s="411"/>
      <c r="J1" s="411"/>
      <c r="K1" s="411"/>
    </row>
    <row r="2" spans="2:16" ht="17.45" customHeight="1" x14ac:dyDescent="0.25">
      <c r="B2" s="410"/>
      <c r="C2" s="410"/>
      <c r="D2" s="410"/>
      <c r="E2" s="410"/>
      <c r="F2" s="410"/>
      <c r="G2" s="410"/>
      <c r="H2" s="411"/>
      <c r="I2" s="411"/>
      <c r="J2" s="411"/>
      <c r="K2" s="411"/>
    </row>
    <row r="3" spans="2:16" ht="17.45" customHeight="1" x14ac:dyDescent="0.25">
      <c r="B3" s="410"/>
      <c r="C3" s="410"/>
      <c r="D3" s="410"/>
      <c r="E3" s="410"/>
      <c r="F3" s="410"/>
      <c r="G3" s="410"/>
      <c r="H3" s="411"/>
      <c r="I3" s="411"/>
      <c r="J3" s="411"/>
      <c r="K3" s="411"/>
    </row>
    <row r="4" spans="2:16" ht="17.45" customHeight="1" x14ac:dyDescent="0.25">
      <c r="B4" s="410"/>
      <c r="C4" s="410"/>
      <c r="D4" s="410"/>
      <c r="E4" s="410"/>
      <c r="F4" s="410"/>
      <c r="G4" s="410"/>
      <c r="H4" s="411"/>
      <c r="I4" s="411"/>
      <c r="J4" s="411"/>
      <c r="K4" s="411"/>
    </row>
    <row r="5" spans="2:16" s="164" customFormat="1" ht="3" customHeight="1" x14ac:dyDescent="0.25">
      <c r="B5" s="81"/>
      <c r="C5" s="81"/>
      <c r="D5" s="81"/>
      <c r="E5" s="81"/>
      <c r="F5" s="81"/>
      <c r="G5" s="81"/>
      <c r="H5" s="81"/>
      <c r="I5" s="81"/>
      <c r="J5" s="82"/>
      <c r="K5" s="82"/>
    </row>
    <row r="6" spans="2:16" s="164" customFormat="1" ht="3" customHeight="1" x14ac:dyDescent="0.25">
      <c r="B6" s="81"/>
      <c r="C6" s="81"/>
      <c r="D6" s="81"/>
      <c r="E6" s="81"/>
      <c r="F6" s="81"/>
      <c r="G6" s="81"/>
      <c r="H6" s="81"/>
      <c r="I6" s="81"/>
      <c r="J6" s="82"/>
      <c r="K6" s="82"/>
    </row>
    <row r="7" spans="2:16" s="164" customFormat="1" ht="3" customHeight="1" x14ac:dyDescent="0.25">
      <c r="B7" s="81"/>
      <c r="C7" s="81"/>
      <c r="D7" s="81"/>
      <c r="E7" s="81"/>
      <c r="F7" s="81"/>
      <c r="G7" s="81"/>
      <c r="H7" s="81"/>
      <c r="I7" s="81"/>
      <c r="J7" s="82"/>
      <c r="K7" s="82"/>
    </row>
    <row r="8" spans="2:16" s="164" customFormat="1" ht="3" customHeight="1" x14ac:dyDescent="0.25">
      <c r="B8" s="81"/>
      <c r="C8" s="81"/>
      <c r="D8" s="81"/>
      <c r="E8" s="81"/>
      <c r="F8" s="81"/>
      <c r="G8" s="81"/>
      <c r="H8" s="81"/>
      <c r="I8" s="81"/>
      <c r="J8" s="82"/>
      <c r="K8" s="82"/>
    </row>
    <row r="9" spans="2:16" ht="17.45" customHeight="1" x14ac:dyDescent="0.25">
      <c r="B9" s="570" t="str">
        <f>"'Точка-стрелка' в порядке возрастания номеров позиций, начиная с "&amp;B11</f>
        <v>'Точка-стрелка' в порядке возрастания номеров позиций, начиная с 67</v>
      </c>
      <c r="C9" s="570"/>
      <c r="D9" s="570"/>
      <c r="E9" s="570"/>
      <c r="F9" s="570"/>
      <c r="G9" s="570"/>
      <c r="H9" s="570"/>
      <c r="I9" s="570"/>
      <c r="J9" s="570"/>
      <c r="K9" s="570"/>
      <c r="P9" s="92" t="s">
        <v>557</v>
      </c>
    </row>
    <row r="10" spans="2:16" ht="60" customHeight="1" x14ac:dyDescent="0.25">
      <c r="B10" s="573" t="str">
        <f>getMpWoName(_КВ6)</f>
        <v>КВ-6</v>
      </c>
      <c r="C10" s="574"/>
      <c r="D10" s="427"/>
      <c r="E10" s="435"/>
      <c r="F10" s="427"/>
      <c r="G10" s="435"/>
      <c r="H10" s="439"/>
      <c r="I10" s="435"/>
      <c r="J10" s="427"/>
      <c r="K10" s="435"/>
    </row>
    <row r="11" spans="2:16" ht="20.100000000000001" customHeight="1" x14ac:dyDescent="0.3">
      <c r="B11" s="437">
        <f>'Сектор 6'!A21+1</f>
        <v>67</v>
      </c>
      <c r="C11" s="450"/>
      <c r="D11" s="437">
        <f>B15+1</f>
        <v>75</v>
      </c>
      <c r="E11" s="436"/>
      <c r="F11" s="437">
        <f>J13+1</f>
        <v>95</v>
      </c>
      <c r="G11" s="436"/>
      <c r="H11" s="437">
        <f>F19+1</f>
        <v>88</v>
      </c>
      <c r="I11" s="438"/>
      <c r="J11" s="437">
        <f>H15+1</f>
        <v>71</v>
      </c>
      <c r="K11" s="436"/>
    </row>
    <row r="12" spans="2:16" ht="60" customHeight="1" x14ac:dyDescent="0.25">
      <c r="B12" s="439"/>
      <c r="C12" s="435"/>
      <c r="D12" s="427"/>
      <c r="E12" s="435"/>
      <c r="F12" s="427"/>
      <c r="G12" s="435"/>
      <c r="H12" s="427"/>
      <c r="I12" s="435"/>
      <c r="J12" s="427"/>
      <c r="K12" s="435"/>
    </row>
    <row r="13" spans="2:16" ht="20.100000000000001" customHeight="1" x14ac:dyDescent="0.3">
      <c r="B13" s="451"/>
      <c r="C13" s="438"/>
      <c r="D13" s="437">
        <f>J23+1</f>
        <v>99</v>
      </c>
      <c r="E13" s="436"/>
      <c r="F13" s="437">
        <f>D23+1</f>
        <v>81</v>
      </c>
      <c r="G13" s="436"/>
      <c r="H13" s="437">
        <f>F25+1</f>
        <v>85</v>
      </c>
      <c r="I13" s="436"/>
      <c r="J13" s="437">
        <f>D19+1</f>
        <v>94</v>
      </c>
      <c r="K13" s="436"/>
    </row>
    <row r="14" spans="2:16" ht="60" customHeight="1" x14ac:dyDescent="0.25">
      <c r="B14" s="427"/>
      <c r="C14" s="435"/>
      <c r="D14" s="427"/>
      <c r="E14" s="435"/>
      <c r="H14" s="427"/>
      <c r="I14" s="435"/>
      <c r="J14" s="427"/>
      <c r="K14" s="435"/>
    </row>
    <row r="15" spans="2:16" ht="20.100000000000001" customHeight="1" x14ac:dyDescent="0.3">
      <c r="B15" s="437">
        <f>D15+1</f>
        <v>74</v>
      </c>
      <c r="C15" s="436"/>
      <c r="D15" s="437">
        <f>B25+1</f>
        <v>73</v>
      </c>
      <c r="E15" s="436"/>
      <c r="H15" s="437">
        <f>D17+1</f>
        <v>70</v>
      </c>
      <c r="I15" s="436"/>
      <c r="J15" s="437">
        <f>F23+1</f>
        <v>97</v>
      </c>
      <c r="K15" s="436"/>
    </row>
    <row r="16" spans="2:16" ht="60" customHeight="1" x14ac:dyDescent="0.25">
      <c r="B16" s="427"/>
      <c r="C16" s="435"/>
      <c r="D16" s="575" t="s">
        <v>771</v>
      </c>
      <c r="E16" s="576"/>
      <c r="F16" s="427"/>
      <c r="G16" s="435"/>
      <c r="H16" s="92"/>
      <c r="I16" s="92"/>
      <c r="J16" s="427"/>
      <c r="K16" s="435"/>
    </row>
    <row r="17" spans="2:14" ht="20.100000000000001" customHeight="1" x14ac:dyDescent="0.3">
      <c r="B17" s="437">
        <f>F13+1</f>
        <v>82</v>
      </c>
      <c r="C17" s="436"/>
      <c r="D17" s="437">
        <f>J19+1</f>
        <v>69</v>
      </c>
      <c r="E17" s="436"/>
      <c r="F17" s="437">
        <f>H21+1</f>
        <v>78</v>
      </c>
      <c r="G17" s="436"/>
      <c r="H17" s="451"/>
      <c r="I17" s="452"/>
      <c r="J17" s="437">
        <f>H13+1</f>
        <v>86</v>
      </c>
      <c r="K17" s="436"/>
    </row>
    <row r="18" spans="2:14" ht="60" customHeight="1" x14ac:dyDescent="0.25">
      <c r="B18" s="427"/>
      <c r="C18" s="435"/>
      <c r="D18" s="427"/>
      <c r="E18" s="435"/>
      <c r="F18" s="427"/>
      <c r="G18" s="435"/>
      <c r="H18" s="453"/>
      <c r="I18" s="454"/>
      <c r="J18" s="427"/>
      <c r="K18" s="435"/>
    </row>
    <row r="19" spans="2:14" ht="20.100000000000001" customHeight="1" x14ac:dyDescent="0.3">
      <c r="B19" s="437">
        <f>F17+1</f>
        <v>79</v>
      </c>
      <c r="C19" s="436"/>
      <c r="D19" s="437">
        <f>J21+1</f>
        <v>93</v>
      </c>
      <c r="E19" s="436"/>
      <c r="F19" s="437">
        <f>J17+1</f>
        <v>87</v>
      </c>
      <c r="G19" s="436"/>
      <c r="J19" s="437">
        <f>B11+1</f>
        <v>68</v>
      </c>
      <c r="K19" s="436"/>
    </row>
    <row r="20" spans="2:14" ht="60" customHeight="1" x14ac:dyDescent="0.25">
      <c r="B20" s="427"/>
      <c r="C20" s="435"/>
      <c r="D20" s="427"/>
      <c r="E20" s="435"/>
      <c r="F20" s="427"/>
      <c r="G20" s="435"/>
      <c r="H20" s="427"/>
      <c r="I20" s="435"/>
      <c r="J20" s="427"/>
      <c r="K20" s="435"/>
    </row>
    <row r="21" spans="2:14" ht="20.100000000000001" customHeight="1" x14ac:dyDescent="0.3">
      <c r="B21" s="437">
        <f>D21+1</f>
        <v>90</v>
      </c>
      <c r="C21" s="436"/>
      <c r="D21" s="437">
        <f>H11+1</f>
        <v>89</v>
      </c>
      <c r="E21" s="436"/>
      <c r="F21" s="437">
        <f>D13+1</f>
        <v>100</v>
      </c>
      <c r="G21" s="436"/>
      <c r="H21" s="437">
        <f>B23+1</f>
        <v>77</v>
      </c>
      <c r="I21" s="436"/>
      <c r="J21" s="437">
        <f>H25+1</f>
        <v>92</v>
      </c>
      <c r="K21" s="436"/>
    </row>
    <row r="22" spans="2:14" ht="60" customHeight="1" x14ac:dyDescent="0.25">
      <c r="B22" s="427"/>
      <c r="C22" s="435"/>
      <c r="D22" s="427"/>
      <c r="E22" s="435"/>
      <c r="F22" s="427"/>
      <c r="G22" s="435"/>
      <c r="H22" s="465"/>
      <c r="I22" s="435"/>
      <c r="J22" s="427"/>
      <c r="K22" s="435"/>
    </row>
    <row r="23" spans="2:14" ht="20.100000000000001" customHeight="1" x14ac:dyDescent="0.3">
      <c r="B23" s="437">
        <f>D11+1</f>
        <v>76</v>
      </c>
      <c r="C23" s="436"/>
      <c r="D23" s="437">
        <f>B19+1</f>
        <v>80</v>
      </c>
      <c r="E23" s="436"/>
      <c r="F23" s="437">
        <f>F11+1</f>
        <v>96</v>
      </c>
      <c r="G23" s="436"/>
      <c r="H23" s="437">
        <f>F21+1</f>
        <v>101</v>
      </c>
      <c r="I23" s="436"/>
      <c r="J23" s="437">
        <f>J15+1</f>
        <v>98</v>
      </c>
      <c r="K23" s="436"/>
    </row>
    <row r="24" spans="2:14" ht="60" customHeight="1" x14ac:dyDescent="0.25">
      <c r="B24" s="465"/>
      <c r="C24" s="435"/>
      <c r="D24" s="471"/>
      <c r="E24" s="435"/>
      <c r="F24" s="427"/>
      <c r="G24" s="435"/>
      <c r="H24" s="427"/>
      <c r="I24" s="435"/>
      <c r="J24" s="571" t="str">
        <f>"Далее - поз."&amp;'Сектор 7'!A17&amp;" на следующей странице"</f>
        <v>Далее - поз.103 на следующей странице</v>
      </c>
      <c r="K24" s="572"/>
    </row>
    <row r="25" spans="2:14" ht="20.100000000000001" customHeight="1" x14ac:dyDescent="0.3">
      <c r="B25" s="437">
        <f>J11+1</f>
        <v>72</v>
      </c>
      <c r="C25" s="436"/>
      <c r="D25" s="437">
        <f>1+B17</f>
        <v>83</v>
      </c>
      <c r="E25" s="436"/>
      <c r="F25" s="437">
        <f>1+D25</f>
        <v>84</v>
      </c>
      <c r="G25" s="436"/>
      <c r="H25" s="437">
        <f>B21+1</f>
        <v>91</v>
      </c>
      <c r="I25" s="436"/>
      <c r="J25" s="437">
        <f>H23+1</f>
        <v>102</v>
      </c>
      <c r="K25" s="450"/>
    </row>
    <row r="27" spans="2:14" x14ac:dyDescent="0.25">
      <c r="N27" s="92" t="s">
        <v>558</v>
      </c>
    </row>
  </sheetData>
  <mergeCells count="4">
    <mergeCell ref="B9:K9"/>
    <mergeCell ref="J24:K24"/>
    <mergeCell ref="B10:C10"/>
    <mergeCell ref="D16:E16"/>
  </mergeCells>
  <pageMargins left="0.98425196850393704" right="0.59055118110236227" top="0.59055118110236227" bottom="0.59055118110236227" header="1.1811023622047245" footer="0"/>
  <pageSetup paperSize="9" firstPageNumber="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rgb="FF92D050"/>
  </sheetPr>
  <dimension ref="A1:J6"/>
  <sheetViews>
    <sheetView view="pageBreakPreview" zoomScale="70" zoomScaleNormal="70" zoomScaleSheetLayoutView="70" zoomScalePageLayoutView="40" workbookViewId="0">
      <selection activeCell="C6" sqref="C6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6" width="10.85546875" style="92" customWidth="1"/>
    <col min="7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0" ht="129.94999999999999" customHeight="1" x14ac:dyDescent="0.25">
      <c r="A1" s="327" t="str">
        <f>'стр 22'!$J$25&amp;"а"</f>
        <v>102а</v>
      </c>
      <c r="B1" s="412">
        <v>10.54</v>
      </c>
      <c r="C1" s="412"/>
      <c r="D1" s="422"/>
      <c r="E1" s="448"/>
      <c r="F1" s="577"/>
      <c r="G1" s="578"/>
      <c r="H1" s="579"/>
      <c r="J1" s="326"/>
    </row>
    <row r="2" spans="1:10" ht="129.94999999999999" customHeight="1" x14ac:dyDescent="0.25">
      <c r="A2" s="327" t="str">
        <f>'стр 22'!$J$25&amp;"б"</f>
        <v>102б</v>
      </c>
      <c r="B2" s="412">
        <v>10.88</v>
      </c>
      <c r="C2" s="412">
        <f>B2-B1</f>
        <v>0.34000000000000163</v>
      </c>
      <c r="D2" s="422"/>
      <c r="E2" s="448"/>
      <c r="F2" s="577"/>
      <c r="G2" s="578"/>
      <c r="H2" s="579"/>
      <c r="J2" s="326"/>
    </row>
    <row r="3" spans="1:10" ht="129.94999999999999" customHeight="1" x14ac:dyDescent="0.25">
      <c r="A3" s="327" t="str">
        <f>'стр 22'!$J$25&amp;"в"</f>
        <v>102в</v>
      </c>
      <c r="B3" s="412">
        <v>10.99</v>
      </c>
      <c r="C3" s="412">
        <f>B3-B2</f>
        <v>0.10999999999999943</v>
      </c>
      <c r="D3" s="422"/>
      <c r="E3" s="470"/>
      <c r="F3" s="577"/>
      <c r="G3" s="578"/>
      <c r="H3" s="579"/>
      <c r="J3" s="326"/>
    </row>
    <row r="4" spans="1:10" ht="129.94999999999999" customHeight="1" x14ac:dyDescent="0.25">
      <c r="A4" s="327" t="str">
        <f>'стр 22'!$J$25&amp;"г"</f>
        <v>102г</v>
      </c>
      <c r="B4" s="412">
        <v>11.19</v>
      </c>
      <c r="C4" s="412">
        <f>B4-B3</f>
        <v>0.19999999999999929</v>
      </c>
      <c r="D4" s="422"/>
      <c r="E4" s="466"/>
      <c r="F4" s="577" t="s">
        <v>769</v>
      </c>
      <c r="G4" s="578"/>
      <c r="H4" s="579"/>
      <c r="J4" s="326"/>
    </row>
    <row r="5" spans="1:10" ht="129.94999999999999" customHeight="1" x14ac:dyDescent="0.25">
      <c r="A5" s="327" t="str">
        <f>'стр 22'!$J$25&amp;"д"</f>
        <v>102д</v>
      </c>
      <c r="B5" s="412">
        <v>11.53</v>
      </c>
      <c r="C5" s="412">
        <f>B5-B4</f>
        <v>0.33999999999999986</v>
      </c>
      <c r="D5" s="422"/>
      <c r="E5" s="466"/>
      <c r="F5" s="577"/>
      <c r="G5" s="578"/>
      <c r="H5" s="579"/>
      <c r="J5" s="326"/>
    </row>
    <row r="6" spans="1:10" ht="129.94999999999999" customHeight="1" x14ac:dyDescent="0.25">
      <c r="A6" s="327" t="str">
        <f>'стр 22'!$J$25&amp;"е"</f>
        <v>102е</v>
      </c>
      <c r="B6" s="412">
        <v>11.85</v>
      </c>
      <c r="C6" s="412">
        <f>B6-B5</f>
        <v>0.32000000000000028</v>
      </c>
      <c r="D6" s="422"/>
      <c r="E6" s="448"/>
      <c r="F6" s="577"/>
      <c r="G6" s="578"/>
      <c r="H6" s="579"/>
      <c r="J6" s="326"/>
    </row>
  </sheetData>
  <mergeCells count="6">
    <mergeCell ref="F1:H1"/>
    <mergeCell ref="F6:H6"/>
    <mergeCell ref="F2:H2"/>
    <mergeCell ref="F4:H4"/>
    <mergeCell ref="F5:H5"/>
    <mergeCell ref="F3:H3"/>
  </mergeCells>
  <pageMargins left="0.98425196850393704" right="0.59055118110236227" top="0.59055118110236227" bottom="0.59055118110236227" header="1.1811023622047245" footer="0"/>
  <pageSetup paperSize="9" firstPageNumber="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tabColor rgb="FF92D050"/>
  </sheetPr>
  <dimension ref="A1:J19"/>
  <sheetViews>
    <sheetView view="pageBreakPreview" topLeftCell="A4" zoomScale="70" zoomScaleNormal="70" zoomScaleSheetLayoutView="70" zoomScalePageLayoutView="40" workbookViewId="0">
      <selection activeCell="B1" sqref="B1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6" width="10.85546875" style="92" customWidth="1"/>
    <col min="7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0" ht="129.94999999999999" customHeight="1" x14ac:dyDescent="0.25">
      <c r="A1" s="327">
        <v>20</v>
      </c>
      <c r="B1" s="412"/>
      <c r="C1" s="412"/>
      <c r="D1" s="422"/>
      <c r="E1" s="502"/>
      <c r="F1" s="577" t="s">
        <v>768</v>
      </c>
      <c r="G1" s="578"/>
      <c r="H1" s="579"/>
      <c r="J1" s="326"/>
    </row>
    <row r="2" spans="1:10" ht="129.94999999999999" customHeight="1" x14ac:dyDescent="0.25">
      <c r="A2" s="327">
        <v>20</v>
      </c>
      <c r="B2" s="412"/>
      <c r="C2" s="412"/>
      <c r="D2" s="422"/>
      <c r="E2" s="502"/>
      <c r="F2" s="577" t="s">
        <v>768</v>
      </c>
      <c r="G2" s="578"/>
      <c r="H2" s="579"/>
      <c r="J2" s="326"/>
    </row>
    <row r="3" spans="1:10" ht="129.94999999999999" customHeight="1" x14ac:dyDescent="0.25">
      <c r="A3" s="327">
        <v>20</v>
      </c>
      <c r="B3" s="412"/>
      <c r="C3" s="412"/>
      <c r="D3" s="422"/>
      <c r="E3" s="502"/>
      <c r="F3" s="577" t="s">
        <v>768</v>
      </c>
      <c r="G3" s="578"/>
      <c r="H3" s="579"/>
      <c r="J3" s="326"/>
    </row>
    <row r="4" spans="1:10" ht="129.94999999999999" customHeight="1" x14ac:dyDescent="0.25">
      <c r="A4" s="327">
        <v>20</v>
      </c>
      <c r="B4" s="412"/>
      <c r="C4" s="412"/>
      <c r="D4" s="422"/>
      <c r="E4" s="502"/>
      <c r="F4" s="577" t="s">
        <v>768</v>
      </c>
      <c r="G4" s="578"/>
      <c r="H4" s="579"/>
      <c r="J4" s="326"/>
    </row>
    <row r="5" spans="1:10" ht="129.94999999999999" customHeight="1" x14ac:dyDescent="0.25">
      <c r="A5" s="327">
        <v>20</v>
      </c>
      <c r="B5" s="412"/>
      <c r="C5" s="412"/>
      <c r="D5" s="422"/>
      <c r="E5" s="502"/>
      <c r="F5" s="577" t="s">
        <v>768</v>
      </c>
      <c r="G5" s="578"/>
      <c r="H5" s="579"/>
      <c r="J5" s="326"/>
    </row>
    <row r="6" spans="1:10" ht="129.94999999999999" customHeight="1" x14ac:dyDescent="0.25">
      <c r="A6" s="327">
        <v>20</v>
      </c>
      <c r="B6" s="412"/>
      <c r="C6" s="412"/>
      <c r="D6" s="422"/>
      <c r="E6" s="502"/>
      <c r="F6" s="577" t="s">
        <v>768</v>
      </c>
      <c r="G6" s="578"/>
      <c r="H6" s="579"/>
      <c r="J6" s="326"/>
    </row>
    <row r="7" spans="1:10" ht="129.94999999999999" customHeight="1" x14ac:dyDescent="0.25">
      <c r="A7" s="327">
        <v>20</v>
      </c>
      <c r="B7" s="412"/>
      <c r="C7" s="412"/>
      <c r="D7" s="422"/>
      <c r="E7" s="502"/>
      <c r="F7" s="577" t="s">
        <v>768</v>
      </c>
      <c r="G7" s="578"/>
      <c r="H7" s="579"/>
      <c r="J7" s="326"/>
    </row>
    <row r="8" spans="1:10" ht="129.94999999999999" customHeight="1" x14ac:dyDescent="0.25">
      <c r="A8" s="327">
        <v>20</v>
      </c>
      <c r="B8" s="412"/>
      <c r="C8" s="412"/>
      <c r="D8" s="422"/>
      <c r="E8" s="502"/>
      <c r="F8" s="577" t="s">
        <v>768</v>
      </c>
      <c r="G8" s="578"/>
      <c r="H8" s="579"/>
      <c r="J8" s="326"/>
    </row>
    <row r="9" spans="1:10" ht="129.94999999999999" customHeight="1" x14ac:dyDescent="0.25">
      <c r="A9" s="327">
        <v>20</v>
      </c>
      <c r="B9" s="412"/>
      <c r="C9" s="412"/>
      <c r="D9" s="422"/>
      <c r="E9" s="502"/>
      <c r="F9" s="577" t="s">
        <v>768</v>
      </c>
      <c r="G9" s="578"/>
      <c r="H9" s="579"/>
      <c r="J9" s="326"/>
    </row>
    <row r="10" spans="1:10" ht="129.94999999999999" customHeight="1" x14ac:dyDescent="0.25">
      <c r="A10" s="327">
        <v>20</v>
      </c>
      <c r="B10" s="412"/>
      <c r="C10" s="412"/>
      <c r="D10" s="422"/>
      <c r="E10" s="502"/>
      <c r="F10" s="577" t="s">
        <v>768</v>
      </c>
      <c r="G10" s="578"/>
      <c r="H10" s="579"/>
      <c r="J10" s="326"/>
    </row>
    <row r="11" spans="1:10" ht="129.94999999999999" customHeight="1" x14ac:dyDescent="0.25">
      <c r="A11" s="327">
        <v>20</v>
      </c>
      <c r="B11" s="412"/>
      <c r="C11" s="412"/>
      <c r="D11" s="422"/>
      <c r="E11" s="502"/>
      <c r="F11" s="577" t="s">
        <v>768</v>
      </c>
      <c r="G11" s="578"/>
      <c r="H11" s="579"/>
      <c r="J11" s="326"/>
    </row>
    <row r="12" spans="1:10" ht="129.94999999999999" customHeight="1" x14ac:dyDescent="0.25">
      <c r="A12" s="327">
        <v>20</v>
      </c>
      <c r="B12" s="412"/>
      <c r="C12" s="412"/>
      <c r="D12" s="422"/>
      <c r="E12" s="502"/>
      <c r="F12" s="577" t="s">
        <v>768</v>
      </c>
      <c r="G12" s="578"/>
      <c r="H12" s="579"/>
      <c r="J12" s="326"/>
    </row>
    <row r="13" spans="1:10" ht="129.94999999999999" customHeight="1" x14ac:dyDescent="0.25">
      <c r="A13" s="327">
        <v>20</v>
      </c>
      <c r="B13" s="412"/>
      <c r="C13" s="412"/>
      <c r="D13" s="422"/>
      <c r="E13" s="502"/>
      <c r="F13" s="577" t="s">
        <v>768</v>
      </c>
      <c r="G13" s="578"/>
      <c r="H13" s="579"/>
      <c r="J13" s="326"/>
    </row>
    <row r="14" spans="1:10" ht="129.94999999999999" customHeight="1" x14ac:dyDescent="0.25">
      <c r="A14" s="327">
        <v>20</v>
      </c>
      <c r="B14" s="412"/>
      <c r="C14" s="412"/>
      <c r="D14" s="422"/>
      <c r="E14" s="502"/>
      <c r="F14" s="577" t="s">
        <v>768</v>
      </c>
      <c r="G14" s="578"/>
      <c r="H14" s="579"/>
      <c r="J14" s="326"/>
    </row>
    <row r="15" spans="1:10" ht="129.94999999999999" customHeight="1" x14ac:dyDescent="0.25">
      <c r="A15" s="327">
        <v>20</v>
      </c>
      <c r="B15" s="412"/>
      <c r="C15" s="412"/>
      <c r="D15" s="422"/>
      <c r="E15" s="502"/>
      <c r="F15" s="577" t="s">
        <v>768</v>
      </c>
      <c r="G15" s="578"/>
      <c r="H15" s="579"/>
      <c r="J15" s="326"/>
    </row>
    <row r="16" spans="1:10" ht="129.94999999999999" customHeight="1" x14ac:dyDescent="0.25">
      <c r="A16" s="327">
        <v>20</v>
      </c>
      <c r="B16" s="412"/>
      <c r="C16" s="412"/>
      <c r="D16" s="422"/>
      <c r="E16" s="502"/>
      <c r="F16" s="577" t="s">
        <v>768</v>
      </c>
      <c r="G16" s="578"/>
      <c r="H16" s="579"/>
      <c r="J16" s="326"/>
    </row>
    <row r="17" spans="1:10" ht="129.94999999999999" customHeight="1" x14ac:dyDescent="0.25">
      <c r="A17" s="327">
        <v>20</v>
      </c>
      <c r="B17" s="412"/>
      <c r="C17" s="412"/>
      <c r="D17" s="422"/>
      <c r="E17" s="502"/>
      <c r="F17" s="577" t="s">
        <v>768</v>
      </c>
      <c r="G17" s="578"/>
      <c r="H17" s="579"/>
      <c r="J17" s="326"/>
    </row>
    <row r="18" spans="1:10" ht="129.94999999999999" customHeight="1" x14ac:dyDescent="0.25">
      <c r="A18" s="327">
        <v>20</v>
      </c>
      <c r="B18" s="412"/>
      <c r="C18" s="412"/>
      <c r="D18" s="422"/>
      <c r="E18" s="502"/>
      <c r="F18" s="577" t="s">
        <v>768</v>
      </c>
      <c r="G18" s="578"/>
      <c r="H18" s="579"/>
      <c r="J18" s="326"/>
    </row>
    <row r="19" spans="1:10" ht="15.75" x14ac:dyDescent="0.25">
      <c r="D19" s="422"/>
      <c r="E19" s="502"/>
      <c r="F19" s="577" t="s">
        <v>768</v>
      </c>
      <c r="G19" s="578"/>
      <c r="H19" s="579"/>
    </row>
  </sheetData>
  <mergeCells count="19">
    <mergeCell ref="F12:H12"/>
    <mergeCell ref="F1:H1"/>
    <mergeCell ref="F2:H2"/>
    <mergeCell ref="F3:H3"/>
    <mergeCell ref="F4:H4"/>
    <mergeCell ref="F5:H5"/>
    <mergeCell ref="F6:H6"/>
    <mergeCell ref="F7:H7"/>
    <mergeCell ref="F8:H8"/>
    <mergeCell ref="F9:H9"/>
    <mergeCell ref="F10:H10"/>
    <mergeCell ref="F11:H11"/>
    <mergeCell ref="F19:H19"/>
    <mergeCell ref="F13:H13"/>
    <mergeCell ref="F14:H14"/>
    <mergeCell ref="F15:H15"/>
    <mergeCell ref="F16:H16"/>
    <mergeCell ref="F17:H17"/>
    <mergeCell ref="F18:H18"/>
  </mergeCells>
  <pageMargins left="0.98425196850393704" right="0.59055118110236227" top="0.59055118110236227" bottom="0.59055118110236227" header="1.1811023622047245" footer="0"/>
  <pageSetup paperSize="9" firstPageNumber="3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J44"/>
  <sheetViews>
    <sheetView view="pageBreakPreview" topLeftCell="A7" zoomScale="70" zoomScaleNormal="55" zoomScaleSheetLayoutView="70" workbookViewId="0">
      <selection activeCell="H38" sqref="H38"/>
    </sheetView>
  </sheetViews>
  <sheetFormatPr defaultRowHeight="15" x14ac:dyDescent="0.25"/>
  <cols>
    <col min="1" max="9" width="9.140625" style="1"/>
    <col min="10" max="10" width="8" style="1" customWidth="1"/>
    <col min="11" max="16384" width="9.140625" style="1"/>
  </cols>
  <sheetData>
    <row r="1" spans="1:10" ht="50.1" customHeight="1" x14ac:dyDescent="0.25">
      <c r="A1" s="18" t="str">
        <f>название</f>
        <v>Ралли "Skoda - 2019"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9"/>
    </row>
    <row r="3" spans="1:10" ht="50.1" customHeight="1" x14ac:dyDescent="0.25">
      <c r="A3" s="18" t="s">
        <v>29</v>
      </c>
      <c r="B3" s="13"/>
      <c r="C3" s="13"/>
      <c r="D3" s="13"/>
      <c r="E3" s="13"/>
      <c r="F3" s="13"/>
      <c r="G3" s="13"/>
      <c r="H3" s="13"/>
      <c r="I3" s="13"/>
      <c r="J3" s="13"/>
    </row>
    <row r="4" spans="1:10" x14ac:dyDescent="0.25">
      <c r="A4" s="19"/>
    </row>
    <row r="5" spans="1:10" ht="50.1" customHeight="1" x14ac:dyDescent="0.25">
      <c r="A5" s="50" t="s">
        <v>243</v>
      </c>
      <c r="B5" s="51"/>
      <c r="C5" s="51"/>
      <c r="D5" s="51"/>
      <c r="E5" s="51"/>
      <c r="F5" s="51"/>
      <c r="G5" s="51"/>
      <c r="H5" s="51"/>
      <c r="I5" s="51"/>
      <c r="J5" s="51"/>
    </row>
    <row r="6" spans="1:10" x14ac:dyDescent="0.25">
      <c r="A6" s="19"/>
    </row>
    <row r="7" spans="1:10" ht="15.75" customHeight="1" x14ac:dyDescent="0.25">
      <c r="A7" s="19"/>
    </row>
    <row r="8" spans="1:10" x14ac:dyDescent="0.25">
      <c r="A8" s="19"/>
    </row>
    <row r="9" spans="1:10" x14ac:dyDescent="0.25">
      <c r="A9" s="19"/>
    </row>
    <row r="10" spans="1:10" x14ac:dyDescent="0.25">
      <c r="A10" s="19"/>
    </row>
    <row r="11" spans="1:10" x14ac:dyDescent="0.25">
      <c r="A11" s="19"/>
    </row>
    <row r="12" spans="1:10" x14ac:dyDescent="0.25">
      <c r="A12" s="19"/>
    </row>
    <row r="13" spans="1:10" x14ac:dyDescent="0.25">
      <c r="A13" s="19"/>
    </row>
    <row r="14" spans="1:10" x14ac:dyDescent="0.25">
      <c r="A14" s="19"/>
    </row>
    <row r="15" spans="1:10" x14ac:dyDescent="0.25">
      <c r="A15" s="19"/>
    </row>
    <row r="16" spans="1:10" x14ac:dyDescent="0.25">
      <c r="A16" s="19"/>
    </row>
    <row r="17" spans="1:1" x14ac:dyDescent="0.25">
      <c r="A17" s="19"/>
    </row>
    <row r="18" spans="1:1" x14ac:dyDescent="0.25">
      <c r="A18" s="19"/>
    </row>
    <row r="19" spans="1:1" x14ac:dyDescent="0.25">
      <c r="A19" s="19"/>
    </row>
    <row r="20" spans="1:1" x14ac:dyDescent="0.25">
      <c r="A20" s="19"/>
    </row>
    <row r="21" spans="1:1" x14ac:dyDescent="0.25">
      <c r="A21" s="19"/>
    </row>
    <row r="22" spans="1:1" x14ac:dyDescent="0.25">
      <c r="A22" s="19"/>
    </row>
    <row r="23" spans="1:1" x14ac:dyDescent="0.25">
      <c r="A23" s="19"/>
    </row>
    <row r="24" spans="1:1" x14ac:dyDescent="0.25">
      <c r="A24" s="19"/>
    </row>
    <row r="25" spans="1:1" x14ac:dyDescent="0.25">
      <c r="A25" s="19"/>
    </row>
    <row r="26" spans="1:1" x14ac:dyDescent="0.25">
      <c r="A26" s="19"/>
    </row>
    <row r="27" spans="1:1" x14ac:dyDescent="0.25">
      <c r="A27" s="19"/>
    </row>
    <row r="28" spans="1:1" x14ac:dyDescent="0.25">
      <c r="A28" s="19"/>
    </row>
    <row r="29" spans="1:1" x14ac:dyDescent="0.25">
      <c r="A29" s="19"/>
    </row>
    <row r="30" spans="1:1" x14ac:dyDescent="0.25">
      <c r="A30" s="19"/>
    </row>
    <row r="31" spans="1:1" x14ac:dyDescent="0.25">
      <c r="A31" s="19"/>
    </row>
    <row r="32" spans="1:1" x14ac:dyDescent="0.25">
      <c r="A32" s="19"/>
    </row>
    <row r="33" spans="1:10" x14ac:dyDescent="0.25">
      <c r="A33" s="19"/>
    </row>
    <row r="34" spans="1:10" x14ac:dyDescent="0.25">
      <c r="A34" s="19"/>
    </row>
    <row r="35" spans="1:10" x14ac:dyDescent="0.25">
      <c r="A35" s="19"/>
    </row>
    <row r="36" spans="1:10" x14ac:dyDescent="0.25">
      <c r="A36" s="19"/>
    </row>
    <row r="37" spans="1:10" x14ac:dyDescent="0.25">
      <c r="A37" s="19"/>
    </row>
    <row r="38" spans="1:10" x14ac:dyDescent="0.25">
      <c r="A38" s="19"/>
    </row>
    <row r="39" spans="1:10" x14ac:dyDescent="0.25">
      <c r="A39" s="19"/>
    </row>
    <row r="40" spans="1:10" x14ac:dyDescent="0.25">
      <c r="A40" s="19"/>
    </row>
    <row r="41" spans="1:10" x14ac:dyDescent="0.25">
      <c r="A41" s="19"/>
    </row>
    <row r="42" spans="1:10" x14ac:dyDescent="0.25">
      <c r="A42" s="19"/>
    </row>
    <row r="43" spans="1:10" ht="24.95" customHeight="1" x14ac:dyDescent="0.25">
      <c r="A43" s="377" t="str">
        <f>датаРалли</f>
        <v>21 декабря 2019 г.</v>
      </c>
      <c r="B43" s="378"/>
      <c r="C43" s="378"/>
      <c r="D43" s="378"/>
      <c r="E43" s="378"/>
      <c r="F43" s="378"/>
      <c r="G43" s="378"/>
      <c r="H43" s="378"/>
      <c r="I43" s="378"/>
      <c r="J43" s="378"/>
    </row>
    <row r="44" spans="1:10" ht="24.95" customHeight="1" x14ac:dyDescent="0.25">
      <c r="A44" s="379" t="s">
        <v>471</v>
      </c>
      <c r="B44" s="378"/>
      <c r="C44" s="378"/>
      <c r="D44" s="378"/>
      <c r="E44" s="378"/>
      <c r="F44" s="378"/>
      <c r="G44" s="378"/>
      <c r="H44" s="378"/>
      <c r="I44" s="378"/>
      <c r="J44" s="378"/>
    </row>
  </sheetData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44"/>
  <sheetViews>
    <sheetView view="pageBreakPreview" topLeftCell="A16" zoomScaleNormal="55" zoomScaleSheetLayoutView="100" workbookViewId="0">
      <selection activeCell="M28" sqref="M28"/>
    </sheetView>
  </sheetViews>
  <sheetFormatPr defaultRowHeight="15" x14ac:dyDescent="0.25"/>
  <cols>
    <col min="1" max="9" width="9.140625" style="1"/>
    <col min="10" max="10" width="8" style="1" customWidth="1"/>
    <col min="11" max="16384" width="9.140625" style="1"/>
  </cols>
  <sheetData>
    <row r="1" spans="1:10" ht="50.1" customHeight="1" x14ac:dyDescent="0.25">
      <c r="A1" s="18" t="str">
        <f>название</f>
        <v>Ралли "Skoda - 2019"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x14ac:dyDescent="0.25">
      <c r="A2" s="19"/>
    </row>
    <row r="3" spans="1:10" ht="50.1" customHeight="1" x14ac:dyDescent="0.25">
      <c r="A3" s="18" t="s">
        <v>29</v>
      </c>
      <c r="B3" s="13"/>
      <c r="C3" s="13"/>
      <c r="D3" s="13"/>
      <c r="E3" s="13"/>
      <c r="F3" s="13"/>
      <c r="G3" s="13"/>
      <c r="H3" s="13"/>
      <c r="I3" s="13"/>
      <c r="J3" s="13"/>
    </row>
    <row r="4" spans="1:10" x14ac:dyDescent="0.25">
      <c r="A4" s="19"/>
    </row>
    <row r="5" spans="1:10" ht="50.1" customHeight="1" x14ac:dyDescent="0.25">
      <c r="A5" s="56" t="s">
        <v>244</v>
      </c>
      <c r="B5" s="57"/>
      <c r="C5" s="57"/>
      <c r="D5" s="57"/>
      <c r="E5" s="57"/>
      <c r="F5" s="57"/>
      <c r="G5" s="57"/>
      <c r="H5" s="57"/>
      <c r="I5" s="57"/>
      <c r="J5" s="57"/>
    </row>
    <row r="6" spans="1:10" x14ac:dyDescent="0.25">
      <c r="A6" s="19"/>
    </row>
    <row r="7" spans="1:10" x14ac:dyDescent="0.25">
      <c r="A7" s="19"/>
    </row>
    <row r="8" spans="1:10" x14ac:dyDescent="0.25">
      <c r="A8" s="19"/>
    </row>
    <row r="9" spans="1:10" x14ac:dyDescent="0.25">
      <c r="A9" s="19"/>
    </row>
    <row r="10" spans="1:10" x14ac:dyDescent="0.25">
      <c r="A10" s="19"/>
    </row>
    <row r="11" spans="1:10" x14ac:dyDescent="0.25">
      <c r="A11" s="19"/>
    </row>
    <row r="12" spans="1:10" x14ac:dyDescent="0.25">
      <c r="A12" s="19"/>
    </row>
    <row r="13" spans="1:10" x14ac:dyDescent="0.25">
      <c r="A13" s="19"/>
    </row>
    <row r="14" spans="1:10" x14ac:dyDescent="0.25">
      <c r="A14" s="19"/>
    </row>
    <row r="15" spans="1:10" x14ac:dyDescent="0.25">
      <c r="A15" s="19"/>
    </row>
    <row r="16" spans="1:10" x14ac:dyDescent="0.25">
      <c r="A16" s="19"/>
    </row>
    <row r="17" spans="1:1" x14ac:dyDescent="0.25">
      <c r="A17" s="19"/>
    </row>
    <row r="18" spans="1:1" x14ac:dyDescent="0.25">
      <c r="A18" s="19"/>
    </row>
    <row r="19" spans="1:1" x14ac:dyDescent="0.25">
      <c r="A19" s="19"/>
    </row>
    <row r="20" spans="1:1" x14ac:dyDescent="0.25">
      <c r="A20" s="19"/>
    </row>
    <row r="21" spans="1:1" x14ac:dyDescent="0.25">
      <c r="A21" s="19"/>
    </row>
    <row r="22" spans="1:1" x14ac:dyDescent="0.25">
      <c r="A22" s="19"/>
    </row>
    <row r="23" spans="1:1" x14ac:dyDescent="0.25">
      <c r="A23" s="19"/>
    </row>
    <row r="24" spans="1:1" x14ac:dyDescent="0.25">
      <c r="A24" s="19"/>
    </row>
    <row r="25" spans="1:1" x14ac:dyDescent="0.25">
      <c r="A25" s="19"/>
    </row>
    <row r="26" spans="1:1" x14ac:dyDescent="0.25">
      <c r="A26" s="19"/>
    </row>
    <row r="27" spans="1:1" x14ac:dyDescent="0.25">
      <c r="A27" s="19"/>
    </row>
    <row r="28" spans="1:1" x14ac:dyDescent="0.25">
      <c r="A28" s="19"/>
    </row>
    <row r="29" spans="1:1" x14ac:dyDescent="0.25">
      <c r="A29" s="19"/>
    </row>
    <row r="30" spans="1:1" x14ac:dyDescent="0.25">
      <c r="A30" s="19"/>
    </row>
    <row r="31" spans="1:1" x14ac:dyDescent="0.25">
      <c r="A31" s="19"/>
    </row>
    <row r="32" spans="1:1" x14ac:dyDescent="0.25">
      <c r="A32" s="19"/>
    </row>
    <row r="33" spans="1:10" x14ac:dyDescent="0.25">
      <c r="A33" s="19"/>
    </row>
    <row r="34" spans="1:10" x14ac:dyDescent="0.25">
      <c r="A34" s="19"/>
    </row>
    <row r="35" spans="1:10" x14ac:dyDescent="0.25">
      <c r="A35" s="19"/>
    </row>
    <row r="36" spans="1:10" x14ac:dyDescent="0.25">
      <c r="A36" s="19"/>
    </row>
    <row r="37" spans="1:10" x14ac:dyDescent="0.25">
      <c r="A37" s="19"/>
    </row>
    <row r="38" spans="1:10" x14ac:dyDescent="0.25">
      <c r="A38" s="19"/>
    </row>
    <row r="39" spans="1:10" x14ac:dyDescent="0.25">
      <c r="A39" s="19"/>
    </row>
    <row r="40" spans="1:10" x14ac:dyDescent="0.25">
      <c r="A40" s="19"/>
    </row>
    <row r="41" spans="1:10" x14ac:dyDescent="0.25">
      <c r="A41" s="19"/>
    </row>
    <row r="42" spans="1:10" x14ac:dyDescent="0.25">
      <c r="A42" s="19"/>
    </row>
    <row r="43" spans="1:10" ht="24.95" customHeight="1" x14ac:dyDescent="0.25">
      <c r="A43" s="377" t="str">
        <f>датаРалли</f>
        <v>21 декабря 2019 г.</v>
      </c>
      <c r="B43" s="378"/>
      <c r="C43" s="378"/>
      <c r="D43" s="378"/>
      <c r="E43" s="378"/>
      <c r="F43" s="378"/>
      <c r="G43" s="378"/>
      <c r="H43" s="378"/>
      <c r="I43" s="378"/>
      <c r="J43" s="378"/>
    </row>
    <row r="44" spans="1:10" ht="24.95" customHeight="1" x14ac:dyDescent="0.25">
      <c r="A44" s="379" t="s">
        <v>471</v>
      </c>
      <c r="B44" s="378"/>
      <c r="C44" s="378"/>
      <c r="D44" s="378"/>
      <c r="E44" s="378"/>
      <c r="F44" s="378"/>
      <c r="G44" s="378"/>
      <c r="H44" s="378"/>
      <c r="I44" s="378"/>
      <c r="J44" s="378"/>
    </row>
  </sheetData>
  <pageMargins left="0.59055118110236227" right="0.19685039370078741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N76"/>
  <sheetViews>
    <sheetView showZeros="0" zoomScaleNormal="100" zoomScaleSheetLayoutView="100" workbookViewId="0">
      <selection activeCell="L20" sqref="L20"/>
    </sheetView>
  </sheetViews>
  <sheetFormatPr defaultRowHeight="15" x14ac:dyDescent="0.25"/>
  <cols>
    <col min="1" max="1" width="37.7109375" style="1" customWidth="1"/>
    <col min="2" max="7" width="8.7109375" style="1" customWidth="1"/>
    <col min="8" max="8" width="9.140625" style="1"/>
    <col min="9" max="14" width="9.140625" style="3"/>
    <col min="15" max="15" width="9.5703125" style="1" bestFit="1" customWidth="1"/>
    <col min="16" max="249" width="9.140625" style="1"/>
    <col min="250" max="250" width="18.5703125" style="1" customWidth="1"/>
    <col min="251" max="505" width="9.140625" style="1"/>
    <col min="506" max="506" width="18.5703125" style="1" customWidth="1"/>
    <col min="507" max="761" width="9.140625" style="1"/>
    <col min="762" max="762" width="18.5703125" style="1" customWidth="1"/>
    <col min="763" max="1017" width="9.140625" style="1"/>
    <col min="1018" max="1018" width="18.5703125" style="1" customWidth="1"/>
    <col min="1019" max="1273" width="9.140625" style="1"/>
    <col min="1274" max="1274" width="18.5703125" style="1" customWidth="1"/>
    <col min="1275" max="1529" width="9.140625" style="1"/>
    <col min="1530" max="1530" width="18.5703125" style="1" customWidth="1"/>
    <col min="1531" max="1785" width="9.140625" style="1"/>
    <col min="1786" max="1786" width="18.5703125" style="1" customWidth="1"/>
    <col min="1787" max="2041" width="9.140625" style="1"/>
    <col min="2042" max="2042" width="18.5703125" style="1" customWidth="1"/>
    <col min="2043" max="2297" width="9.140625" style="1"/>
    <col min="2298" max="2298" width="18.5703125" style="1" customWidth="1"/>
    <col min="2299" max="2553" width="9.140625" style="1"/>
    <col min="2554" max="2554" width="18.5703125" style="1" customWidth="1"/>
    <col min="2555" max="2809" width="9.140625" style="1"/>
    <col min="2810" max="2810" width="18.5703125" style="1" customWidth="1"/>
    <col min="2811" max="3065" width="9.140625" style="1"/>
    <col min="3066" max="3066" width="18.5703125" style="1" customWidth="1"/>
    <col min="3067" max="3321" width="9.140625" style="1"/>
    <col min="3322" max="3322" width="18.5703125" style="1" customWidth="1"/>
    <col min="3323" max="3577" width="9.140625" style="1"/>
    <col min="3578" max="3578" width="18.5703125" style="1" customWidth="1"/>
    <col min="3579" max="3833" width="9.140625" style="1"/>
    <col min="3834" max="3834" width="18.5703125" style="1" customWidth="1"/>
    <col min="3835" max="4089" width="9.140625" style="1"/>
    <col min="4090" max="4090" width="18.5703125" style="1" customWidth="1"/>
    <col min="4091" max="4345" width="9.140625" style="1"/>
    <col min="4346" max="4346" width="18.5703125" style="1" customWidth="1"/>
    <col min="4347" max="4601" width="9.140625" style="1"/>
    <col min="4602" max="4602" width="18.5703125" style="1" customWidth="1"/>
    <col min="4603" max="4857" width="9.140625" style="1"/>
    <col min="4858" max="4858" width="18.5703125" style="1" customWidth="1"/>
    <col min="4859" max="5113" width="9.140625" style="1"/>
    <col min="5114" max="5114" width="18.5703125" style="1" customWidth="1"/>
    <col min="5115" max="5369" width="9.140625" style="1"/>
    <col min="5370" max="5370" width="18.5703125" style="1" customWidth="1"/>
    <col min="5371" max="5625" width="9.140625" style="1"/>
    <col min="5626" max="5626" width="18.5703125" style="1" customWidth="1"/>
    <col min="5627" max="5881" width="9.140625" style="1"/>
    <col min="5882" max="5882" width="18.5703125" style="1" customWidth="1"/>
    <col min="5883" max="6137" width="9.140625" style="1"/>
    <col min="6138" max="6138" width="18.5703125" style="1" customWidth="1"/>
    <col min="6139" max="6393" width="9.140625" style="1"/>
    <col min="6394" max="6394" width="18.5703125" style="1" customWidth="1"/>
    <col min="6395" max="6649" width="9.140625" style="1"/>
    <col min="6650" max="6650" width="18.5703125" style="1" customWidth="1"/>
    <col min="6651" max="6905" width="9.140625" style="1"/>
    <col min="6906" max="6906" width="18.5703125" style="1" customWidth="1"/>
    <col min="6907" max="7161" width="9.140625" style="1"/>
    <col min="7162" max="7162" width="18.5703125" style="1" customWidth="1"/>
    <col min="7163" max="7417" width="9.140625" style="1"/>
    <col min="7418" max="7418" width="18.5703125" style="1" customWidth="1"/>
    <col min="7419" max="7673" width="9.140625" style="1"/>
    <col min="7674" max="7674" width="18.5703125" style="1" customWidth="1"/>
    <col min="7675" max="7929" width="9.140625" style="1"/>
    <col min="7930" max="7930" width="18.5703125" style="1" customWidth="1"/>
    <col min="7931" max="8185" width="9.140625" style="1"/>
    <col min="8186" max="8186" width="18.5703125" style="1" customWidth="1"/>
    <col min="8187" max="8441" width="9.140625" style="1"/>
    <col min="8442" max="8442" width="18.5703125" style="1" customWidth="1"/>
    <col min="8443" max="8697" width="9.140625" style="1"/>
    <col min="8698" max="8698" width="18.5703125" style="1" customWidth="1"/>
    <col min="8699" max="8953" width="9.140625" style="1"/>
    <col min="8954" max="8954" width="18.5703125" style="1" customWidth="1"/>
    <col min="8955" max="9209" width="9.140625" style="1"/>
    <col min="9210" max="9210" width="18.5703125" style="1" customWidth="1"/>
    <col min="9211" max="9465" width="9.140625" style="1"/>
    <col min="9466" max="9466" width="18.5703125" style="1" customWidth="1"/>
    <col min="9467" max="9721" width="9.140625" style="1"/>
    <col min="9722" max="9722" width="18.5703125" style="1" customWidth="1"/>
    <col min="9723" max="9977" width="9.140625" style="1"/>
    <col min="9978" max="9978" width="18.5703125" style="1" customWidth="1"/>
    <col min="9979" max="10233" width="9.140625" style="1"/>
    <col min="10234" max="10234" width="18.5703125" style="1" customWidth="1"/>
    <col min="10235" max="10489" width="9.140625" style="1"/>
    <col min="10490" max="10490" width="18.5703125" style="1" customWidth="1"/>
    <col min="10491" max="10745" width="9.140625" style="1"/>
    <col min="10746" max="10746" width="18.5703125" style="1" customWidth="1"/>
    <col min="10747" max="11001" width="9.140625" style="1"/>
    <col min="11002" max="11002" width="18.5703125" style="1" customWidth="1"/>
    <col min="11003" max="11257" width="9.140625" style="1"/>
    <col min="11258" max="11258" width="18.5703125" style="1" customWidth="1"/>
    <col min="11259" max="11513" width="9.140625" style="1"/>
    <col min="11514" max="11514" width="18.5703125" style="1" customWidth="1"/>
    <col min="11515" max="11769" width="9.140625" style="1"/>
    <col min="11770" max="11770" width="18.5703125" style="1" customWidth="1"/>
    <col min="11771" max="12025" width="9.140625" style="1"/>
    <col min="12026" max="12026" width="18.5703125" style="1" customWidth="1"/>
    <col min="12027" max="12281" width="9.140625" style="1"/>
    <col min="12282" max="12282" width="18.5703125" style="1" customWidth="1"/>
    <col min="12283" max="12537" width="9.140625" style="1"/>
    <col min="12538" max="12538" width="18.5703125" style="1" customWidth="1"/>
    <col min="12539" max="12793" width="9.140625" style="1"/>
    <col min="12794" max="12794" width="18.5703125" style="1" customWidth="1"/>
    <col min="12795" max="13049" width="9.140625" style="1"/>
    <col min="13050" max="13050" width="18.5703125" style="1" customWidth="1"/>
    <col min="13051" max="13305" width="9.140625" style="1"/>
    <col min="13306" max="13306" width="18.5703125" style="1" customWidth="1"/>
    <col min="13307" max="13561" width="9.140625" style="1"/>
    <col min="13562" max="13562" width="18.5703125" style="1" customWidth="1"/>
    <col min="13563" max="13817" width="9.140625" style="1"/>
    <col min="13818" max="13818" width="18.5703125" style="1" customWidth="1"/>
    <col min="13819" max="14073" width="9.140625" style="1"/>
    <col min="14074" max="14074" width="18.5703125" style="1" customWidth="1"/>
    <col min="14075" max="14329" width="9.140625" style="1"/>
    <col min="14330" max="14330" width="18.5703125" style="1" customWidth="1"/>
    <col min="14331" max="14585" width="9.140625" style="1"/>
    <col min="14586" max="14586" width="18.5703125" style="1" customWidth="1"/>
    <col min="14587" max="14841" width="9.140625" style="1"/>
    <col min="14842" max="14842" width="18.5703125" style="1" customWidth="1"/>
    <col min="14843" max="15097" width="9.140625" style="1"/>
    <col min="15098" max="15098" width="18.5703125" style="1" customWidth="1"/>
    <col min="15099" max="15353" width="9.140625" style="1"/>
    <col min="15354" max="15354" width="18.5703125" style="1" customWidth="1"/>
    <col min="15355" max="15609" width="9.140625" style="1"/>
    <col min="15610" max="15610" width="18.5703125" style="1" customWidth="1"/>
    <col min="15611" max="15865" width="9.140625" style="1"/>
    <col min="15866" max="15866" width="18.5703125" style="1" customWidth="1"/>
    <col min="15867" max="16121" width="9.140625" style="1"/>
    <col min="16122" max="16122" width="18.5703125" style="1" customWidth="1"/>
    <col min="16123" max="16384" width="9.140625" style="1"/>
  </cols>
  <sheetData>
    <row r="1" spans="1:14" ht="50.1" customHeight="1" x14ac:dyDescent="0.25">
      <c r="A1" s="36" t="str">
        <f>"Маршрутный лист "&amp;название</f>
        <v>Маршрутный лист Ралли "Skoda - 2019"</v>
      </c>
      <c r="B1" s="37"/>
      <c r="C1" s="37"/>
      <c r="D1" s="37"/>
      <c r="E1" s="37"/>
      <c r="F1" s="97"/>
      <c r="G1" s="38"/>
    </row>
    <row r="2" spans="1:14" ht="5.0999999999999996" customHeight="1" x14ac:dyDescent="0.25">
      <c r="A2" s="98"/>
      <c r="B2" s="99"/>
      <c r="C2" s="99"/>
      <c r="D2" s="99"/>
      <c r="E2" s="99"/>
      <c r="F2" s="100"/>
      <c r="G2" s="99"/>
    </row>
    <row r="3" spans="1:14" hidden="1" x14ac:dyDescent="0.25">
      <c r="A3" s="19"/>
      <c r="B3" s="2"/>
      <c r="C3" s="2"/>
      <c r="D3" s="2"/>
      <c r="E3" s="2"/>
      <c r="F3" s="2"/>
      <c r="G3" s="2"/>
    </row>
    <row r="4" spans="1:14" hidden="1" x14ac:dyDescent="0.25">
      <c r="A4" s="19"/>
      <c r="B4" s="2"/>
      <c r="C4" s="2"/>
      <c r="D4" s="2"/>
      <c r="E4" s="2"/>
      <c r="F4" s="2"/>
      <c r="G4" s="2"/>
    </row>
    <row r="5" spans="1:14" hidden="1" x14ac:dyDescent="0.25">
      <c r="A5" s="19"/>
      <c r="B5" s="2"/>
      <c r="C5" s="2"/>
      <c r="D5" s="2"/>
      <c r="E5" s="2"/>
      <c r="F5" s="2"/>
      <c r="G5" s="2"/>
    </row>
    <row r="6" spans="1:14" hidden="1" x14ac:dyDescent="0.25">
      <c r="A6" s="19"/>
      <c r="B6" s="2"/>
      <c r="C6" s="2"/>
      <c r="D6" s="2"/>
      <c r="E6" s="2"/>
      <c r="F6" s="2"/>
      <c r="G6" s="2"/>
    </row>
    <row r="7" spans="1:14" hidden="1" x14ac:dyDescent="0.25">
      <c r="A7" s="19"/>
      <c r="B7" s="2"/>
      <c r="C7" s="2"/>
      <c r="D7" s="2"/>
      <c r="E7" s="2"/>
      <c r="F7" s="2"/>
      <c r="G7" s="2"/>
    </row>
    <row r="8" spans="1:14" hidden="1" x14ac:dyDescent="0.25">
      <c r="A8" s="19"/>
      <c r="B8" s="2"/>
      <c r="C8" s="2"/>
      <c r="D8" s="2"/>
      <c r="E8" s="2"/>
      <c r="F8" s="2"/>
      <c r="G8" s="2"/>
    </row>
    <row r="9" spans="1:14" ht="67.5" x14ac:dyDescent="0.25">
      <c r="A9" s="354" t="s">
        <v>38</v>
      </c>
      <c r="B9" s="340" t="s">
        <v>75</v>
      </c>
      <c r="C9" s="340" t="s">
        <v>82</v>
      </c>
      <c r="D9" s="340" t="s">
        <v>213</v>
      </c>
      <c r="E9" s="340" t="s">
        <v>12</v>
      </c>
      <c r="F9" s="340" t="s">
        <v>74</v>
      </c>
      <c r="G9" s="340" t="s">
        <v>13</v>
      </c>
    </row>
    <row r="10" spans="1:14" hidden="1" x14ac:dyDescent="0.25">
      <c r="A10" s="351" t="str">
        <f>общее!A10</f>
        <v xml:space="preserve">ДП-1 </v>
      </c>
      <c r="B10" s="352" t="str">
        <f>общее!B10</f>
        <v/>
      </c>
      <c r="C10" s="353">
        <f>общее!C10</f>
        <v>0</v>
      </c>
      <c r="D10" s="353">
        <f>общее!D10</f>
        <v>0</v>
      </c>
      <c r="E10" s="352" t="str">
        <f>общее!E10</f>
        <v/>
      </c>
      <c r="F10" s="352">
        <f>общее!F10</f>
        <v>0</v>
      </c>
      <c r="G10" s="353">
        <f>общее!G10</f>
        <v>0.41736111111111113</v>
      </c>
      <c r="H10" s="3"/>
    </row>
    <row r="11" spans="1:14" s="101" customFormat="1" x14ac:dyDescent="0.25">
      <c r="A11" s="348" t="str">
        <f>общее!A11</f>
        <v>ДП-2 Буквы</v>
      </c>
      <c r="B11" s="349" t="str">
        <f>общее!B11</f>
        <v/>
      </c>
      <c r="C11" s="350">
        <f>общее!C11</f>
        <v>0</v>
      </c>
      <c r="D11" s="350">
        <f>общее!D11</f>
        <v>0</v>
      </c>
      <c r="E11" s="349" t="str">
        <f>общее!E11</f>
        <v/>
      </c>
      <c r="F11" s="349">
        <f>общее!F11</f>
        <v>0</v>
      </c>
      <c r="G11" s="350">
        <f>общее!G11</f>
        <v>0.41736111111111113</v>
      </c>
    </row>
    <row r="12" spans="1:14" x14ac:dyDescent="0.25">
      <c r="A12" s="351" t="str">
        <f>общее!A12</f>
        <v>КВ-0 Старт</v>
      </c>
      <c r="B12" s="352" t="str">
        <f>общее!B12</f>
        <v/>
      </c>
      <c r="C12" s="353">
        <f>общее!C12</f>
        <v>0</v>
      </c>
      <c r="D12" s="353">
        <f>общее!D12</f>
        <v>0</v>
      </c>
      <c r="E12" s="352" t="str">
        <f>общее!E12</f>
        <v/>
      </c>
      <c r="F12" s="352">
        <f>общее!F12</f>
        <v>0</v>
      </c>
      <c r="G12" s="353">
        <f>общее!G12</f>
        <v>0.41736111111111113</v>
      </c>
      <c r="H12" s="3"/>
      <c r="I12" s="3" t="s">
        <v>256</v>
      </c>
    </row>
    <row r="13" spans="1:14" s="101" customFormat="1" x14ac:dyDescent="0.25">
      <c r="A13" s="348" t="str">
        <f>общее!A13</f>
        <v>ДС-1 СЛ Аэропорт</v>
      </c>
      <c r="B13" s="349" t="str">
        <f>общее!B13</f>
        <v/>
      </c>
      <c r="C13" s="350">
        <f>общее!C13</f>
        <v>0</v>
      </c>
      <c r="D13" s="350">
        <f>общее!D13</f>
        <v>0</v>
      </c>
      <c r="E13" s="349" t="str">
        <f>общее!E13</f>
        <v/>
      </c>
      <c r="F13" s="349">
        <f>общее!F13</f>
        <v>0</v>
      </c>
      <c r="G13" s="350">
        <f>общее!G13</f>
        <v>0.43320567171702812</v>
      </c>
      <c r="I13" s="3" t="s">
        <v>255</v>
      </c>
      <c r="J13" s="3"/>
      <c r="K13" s="3"/>
      <c r="L13" s="3"/>
      <c r="M13" s="3"/>
      <c r="N13" s="3"/>
    </row>
    <row r="14" spans="1:14" x14ac:dyDescent="0.25">
      <c r="A14" s="351" t="str">
        <f>общее!A14</f>
        <v>КВ-1 Окружная</v>
      </c>
      <c r="B14" s="352">
        <f>общее!B14</f>
        <v>15.34</v>
      </c>
      <c r="C14" s="353">
        <f>общее!C14</f>
        <v>4.86111119389534E-2</v>
      </c>
      <c r="D14" s="353">
        <f>общее!D14</f>
        <v>0</v>
      </c>
      <c r="E14" s="352">
        <f>общее!E14</f>
        <v>13.148571204652596</v>
      </c>
      <c r="F14" s="352">
        <f>общее!F14</f>
        <v>0</v>
      </c>
      <c r="G14" s="353">
        <f>общее!G14</f>
        <v>0.46597222305006453</v>
      </c>
      <c r="H14" s="3"/>
    </row>
    <row r="15" spans="1:14" hidden="1" x14ac:dyDescent="0.25">
      <c r="A15" s="351" t="str">
        <f>общее!A15</f>
        <v>ДС-2 РДС Старая Смоленская дорога</v>
      </c>
      <c r="B15" s="352" t="str">
        <f>общее!B15</f>
        <v/>
      </c>
      <c r="C15" s="353">
        <f>общее!C15</f>
        <v>0</v>
      </c>
      <c r="D15" s="353">
        <f>общее!D15</f>
        <v>0</v>
      </c>
      <c r="E15" s="352" t="str">
        <f>общее!E15</f>
        <v/>
      </c>
      <c r="F15" s="352">
        <f>общее!F15</f>
        <v>0</v>
      </c>
      <c r="G15" s="353">
        <f>общее!G15</f>
        <v>0.46597222305006453</v>
      </c>
      <c r="H15" s="3"/>
      <c r="I15" s="189"/>
    </row>
    <row r="16" spans="1:14" hidden="1" x14ac:dyDescent="0.25">
      <c r="A16" s="351" t="str">
        <f>общее!A16</f>
        <v>СФ-2 1</v>
      </c>
      <c r="B16" s="352" t="str">
        <f>общее!B16</f>
        <v/>
      </c>
      <c r="C16" s="353">
        <f>общее!C16</f>
        <v>0</v>
      </c>
      <c r="D16" s="353">
        <f>общее!D16</f>
        <v>0</v>
      </c>
      <c r="E16" s="352" t="str">
        <f>общее!E16</f>
        <v/>
      </c>
      <c r="F16" s="352">
        <f>общее!F16</f>
        <v>0</v>
      </c>
      <c r="G16" s="353">
        <f>общее!G16</f>
        <v>0.47727575289366614</v>
      </c>
      <c r="H16" s="3"/>
    </row>
    <row r="17" spans="1:14" x14ac:dyDescent="0.25">
      <c r="A17" s="348" t="str">
        <f>общее!A17</f>
        <v>ДСФ-2</v>
      </c>
      <c r="B17" s="349" t="str">
        <f>общее!B17</f>
        <v/>
      </c>
      <c r="C17" s="350">
        <f>общее!C17</f>
        <v>0</v>
      </c>
      <c r="D17" s="350">
        <f>общее!D17</f>
        <v>0</v>
      </c>
      <c r="E17" s="349" t="str">
        <f>общее!E17</f>
        <v/>
      </c>
      <c r="F17" s="349">
        <f>общее!F17</f>
        <v>0</v>
      </c>
      <c r="G17" s="350">
        <f>общее!G17</f>
        <v>0.49069313182219326</v>
      </c>
      <c r="H17" s="3"/>
    </row>
    <row r="18" spans="1:14" x14ac:dyDescent="0.25">
      <c r="A18" s="348" t="str">
        <f>общее!A18</f>
        <v>КВ-2 Духовщина Вход</v>
      </c>
      <c r="B18" s="349">
        <f>общее!B18</f>
        <v>65.539999999999992</v>
      </c>
      <c r="C18" s="350">
        <f>общее!C18</f>
        <v>4.86111119389534E-2</v>
      </c>
      <c r="D18" s="350">
        <f>общее!D18</f>
        <v>0</v>
      </c>
      <c r="E18" s="349">
        <f>общее!E18</f>
        <v>56.177141900451829</v>
      </c>
      <c r="F18" s="349">
        <f>общее!F18</f>
        <v>0</v>
      </c>
      <c r="G18" s="350">
        <f>общее!G18</f>
        <v>0.51458333498901798</v>
      </c>
      <c r="H18" s="3"/>
    </row>
    <row r="19" spans="1:14" s="101" customFormat="1" x14ac:dyDescent="0.25">
      <c r="A19" s="348" t="str">
        <f>общее!A19</f>
        <v>КВ-3 Духовщина Выход</v>
      </c>
      <c r="B19" s="349">
        <f>общее!B19</f>
        <v>21.84</v>
      </c>
      <c r="C19" s="350">
        <f>общее!C19</f>
        <v>2.43055559694767E-2</v>
      </c>
      <c r="D19" s="350">
        <f>общее!D19</f>
        <v>0</v>
      </c>
      <c r="E19" s="349">
        <f>общее!E19</f>
        <v>37.439999362400606</v>
      </c>
      <c r="F19" s="349">
        <f>общее!F19</f>
        <v>0</v>
      </c>
      <c r="G19" s="350">
        <f>общее!G19</f>
        <v>0.53888889095849468</v>
      </c>
      <c r="I19" s="3"/>
      <c r="J19" s="3"/>
      <c r="K19" s="3"/>
      <c r="L19" s="3"/>
      <c r="M19" s="3"/>
      <c r="N19" s="3"/>
    </row>
    <row r="20" spans="1:14" x14ac:dyDescent="0.25">
      <c r="A20" s="351" t="str">
        <f>общее!A20</f>
        <v>КВ-4 М1</v>
      </c>
      <c r="B20" s="352">
        <f>общее!B20</f>
        <v>41</v>
      </c>
      <c r="C20" s="353">
        <f>общее!C20</f>
        <v>2.43055559694767E-2</v>
      </c>
      <c r="D20" s="353">
        <f>общее!D20</f>
        <v>0</v>
      </c>
      <c r="E20" s="352">
        <f>общее!E20</f>
        <v>70.285713088755728</v>
      </c>
      <c r="F20" s="352">
        <f>общее!F20</f>
        <v>0</v>
      </c>
      <c r="G20" s="353">
        <f>общее!G20</f>
        <v>0.56319444692797138</v>
      </c>
      <c r="H20" s="3"/>
    </row>
    <row r="21" spans="1:14" hidden="1" x14ac:dyDescent="0.25">
      <c r="A21" s="351" t="str">
        <f>общее!A21</f>
        <v>ДС-3 РДС Быльники</v>
      </c>
      <c r="B21" s="352" t="str">
        <f>общее!B21</f>
        <v/>
      </c>
      <c r="C21" s="353">
        <f>общее!C21</f>
        <v>0</v>
      </c>
      <c r="D21" s="353">
        <f>общее!D21</f>
        <v>0</v>
      </c>
      <c r="E21" s="352" t="str">
        <f>общее!E21</f>
        <v/>
      </c>
      <c r="F21" s="352">
        <f>общее!F21</f>
        <v>0</v>
      </c>
      <c r="G21" s="353">
        <f>общее!G21</f>
        <v>0.56319444692797138</v>
      </c>
      <c r="H21" s="3"/>
    </row>
    <row r="22" spans="1:14" s="101" customFormat="1" hidden="1" x14ac:dyDescent="0.25">
      <c r="A22" s="351" t="str">
        <f>общее!A22</f>
        <v>СФ-3 1</v>
      </c>
      <c r="B22" s="352" t="str">
        <f>общее!B22</f>
        <v/>
      </c>
      <c r="C22" s="353">
        <f>общее!C22</f>
        <v>0</v>
      </c>
      <c r="D22" s="353">
        <f>общее!D22</f>
        <v>0</v>
      </c>
      <c r="E22" s="352" t="str">
        <f>общее!E22</f>
        <v/>
      </c>
      <c r="F22" s="352">
        <f>общее!F22</f>
        <v>0</v>
      </c>
      <c r="G22" s="353">
        <f>общее!G22</f>
        <v>0.573560547251596</v>
      </c>
      <c r="I22" s="3"/>
      <c r="J22" s="3"/>
      <c r="K22" s="3"/>
      <c r="L22" s="3"/>
      <c r="M22" s="3"/>
      <c r="N22" s="3"/>
    </row>
    <row r="23" spans="1:14" x14ac:dyDescent="0.25">
      <c r="A23" s="348" t="str">
        <f>общее!A23</f>
        <v>ДСФ-3</v>
      </c>
      <c r="B23" s="349" t="str">
        <f>общее!B23</f>
        <v/>
      </c>
      <c r="C23" s="350">
        <f>общее!C23</f>
        <v>0</v>
      </c>
      <c r="D23" s="350">
        <f>общее!D23</f>
        <v>0</v>
      </c>
      <c r="E23" s="349" t="str">
        <f>общее!E23</f>
        <v/>
      </c>
      <c r="F23" s="349">
        <f>общее!F23</f>
        <v>0</v>
      </c>
      <c r="G23" s="350">
        <f>общее!G23</f>
        <v>0.57414711683088404</v>
      </c>
      <c r="H23" s="3"/>
    </row>
    <row r="24" spans="1:14" x14ac:dyDescent="0.25">
      <c r="A24" s="351" t="str">
        <f>общее!A24</f>
        <v>КВ-5 Автобусный парк</v>
      </c>
      <c r="B24" s="352">
        <f>общее!B24</f>
        <v>30.9</v>
      </c>
      <c r="C24" s="353">
        <f>общее!C24</f>
        <v>3.125E-2</v>
      </c>
      <c r="D24" s="353">
        <f>общее!D24</f>
        <v>0</v>
      </c>
      <c r="E24" s="352">
        <f>общее!E24</f>
        <v>41.199999999999996</v>
      </c>
      <c r="F24" s="352">
        <f>общее!F24</f>
        <v>0</v>
      </c>
      <c r="G24" s="353">
        <f>общее!G24</f>
        <v>0.59444444692797138</v>
      </c>
      <c r="H24" s="3"/>
    </row>
    <row r="25" spans="1:14" s="101" customFormat="1" x14ac:dyDescent="0.25">
      <c r="A25" s="348" t="str">
        <f>общее!A25</f>
        <v>ДС-4 СЛ Автобусный парк</v>
      </c>
      <c r="B25" s="349" t="str">
        <f>общее!B25</f>
        <v/>
      </c>
      <c r="C25" s="350">
        <f>общее!C25</f>
        <v>0</v>
      </c>
      <c r="D25" s="350">
        <f>общее!D25</f>
        <v>0</v>
      </c>
      <c r="E25" s="349" t="str">
        <f>общее!E25</f>
        <v/>
      </c>
      <c r="F25" s="349">
        <f>общее!F25</f>
        <v>0</v>
      </c>
      <c r="G25" s="350">
        <f>общее!G25</f>
        <v>0.59537658714963648</v>
      </c>
      <c r="I25" s="3"/>
      <c r="J25" s="3"/>
      <c r="K25" s="3"/>
      <c r="L25" s="3"/>
      <c r="M25" s="3"/>
      <c r="N25" s="3"/>
    </row>
    <row r="26" spans="1:14" hidden="1" x14ac:dyDescent="0.25">
      <c r="A26" s="351" t="str">
        <f>общее!A26</f>
        <v>КВ-6 Центр</v>
      </c>
      <c r="B26" s="352">
        <f>общее!B26</f>
        <v>4.47</v>
      </c>
      <c r="C26" s="353">
        <f>общее!C26</f>
        <v>4.1666667908430099E-2</v>
      </c>
      <c r="D26" s="353">
        <f>общее!D26</f>
        <v>0</v>
      </c>
      <c r="E26" s="352">
        <f>общее!E26</f>
        <v>4.4699998667836232</v>
      </c>
      <c r="F26" s="352">
        <f>общее!F26</f>
        <v>0</v>
      </c>
      <c r="G26" s="353">
        <f>общее!G26</f>
        <v>0.63611111483640148</v>
      </c>
      <c r="H26" s="3"/>
    </row>
    <row r="27" spans="1:14" hidden="1" x14ac:dyDescent="0.25">
      <c r="A27" s="351" t="str">
        <f>общее!A27</f>
        <v>ВКП-1 Воровского</v>
      </c>
      <c r="B27" s="352" t="str">
        <f>общее!B27</f>
        <v/>
      </c>
      <c r="C27" s="353">
        <f>общее!C27</f>
        <v>0</v>
      </c>
      <c r="D27" s="353">
        <f>общее!D27</f>
        <v>0</v>
      </c>
      <c r="E27" s="352" t="str">
        <f>общее!E27</f>
        <v/>
      </c>
      <c r="F27" s="352">
        <f>общее!F27</f>
        <v>0</v>
      </c>
      <c r="G27" s="353">
        <f>общее!G27</f>
        <v>0.64303412586191888</v>
      </c>
      <c r="H27" s="3"/>
    </row>
    <row r="28" spans="1:14" s="101" customFormat="1" hidden="1" x14ac:dyDescent="0.25">
      <c r="A28" s="351" t="str">
        <f>общее!A28</f>
        <v>ВКП-2 Ипподром</v>
      </c>
      <c r="B28" s="352" t="str">
        <f>общее!B28</f>
        <v/>
      </c>
      <c r="C28" s="353">
        <f>общее!C28</f>
        <v>0</v>
      </c>
      <c r="D28" s="353">
        <f>общее!D28</f>
        <v>0</v>
      </c>
      <c r="E28" s="352" t="str">
        <f>общее!E28</f>
        <v/>
      </c>
      <c r="F28" s="352">
        <f>общее!F28</f>
        <v>0</v>
      </c>
      <c r="G28" s="353">
        <f>общее!G28</f>
        <v>0.65844479127166189</v>
      </c>
      <c r="I28" s="3"/>
      <c r="J28" s="3"/>
      <c r="K28" s="3"/>
      <c r="L28" s="3"/>
      <c r="M28" s="3"/>
      <c r="N28" s="3"/>
    </row>
    <row r="29" spans="1:14" x14ac:dyDescent="0.25">
      <c r="A29" s="348" t="str">
        <f>общее!A29</f>
        <v>КВ-7 Финиш</v>
      </c>
      <c r="B29" s="349">
        <f>общее!B29</f>
        <v>12.96</v>
      </c>
      <c r="C29" s="350">
        <f>общее!C29</f>
        <v>2.777777798473835E-2</v>
      </c>
      <c r="D29" s="350">
        <f>общее!D29</f>
        <v>0</v>
      </c>
      <c r="E29" s="349">
        <f>общее!E29</f>
        <v>19.439999855160718</v>
      </c>
      <c r="F29" s="349">
        <f>общее!F29</f>
        <v>0</v>
      </c>
      <c r="G29" s="350">
        <f>общее!G29</f>
        <v>0.66388889282113994</v>
      </c>
      <c r="H29" s="3"/>
    </row>
    <row r="30" spans="1:14" hidden="1" x14ac:dyDescent="0.25">
      <c r="A30" s="351">
        <f>общее!A30</f>
        <v>0</v>
      </c>
      <c r="B30" s="352" t="str">
        <f>общее!B30</f>
        <v/>
      </c>
      <c r="C30" s="353">
        <f>общее!C30</f>
        <v>0</v>
      </c>
      <c r="D30" s="353">
        <f>общее!D30</f>
        <v>0</v>
      </c>
      <c r="E30" s="352" t="str">
        <f>общее!E30</f>
        <v/>
      </c>
      <c r="F30" s="352">
        <f>общее!F30</f>
        <v>0</v>
      </c>
      <c r="G30" s="353">
        <f>общее!G30</f>
        <v>0.66388889282113994</v>
      </c>
      <c r="H30" s="3"/>
    </row>
    <row r="31" spans="1:14" s="101" customFormat="1" hidden="1" x14ac:dyDescent="0.25">
      <c r="A31" s="351">
        <f>общее!A31</f>
        <v>0</v>
      </c>
      <c r="B31" s="352" t="str">
        <f>общее!B31</f>
        <v/>
      </c>
      <c r="C31" s="353">
        <f>общее!C31</f>
        <v>0</v>
      </c>
      <c r="D31" s="353">
        <f>общее!D31</f>
        <v>0</v>
      </c>
      <c r="E31" s="352" t="str">
        <f>общее!E31</f>
        <v/>
      </c>
      <c r="F31" s="352">
        <f>общее!F31</f>
        <v>0</v>
      </c>
      <c r="G31" s="353">
        <f>общее!G31</f>
        <v>0.66388889282113994</v>
      </c>
      <c r="I31" s="3"/>
      <c r="J31" s="3"/>
      <c r="K31" s="3"/>
      <c r="L31" s="3"/>
      <c r="M31" s="3"/>
      <c r="N31" s="3"/>
    </row>
    <row r="32" spans="1:14" hidden="1" x14ac:dyDescent="0.25">
      <c r="A32" s="351">
        <f>общее!A32</f>
        <v>0</v>
      </c>
      <c r="B32" s="352" t="str">
        <f>общее!B32</f>
        <v/>
      </c>
      <c r="C32" s="353">
        <f>общее!C32</f>
        <v>0</v>
      </c>
      <c r="D32" s="353">
        <f>общее!D32</f>
        <v>0</v>
      </c>
      <c r="E32" s="352" t="str">
        <f>общее!E32</f>
        <v/>
      </c>
      <c r="F32" s="352">
        <f>общее!F32</f>
        <v>0</v>
      </c>
      <c r="G32" s="353">
        <f>общее!G32</f>
        <v>0.66388889282113994</v>
      </c>
      <c r="H32" s="3"/>
    </row>
    <row r="33" spans="1:8" hidden="1" x14ac:dyDescent="0.25">
      <c r="A33" s="351">
        <f>общее!A33</f>
        <v>0</v>
      </c>
      <c r="B33" s="352" t="str">
        <f>общее!B33</f>
        <v/>
      </c>
      <c r="C33" s="353">
        <f>общее!C33</f>
        <v>0</v>
      </c>
      <c r="D33" s="353">
        <f>общее!D33</f>
        <v>0</v>
      </c>
      <c r="E33" s="352" t="str">
        <f>общее!E33</f>
        <v/>
      </c>
      <c r="F33" s="352">
        <f>общее!F33</f>
        <v>0</v>
      </c>
      <c r="G33" s="353">
        <f>общее!G33</f>
        <v>0.66388889282113994</v>
      </c>
      <c r="H33" s="3"/>
    </row>
    <row r="34" spans="1:8" hidden="1" x14ac:dyDescent="0.25">
      <c r="A34" s="351">
        <f>общее!A34</f>
        <v>0</v>
      </c>
      <c r="B34" s="352" t="str">
        <f>общее!B34</f>
        <v/>
      </c>
      <c r="C34" s="353">
        <f>общее!C34</f>
        <v>0</v>
      </c>
      <c r="D34" s="353">
        <f>общее!D34</f>
        <v>0</v>
      </c>
      <c r="E34" s="352" t="str">
        <f>общее!E34</f>
        <v/>
      </c>
      <c r="F34" s="352">
        <f>общее!F34</f>
        <v>0</v>
      </c>
      <c r="G34" s="353">
        <f>общее!G34</f>
        <v>0.66388889282113994</v>
      </c>
      <c r="H34" s="3"/>
    </row>
    <row r="35" spans="1:8" hidden="1" x14ac:dyDescent="0.25">
      <c r="A35" s="351">
        <f>общее!A35</f>
        <v>0</v>
      </c>
      <c r="B35" s="352" t="str">
        <f>общее!B35</f>
        <v/>
      </c>
      <c r="C35" s="353">
        <f>общее!C35</f>
        <v>0</v>
      </c>
      <c r="D35" s="353">
        <f>общее!D35</f>
        <v>0</v>
      </c>
      <c r="E35" s="352" t="str">
        <f>общее!E35</f>
        <v/>
      </c>
      <c r="F35" s="352">
        <f>общее!F35</f>
        <v>0</v>
      </c>
      <c r="G35" s="353">
        <f>общее!G35</f>
        <v>0.66388889282113994</v>
      </c>
      <c r="H35" s="3"/>
    </row>
    <row r="36" spans="1:8" hidden="1" x14ac:dyDescent="0.25">
      <c r="A36" s="351">
        <f>общее!A36</f>
        <v>0</v>
      </c>
      <c r="B36" s="352" t="str">
        <f>общее!B36</f>
        <v/>
      </c>
      <c r="C36" s="353">
        <f>общее!C36</f>
        <v>0</v>
      </c>
      <c r="D36" s="353">
        <f>общее!D36</f>
        <v>0</v>
      </c>
      <c r="E36" s="352" t="str">
        <f>общее!E36</f>
        <v/>
      </c>
      <c r="F36" s="352">
        <f>общее!F36</f>
        <v>0</v>
      </c>
      <c r="G36" s="353">
        <f>общее!G36</f>
        <v>0.66388889282113994</v>
      </c>
      <c r="H36" s="3"/>
    </row>
    <row r="37" spans="1:8" hidden="1" x14ac:dyDescent="0.25">
      <c r="A37" s="351">
        <f>общее!A37</f>
        <v>0</v>
      </c>
      <c r="B37" s="352" t="str">
        <f>общее!B37</f>
        <v/>
      </c>
      <c r="C37" s="353">
        <f>общее!C37</f>
        <v>0</v>
      </c>
      <c r="D37" s="353">
        <f>общее!D37</f>
        <v>0</v>
      </c>
      <c r="E37" s="352" t="str">
        <f>общее!E37</f>
        <v/>
      </c>
      <c r="F37" s="352">
        <f>общее!F37</f>
        <v>0</v>
      </c>
      <c r="G37" s="353">
        <f>общее!G37</f>
        <v>0.66388889282113994</v>
      </c>
      <c r="H37" s="3"/>
    </row>
    <row r="38" spans="1:8" hidden="1" x14ac:dyDescent="0.25">
      <c r="A38" s="351">
        <f>общее!A38</f>
        <v>0</v>
      </c>
      <c r="B38" s="352" t="str">
        <f>общее!B38</f>
        <v/>
      </c>
      <c r="C38" s="353">
        <f>общее!C38</f>
        <v>0</v>
      </c>
      <c r="D38" s="353">
        <f>общее!D38</f>
        <v>0</v>
      </c>
      <c r="E38" s="352" t="str">
        <f>общее!E38</f>
        <v/>
      </c>
      <c r="F38" s="352">
        <f>общее!F38</f>
        <v>0</v>
      </c>
      <c r="G38" s="353">
        <f>общее!G38</f>
        <v>0.66388889282113994</v>
      </c>
      <c r="H38" s="3"/>
    </row>
    <row r="39" spans="1:8" hidden="1" x14ac:dyDescent="0.25">
      <c r="A39" s="351">
        <f>общее!A39</f>
        <v>0</v>
      </c>
      <c r="B39" s="352" t="str">
        <f>общее!B39</f>
        <v/>
      </c>
      <c r="C39" s="353">
        <f>общее!C39</f>
        <v>0</v>
      </c>
      <c r="D39" s="353">
        <f>общее!D39</f>
        <v>0</v>
      </c>
      <c r="E39" s="352" t="str">
        <f>общее!E39</f>
        <v/>
      </c>
      <c r="F39" s="352">
        <f>общее!F39</f>
        <v>0</v>
      </c>
      <c r="G39" s="353">
        <f>общее!G39</f>
        <v>0.66388889282113994</v>
      </c>
      <c r="H39" s="3"/>
    </row>
    <row r="40" spans="1:8" hidden="1" x14ac:dyDescent="0.25">
      <c r="A40" s="351">
        <f>общее!A40</f>
        <v>0</v>
      </c>
      <c r="B40" s="352" t="str">
        <f>общее!B40</f>
        <v/>
      </c>
      <c r="C40" s="353">
        <f>общее!C40</f>
        <v>0</v>
      </c>
      <c r="D40" s="353">
        <f>общее!D40</f>
        <v>0</v>
      </c>
      <c r="E40" s="352" t="str">
        <f>общее!E40</f>
        <v/>
      </c>
      <c r="F40" s="352">
        <f>общее!F40</f>
        <v>0</v>
      </c>
      <c r="G40" s="353">
        <f>общее!G40</f>
        <v>0.66388889282113994</v>
      </c>
      <c r="H40" s="3"/>
    </row>
    <row r="41" spans="1:8" hidden="1" x14ac:dyDescent="0.25">
      <c r="A41" s="351">
        <f>общее!A41</f>
        <v>0</v>
      </c>
      <c r="B41" s="352" t="str">
        <f>общее!B41</f>
        <v/>
      </c>
      <c r="C41" s="353">
        <f>общее!C41</f>
        <v>0</v>
      </c>
      <c r="D41" s="353">
        <f>общее!D41</f>
        <v>0</v>
      </c>
      <c r="E41" s="352" t="str">
        <f>общее!E41</f>
        <v/>
      </c>
      <c r="F41" s="352">
        <f>общее!F41</f>
        <v>0</v>
      </c>
      <c r="G41" s="353">
        <f>общее!G41</f>
        <v>0.66388889282113994</v>
      </c>
      <c r="H41" s="3"/>
    </row>
    <row r="42" spans="1:8" hidden="1" x14ac:dyDescent="0.25">
      <c r="A42" s="351">
        <f>общее!A42</f>
        <v>0</v>
      </c>
      <c r="B42" s="352" t="str">
        <f>общее!B42</f>
        <v/>
      </c>
      <c r="C42" s="353">
        <f>общее!C42</f>
        <v>0</v>
      </c>
      <c r="D42" s="353">
        <f>общее!D42</f>
        <v>0</v>
      </c>
      <c r="E42" s="352" t="str">
        <f>общее!E42</f>
        <v/>
      </c>
      <c r="F42" s="352">
        <f>общее!F42</f>
        <v>0</v>
      </c>
      <c r="G42" s="353">
        <f>общее!G42</f>
        <v>0.66388889282113994</v>
      </c>
      <c r="H42" s="3"/>
    </row>
    <row r="43" spans="1:8" hidden="1" x14ac:dyDescent="0.25">
      <c r="A43" s="351">
        <f>общее!A43</f>
        <v>0</v>
      </c>
      <c r="B43" s="352" t="str">
        <f>общее!B43</f>
        <v/>
      </c>
      <c r="C43" s="353">
        <f>общее!C43</f>
        <v>0</v>
      </c>
      <c r="D43" s="353">
        <f>общее!D43</f>
        <v>0</v>
      </c>
      <c r="E43" s="352" t="str">
        <f>общее!E43</f>
        <v/>
      </c>
      <c r="F43" s="352">
        <f>общее!F43</f>
        <v>0</v>
      </c>
      <c r="G43" s="353">
        <f>общее!G43</f>
        <v>0.66388889282113994</v>
      </c>
      <c r="H43" s="3"/>
    </row>
    <row r="44" spans="1:8" hidden="1" x14ac:dyDescent="0.25">
      <c r="A44" s="351">
        <f>общее!A44</f>
        <v>0</v>
      </c>
      <c r="B44" s="352" t="str">
        <f>общее!B44</f>
        <v/>
      </c>
      <c r="C44" s="353">
        <f>общее!C44</f>
        <v>0</v>
      </c>
      <c r="D44" s="353">
        <f>общее!D44</f>
        <v>0</v>
      </c>
      <c r="E44" s="352" t="str">
        <f>общее!E44</f>
        <v/>
      </c>
      <c r="F44" s="352">
        <f>общее!F44</f>
        <v>0</v>
      </c>
      <c r="G44" s="353">
        <f>общее!G44</f>
        <v>0.66388889282113994</v>
      </c>
      <c r="H44" s="3"/>
    </row>
    <row r="45" spans="1:8" hidden="1" x14ac:dyDescent="0.25">
      <c r="A45" s="351">
        <f>общее!A45</f>
        <v>0</v>
      </c>
      <c r="B45" s="352" t="str">
        <f>общее!B45</f>
        <v/>
      </c>
      <c r="C45" s="353">
        <f>общее!C45</f>
        <v>0</v>
      </c>
      <c r="D45" s="353">
        <f>общее!D45</f>
        <v>0</v>
      </c>
      <c r="E45" s="352" t="str">
        <f>общее!E45</f>
        <v/>
      </c>
      <c r="F45" s="352">
        <f>общее!F45</f>
        <v>0</v>
      </c>
      <c r="G45" s="353">
        <f>общее!G45</f>
        <v>0.66388889282113994</v>
      </c>
      <c r="H45" s="3"/>
    </row>
    <row r="46" spans="1:8" hidden="1" x14ac:dyDescent="0.25">
      <c r="A46" s="351">
        <f>общее!A46</f>
        <v>0</v>
      </c>
      <c r="B46" s="352" t="str">
        <f>общее!B46</f>
        <v/>
      </c>
      <c r="C46" s="353">
        <f>общее!C46</f>
        <v>0</v>
      </c>
      <c r="D46" s="353">
        <f>общее!D46</f>
        <v>0</v>
      </c>
      <c r="E46" s="352" t="str">
        <f>общее!E46</f>
        <v/>
      </c>
      <c r="F46" s="352">
        <f>общее!F46</f>
        <v>0</v>
      </c>
      <c r="G46" s="353">
        <f>общее!G46</f>
        <v>0.66388889282113994</v>
      </c>
      <c r="H46" s="3"/>
    </row>
    <row r="47" spans="1:8" hidden="1" x14ac:dyDescent="0.25">
      <c r="A47" s="351">
        <f>общее!A47</f>
        <v>0</v>
      </c>
      <c r="B47" s="352" t="str">
        <f>общее!B47</f>
        <v/>
      </c>
      <c r="C47" s="353">
        <f>общее!C47</f>
        <v>0</v>
      </c>
      <c r="D47" s="353">
        <f>общее!D47</f>
        <v>0</v>
      </c>
      <c r="E47" s="352" t="str">
        <f>общее!E47</f>
        <v/>
      </c>
      <c r="F47" s="352">
        <f>общее!F47</f>
        <v>0</v>
      </c>
      <c r="G47" s="353">
        <f>общее!G47</f>
        <v>0.66388889282113994</v>
      </c>
      <c r="H47" s="3"/>
    </row>
    <row r="48" spans="1:8" hidden="1" x14ac:dyDescent="0.25">
      <c r="A48" s="351">
        <f>общее!A48</f>
        <v>0</v>
      </c>
      <c r="B48" s="352" t="str">
        <f>общее!B48</f>
        <v/>
      </c>
      <c r="C48" s="353">
        <f>общее!C48</f>
        <v>0</v>
      </c>
      <c r="D48" s="353">
        <f>общее!D48</f>
        <v>0</v>
      </c>
      <c r="E48" s="352" t="str">
        <f>общее!E48</f>
        <v/>
      </c>
      <c r="F48" s="352">
        <f>общее!F48</f>
        <v>0</v>
      </c>
      <c r="G48" s="353">
        <f>общее!G48</f>
        <v>0.66388889282113994</v>
      </c>
      <c r="H48" s="3"/>
    </row>
    <row r="49" spans="1:8" hidden="1" x14ac:dyDescent="0.25">
      <c r="A49" s="351">
        <f>общее!A49</f>
        <v>0</v>
      </c>
      <c r="B49" s="352" t="str">
        <f>общее!B49</f>
        <v/>
      </c>
      <c r="C49" s="353">
        <f>общее!C49</f>
        <v>0</v>
      </c>
      <c r="D49" s="353">
        <f>общее!D49</f>
        <v>0</v>
      </c>
      <c r="E49" s="352" t="str">
        <f>общее!E49</f>
        <v/>
      </c>
      <c r="F49" s="352">
        <f>общее!F49</f>
        <v>0</v>
      </c>
      <c r="G49" s="353">
        <f>общее!G49</f>
        <v>0.66388889282113994</v>
      </c>
      <c r="H49" s="3"/>
    </row>
    <row r="50" spans="1:8" hidden="1" x14ac:dyDescent="0.25">
      <c r="A50" s="351">
        <f>общее!A50</f>
        <v>0</v>
      </c>
      <c r="B50" s="352" t="str">
        <f>общее!B50</f>
        <v/>
      </c>
      <c r="C50" s="353">
        <f>общее!C50</f>
        <v>0</v>
      </c>
      <c r="D50" s="353">
        <f>общее!D50</f>
        <v>0</v>
      </c>
      <c r="E50" s="352" t="str">
        <f>общее!E50</f>
        <v/>
      </c>
      <c r="F50" s="352">
        <f>общее!F50</f>
        <v>0</v>
      </c>
      <c r="G50" s="353">
        <f>общее!G50</f>
        <v>0.66388889282113994</v>
      </c>
      <c r="H50" s="3"/>
    </row>
    <row r="51" spans="1:8" hidden="1" x14ac:dyDescent="0.25">
      <c r="A51" s="351">
        <f>общее!A51</f>
        <v>0</v>
      </c>
      <c r="B51" s="352" t="str">
        <f>общее!B51</f>
        <v/>
      </c>
      <c r="C51" s="353">
        <f>общее!C51</f>
        <v>0</v>
      </c>
      <c r="D51" s="353">
        <f>общее!D51</f>
        <v>0</v>
      </c>
      <c r="E51" s="352" t="str">
        <f>общее!E51</f>
        <v/>
      </c>
      <c r="F51" s="352">
        <f>общее!F51</f>
        <v>0</v>
      </c>
      <c r="G51" s="353">
        <f>общее!G51</f>
        <v>0.66388889282113994</v>
      </c>
      <c r="H51" s="3"/>
    </row>
    <row r="52" spans="1:8" hidden="1" x14ac:dyDescent="0.25">
      <c r="A52" s="351">
        <f>общее!A52</f>
        <v>0</v>
      </c>
      <c r="B52" s="352" t="str">
        <f>общее!B52</f>
        <v/>
      </c>
      <c r="C52" s="353">
        <f>общее!C52</f>
        <v>0</v>
      </c>
      <c r="D52" s="353">
        <f>общее!D52</f>
        <v>0</v>
      </c>
      <c r="E52" s="352" t="str">
        <f>общее!E52</f>
        <v/>
      </c>
      <c r="F52" s="352">
        <f>общее!F52</f>
        <v>0</v>
      </c>
      <c r="G52" s="353">
        <f>общее!G52</f>
        <v>0.66388889282113994</v>
      </c>
      <c r="H52" s="3"/>
    </row>
    <row r="53" spans="1:8" hidden="1" x14ac:dyDescent="0.25">
      <c r="A53" s="351">
        <f>общее!A53</f>
        <v>0</v>
      </c>
      <c r="B53" s="352" t="str">
        <f>общее!B53</f>
        <v/>
      </c>
      <c r="C53" s="353">
        <f>общее!C53</f>
        <v>0</v>
      </c>
      <c r="D53" s="353">
        <f>общее!D53</f>
        <v>0</v>
      </c>
      <c r="E53" s="352" t="str">
        <f>общее!E53</f>
        <v/>
      </c>
      <c r="F53" s="352">
        <f>общее!F53</f>
        <v>0</v>
      </c>
      <c r="G53" s="353">
        <f>общее!G53</f>
        <v>0.66388889282113994</v>
      </c>
      <c r="H53" s="3"/>
    </row>
    <row r="54" spans="1:8" hidden="1" x14ac:dyDescent="0.25">
      <c r="A54" s="351">
        <f>общее!A54</f>
        <v>0</v>
      </c>
      <c r="B54" s="352" t="str">
        <f>общее!B54</f>
        <v/>
      </c>
      <c r="C54" s="353">
        <f>общее!C54</f>
        <v>0</v>
      </c>
      <c r="D54" s="353">
        <f>общее!D54</f>
        <v>0</v>
      </c>
      <c r="E54" s="352" t="str">
        <f>общее!E54</f>
        <v/>
      </c>
      <c r="F54" s="352">
        <f>общее!F54</f>
        <v>0</v>
      </c>
      <c r="G54" s="353">
        <f>общее!G54</f>
        <v>0.66388889282113994</v>
      </c>
      <c r="H54" s="3"/>
    </row>
    <row r="55" spans="1:8" hidden="1" x14ac:dyDescent="0.25">
      <c r="A55" s="351">
        <f>общее!A55</f>
        <v>0</v>
      </c>
      <c r="B55" s="352" t="str">
        <f>общее!B55</f>
        <v/>
      </c>
      <c r="C55" s="353">
        <f>общее!C55</f>
        <v>0</v>
      </c>
      <c r="D55" s="353">
        <f>общее!D55</f>
        <v>0</v>
      </c>
      <c r="E55" s="352" t="str">
        <f>общее!E55</f>
        <v/>
      </c>
      <c r="F55" s="352">
        <f>общее!F55</f>
        <v>0</v>
      </c>
      <c r="G55" s="353">
        <f>общее!G55</f>
        <v>0.66388889282113994</v>
      </c>
      <c r="H55" s="3"/>
    </row>
    <row r="56" spans="1:8" hidden="1" x14ac:dyDescent="0.25">
      <c r="A56" s="351">
        <f>общее!A56</f>
        <v>0</v>
      </c>
      <c r="B56" s="352" t="str">
        <f>общее!B56</f>
        <v/>
      </c>
      <c r="C56" s="353">
        <f>общее!C56</f>
        <v>0</v>
      </c>
      <c r="D56" s="353">
        <f>общее!D56</f>
        <v>0</v>
      </c>
      <c r="E56" s="352" t="str">
        <f>общее!E56</f>
        <v/>
      </c>
      <c r="F56" s="352">
        <f>общее!F56</f>
        <v>0</v>
      </c>
      <c r="G56" s="353">
        <f>общее!G56</f>
        <v>0.66388889282113994</v>
      </c>
      <c r="H56" s="3"/>
    </row>
    <row r="57" spans="1:8" hidden="1" x14ac:dyDescent="0.25">
      <c r="A57" s="351">
        <f>общее!A57</f>
        <v>0</v>
      </c>
      <c r="B57" s="352" t="str">
        <f>общее!B57</f>
        <v/>
      </c>
      <c r="C57" s="353">
        <f>общее!C57</f>
        <v>0</v>
      </c>
      <c r="D57" s="353">
        <f>общее!D57</f>
        <v>0</v>
      </c>
      <c r="E57" s="352" t="str">
        <f>общее!E57</f>
        <v/>
      </c>
      <c r="F57" s="352">
        <f>общее!F57</f>
        <v>0</v>
      </c>
      <c r="G57" s="353">
        <f>общее!G57</f>
        <v>0.66388889282113994</v>
      </c>
      <c r="H57" s="3"/>
    </row>
    <row r="58" spans="1:8" hidden="1" x14ac:dyDescent="0.25">
      <c r="A58" s="351">
        <f>общее!A58</f>
        <v>0</v>
      </c>
      <c r="B58" s="352" t="str">
        <f>общее!B58</f>
        <v/>
      </c>
      <c r="C58" s="353">
        <f>общее!C58</f>
        <v>0</v>
      </c>
      <c r="D58" s="353">
        <f>общее!D58</f>
        <v>0</v>
      </c>
      <c r="E58" s="352" t="str">
        <f>общее!E58</f>
        <v/>
      </c>
      <c r="F58" s="352">
        <f>общее!F58</f>
        <v>0</v>
      </c>
      <c r="G58" s="353">
        <f>общее!G58</f>
        <v>0.66388889282113994</v>
      </c>
      <c r="H58" s="3"/>
    </row>
    <row r="59" spans="1:8" hidden="1" x14ac:dyDescent="0.25">
      <c r="A59" s="351">
        <f>общее!A59</f>
        <v>0</v>
      </c>
      <c r="B59" s="352" t="str">
        <f>общее!B59</f>
        <v/>
      </c>
      <c r="C59" s="353">
        <f>общее!C59</f>
        <v>0</v>
      </c>
      <c r="D59" s="353">
        <f>общее!D59</f>
        <v>0</v>
      </c>
      <c r="E59" s="352" t="str">
        <f>общее!E59</f>
        <v/>
      </c>
      <c r="F59" s="352">
        <f>общее!F59</f>
        <v>0</v>
      </c>
      <c r="G59" s="353">
        <f>общее!G59</f>
        <v>0.66388889282113994</v>
      </c>
      <c r="H59" s="3"/>
    </row>
    <row r="60" spans="1:8" hidden="1" x14ac:dyDescent="0.25">
      <c r="A60" s="351">
        <f>общее!A60</f>
        <v>0</v>
      </c>
      <c r="B60" s="352" t="str">
        <f>общее!B60</f>
        <v/>
      </c>
      <c r="C60" s="353">
        <f>общее!C60</f>
        <v>0</v>
      </c>
      <c r="D60" s="353">
        <f>общее!D60</f>
        <v>0</v>
      </c>
      <c r="E60" s="352" t="str">
        <f>общее!E60</f>
        <v/>
      </c>
      <c r="F60" s="352">
        <f>общее!F60</f>
        <v>0</v>
      </c>
      <c r="G60" s="353">
        <f>общее!G60</f>
        <v>0.66388889282113994</v>
      </c>
      <c r="H60" s="3"/>
    </row>
    <row r="61" spans="1:8" hidden="1" x14ac:dyDescent="0.25">
      <c r="A61" s="351">
        <f>общее!A61</f>
        <v>0</v>
      </c>
      <c r="B61" s="352" t="str">
        <f>общее!B61</f>
        <v/>
      </c>
      <c r="C61" s="353">
        <f>общее!C61</f>
        <v>0</v>
      </c>
      <c r="D61" s="353">
        <f>общее!D61</f>
        <v>0</v>
      </c>
      <c r="E61" s="352" t="str">
        <f>общее!E61</f>
        <v/>
      </c>
      <c r="F61" s="352">
        <f>общее!F61</f>
        <v>0</v>
      </c>
      <c r="G61" s="353">
        <f>общее!G61</f>
        <v>0.66388889282113994</v>
      </c>
      <c r="H61" s="3"/>
    </row>
    <row r="62" spans="1:8" hidden="1" x14ac:dyDescent="0.25">
      <c r="A62" s="351">
        <f>общее!A62</f>
        <v>0</v>
      </c>
      <c r="B62" s="352" t="str">
        <f>общее!B62</f>
        <v/>
      </c>
      <c r="C62" s="353">
        <f>общее!C62</f>
        <v>0</v>
      </c>
      <c r="D62" s="353">
        <f>общее!D62</f>
        <v>0</v>
      </c>
      <c r="E62" s="352" t="str">
        <f>общее!E62</f>
        <v/>
      </c>
      <c r="F62" s="352">
        <f>общее!F62</f>
        <v>0</v>
      </c>
      <c r="G62" s="353">
        <f>общее!G62</f>
        <v>0.66388889282113994</v>
      </c>
      <c r="H62" s="3"/>
    </row>
    <row r="63" spans="1:8" hidden="1" x14ac:dyDescent="0.25">
      <c r="A63" s="351">
        <f>общее!A63</f>
        <v>0</v>
      </c>
      <c r="B63" s="352" t="str">
        <f>общее!B63</f>
        <v/>
      </c>
      <c r="C63" s="353">
        <f>общее!C63</f>
        <v>0</v>
      </c>
      <c r="D63" s="353">
        <f>общее!D63</f>
        <v>0</v>
      </c>
      <c r="E63" s="352" t="str">
        <f>общее!E63</f>
        <v/>
      </c>
      <c r="F63" s="352">
        <f>общее!F63</f>
        <v>0</v>
      </c>
      <c r="G63" s="353">
        <f>общее!G63</f>
        <v>0.66388889282113994</v>
      </c>
      <c r="H63" s="3"/>
    </row>
    <row r="64" spans="1:8" hidden="1" x14ac:dyDescent="0.25">
      <c r="A64" s="351">
        <f>общее!A64</f>
        <v>0</v>
      </c>
      <c r="B64" s="352" t="str">
        <f>общее!B64</f>
        <v/>
      </c>
      <c r="C64" s="353">
        <f>общее!C64</f>
        <v>0</v>
      </c>
      <c r="D64" s="353">
        <f>общее!D64</f>
        <v>0</v>
      </c>
      <c r="E64" s="352" t="str">
        <f>общее!E64</f>
        <v/>
      </c>
      <c r="F64" s="352">
        <f>общее!F64</f>
        <v>0</v>
      </c>
      <c r="G64" s="353">
        <f>общее!G64</f>
        <v>0.66388889282113994</v>
      </c>
      <c r="H64" s="3"/>
    </row>
    <row r="65" spans="1:8" hidden="1" x14ac:dyDescent="0.25">
      <c r="A65" s="351">
        <f>общее!A65</f>
        <v>0</v>
      </c>
      <c r="B65" s="352" t="str">
        <f>общее!B65</f>
        <v/>
      </c>
      <c r="C65" s="353">
        <f>общее!C65</f>
        <v>0</v>
      </c>
      <c r="D65" s="353">
        <f>общее!D65</f>
        <v>0</v>
      </c>
      <c r="E65" s="352" t="str">
        <f>общее!E65</f>
        <v/>
      </c>
      <c r="F65" s="352">
        <f>общее!F65</f>
        <v>0</v>
      </c>
      <c r="G65" s="353">
        <f>общее!G65</f>
        <v>0.66388889282113994</v>
      </c>
      <c r="H65" s="3"/>
    </row>
    <row r="66" spans="1:8" hidden="1" x14ac:dyDescent="0.25">
      <c r="A66" s="351">
        <f>общее!A66</f>
        <v>0</v>
      </c>
      <c r="B66" s="352" t="str">
        <f>общее!B66</f>
        <v/>
      </c>
      <c r="C66" s="353">
        <f>общее!C66</f>
        <v>0</v>
      </c>
      <c r="D66" s="353">
        <f>общее!D66</f>
        <v>0</v>
      </c>
      <c r="E66" s="352" t="str">
        <f>общее!E66</f>
        <v/>
      </c>
      <c r="F66" s="352">
        <f>общее!F66</f>
        <v>0</v>
      </c>
      <c r="G66" s="353">
        <f>общее!G66</f>
        <v>0.66388889282113994</v>
      </c>
      <c r="H66" s="3"/>
    </row>
    <row r="67" spans="1:8" hidden="1" x14ac:dyDescent="0.25">
      <c r="A67" s="351">
        <f>общее!A67</f>
        <v>0</v>
      </c>
      <c r="B67" s="352" t="str">
        <f>общее!B67</f>
        <v/>
      </c>
      <c r="C67" s="353">
        <f>общее!C67</f>
        <v>0</v>
      </c>
      <c r="D67" s="353">
        <f>общее!D67</f>
        <v>0</v>
      </c>
      <c r="E67" s="352" t="str">
        <f>общее!E67</f>
        <v/>
      </c>
      <c r="F67" s="352">
        <f>общее!F67</f>
        <v>0</v>
      </c>
      <c r="G67" s="353">
        <f>общее!G67</f>
        <v>0.66388889282113994</v>
      </c>
      <c r="H67" s="3"/>
    </row>
    <row r="68" spans="1:8" hidden="1" x14ac:dyDescent="0.25">
      <c r="A68" s="351">
        <f>общее!A68</f>
        <v>0</v>
      </c>
      <c r="B68" s="352" t="str">
        <f>общее!B68</f>
        <v/>
      </c>
      <c r="C68" s="353">
        <f>общее!C68</f>
        <v>0</v>
      </c>
      <c r="D68" s="353">
        <f>общее!D68</f>
        <v>0</v>
      </c>
      <c r="E68" s="352" t="str">
        <f>общее!E68</f>
        <v/>
      </c>
      <c r="F68" s="352">
        <f>общее!F68</f>
        <v>0</v>
      </c>
      <c r="G68" s="353">
        <f>общее!G68</f>
        <v>0.66388889282113994</v>
      </c>
      <c r="H68" s="3"/>
    </row>
    <row r="69" spans="1:8" hidden="1" x14ac:dyDescent="0.25">
      <c r="A69" s="351">
        <f>общее!A69</f>
        <v>0</v>
      </c>
      <c r="B69" s="352" t="str">
        <f>общее!B69</f>
        <v/>
      </c>
      <c r="C69" s="353">
        <f>общее!C69</f>
        <v>0</v>
      </c>
      <c r="D69" s="353">
        <f>общее!D69</f>
        <v>0</v>
      </c>
      <c r="E69" s="352" t="str">
        <f>общее!E69</f>
        <v/>
      </c>
      <c r="F69" s="352">
        <f>общее!F69</f>
        <v>0</v>
      </c>
      <c r="G69" s="353">
        <f>общее!G69</f>
        <v>0.66388889282113994</v>
      </c>
      <c r="H69" s="3"/>
    </row>
    <row r="70" spans="1:8" x14ac:dyDescent="0.25">
      <c r="A70" s="354" t="s">
        <v>228</v>
      </c>
      <c r="B70" s="349">
        <f>SUBTOTAL(109,МЛ[Дистанция дорожного сектора, км])</f>
        <v>187.58</v>
      </c>
      <c r="C70" s="350">
        <f>SUBTOTAL(109,МЛ[Норма времени, чч:мм])</f>
        <v>0.20486111380159855</v>
      </c>
      <c r="D70" s="350">
        <f>SUBTOTAL(109,МЛ[Нейтрализация (входит в норму времени), чч:мм])</f>
        <v>0</v>
      </c>
      <c r="E70" s="356"/>
      <c r="F70" s="356"/>
      <c r="G70" s="356"/>
    </row>
    <row r="71" spans="1:8" x14ac:dyDescent="0.25">
      <c r="A71" s="102"/>
      <c r="B71" s="101"/>
      <c r="C71" s="101"/>
      <c r="D71" s="101"/>
      <c r="E71" s="101"/>
      <c r="F71" s="101"/>
      <c r="G71" s="101"/>
    </row>
    <row r="72" spans="1:8" ht="18.75" x14ac:dyDescent="0.25">
      <c r="A72" s="103" t="str">
        <f>"Раннее прибытие на "&amp;VLOOKUP("*финиш",МЛ[#All],1,FALSE)&amp;" не пенализируется в любых пределах"</f>
        <v>Раннее прибытие на КВ-7 Финиш не пенализируется в любых пределах</v>
      </c>
      <c r="B72" s="104"/>
      <c r="C72" s="105"/>
      <c r="D72" s="105"/>
      <c r="E72" s="104"/>
      <c r="F72" s="104"/>
      <c r="G72" s="105"/>
    </row>
    <row r="74" spans="1:8" ht="60.75" customHeight="1" x14ac:dyDescent="0.25">
      <c r="A74" s="580" t="str">
        <f>"Судейские пункты "&amp;getMpWoName(_КВ1)&amp;" и старт "&amp;getMpWoName(_ДС2)&amp;", "&amp;getMpWoName(_КВ4)&amp;" и старт "&amp;getMpWoName(_ДС3)&amp;" совмещены. Временем выхода на сектор является время фактического старта на ДС"</f>
        <v>Судейские пункты КВ-1 и старт ДС-2 РДС, КВ-4 и старт ДС-3 РДС совмещены. Временем выхода на сектор является время фактического старта на ДС</v>
      </c>
      <c r="B74" s="580"/>
      <c r="C74" s="580"/>
      <c r="D74" s="580"/>
      <c r="E74" s="580"/>
      <c r="F74" s="580"/>
      <c r="G74" s="580"/>
    </row>
    <row r="76" spans="1:8" ht="18.75" x14ac:dyDescent="0.25">
      <c r="A76" s="103" t="s">
        <v>529</v>
      </c>
    </row>
  </sheetData>
  <sheetProtection formatCells="0" autoFilter="0"/>
  <mergeCells count="1">
    <mergeCell ref="A74:G74"/>
  </mergeCells>
  <pageMargins left="0.59055118110236227" right="0.19685039370078741" top="0.39370078740157483" bottom="0.39370078740157483" header="0" footer="0"/>
  <pageSetup paperSize="9" orientation="portrait" horizontalDpi="300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J12"/>
  <sheetViews>
    <sheetView view="pageBreakPreview" zoomScaleNormal="55" zoomScaleSheetLayoutView="100" workbookViewId="0">
      <selection activeCell="J14" sqref="J14"/>
    </sheetView>
  </sheetViews>
  <sheetFormatPr defaultRowHeight="15" x14ac:dyDescent="0.25"/>
  <cols>
    <col min="1" max="10" width="9.42578125" style="1" customWidth="1"/>
    <col min="11" max="16384" width="9.140625" style="1"/>
  </cols>
  <sheetData>
    <row r="1" spans="1:10" ht="50.1" customHeight="1" x14ac:dyDescent="0.25">
      <c r="A1" s="345" t="s">
        <v>280</v>
      </c>
      <c r="B1" s="226"/>
      <c r="C1" s="226"/>
      <c r="D1" s="226"/>
      <c r="E1" s="226"/>
      <c r="F1" s="226"/>
      <c r="G1" s="226"/>
      <c r="H1" s="226"/>
      <c r="I1" s="226"/>
      <c r="J1" s="226"/>
    </row>
    <row r="2" spans="1:10" ht="5.0999999999999996" customHeight="1" x14ac:dyDescent="0.25">
      <c r="A2" s="227"/>
      <c r="B2" s="227"/>
      <c r="C2" s="227"/>
      <c r="D2" s="228"/>
      <c r="E2" s="228"/>
      <c r="F2" s="228"/>
      <c r="G2" s="228"/>
      <c r="H2" s="228"/>
      <c r="I2" s="228"/>
      <c r="J2" s="228"/>
    </row>
    <row r="3" spans="1:10" ht="24.95" customHeight="1" x14ac:dyDescent="0.25">
      <c r="A3" s="587" t="s">
        <v>284</v>
      </c>
      <c r="B3" s="587"/>
      <c r="C3" s="587"/>
      <c r="D3" s="587"/>
      <c r="E3" s="587" t="s">
        <v>285</v>
      </c>
      <c r="F3" s="587"/>
      <c r="G3" s="587" t="s">
        <v>286</v>
      </c>
      <c r="H3" s="587"/>
      <c r="I3" s="587" t="s">
        <v>287</v>
      </c>
      <c r="J3" s="587"/>
    </row>
    <row r="4" spans="1:10" ht="74.25" customHeight="1" x14ac:dyDescent="0.3">
      <c r="A4" s="586" t="s">
        <v>281</v>
      </c>
      <c r="B4" s="586"/>
      <c r="C4" s="586"/>
      <c r="D4" s="586"/>
      <c r="E4" s="582" t="s">
        <v>282</v>
      </c>
      <c r="F4" s="582"/>
      <c r="G4" s="583"/>
      <c r="H4" s="583"/>
      <c r="I4" s="583" t="s">
        <v>283</v>
      </c>
      <c r="J4" s="583"/>
    </row>
    <row r="5" spans="1:10" ht="74.25" customHeight="1" x14ac:dyDescent="0.3">
      <c r="A5" s="581" t="s">
        <v>288</v>
      </c>
      <c r="B5" s="581"/>
      <c r="C5" s="581"/>
      <c r="D5" s="581"/>
      <c r="E5" s="582"/>
      <c r="F5" s="582"/>
      <c r="G5" s="583"/>
      <c r="H5" s="583"/>
      <c r="I5" s="583" t="s">
        <v>283</v>
      </c>
      <c r="J5" s="583"/>
    </row>
    <row r="6" spans="1:10" ht="74.25" customHeight="1" x14ac:dyDescent="0.3">
      <c r="A6" s="581" t="s">
        <v>289</v>
      </c>
      <c r="B6" s="581"/>
      <c r="C6" s="581"/>
      <c r="D6" s="581"/>
      <c r="E6" s="582" t="s">
        <v>282</v>
      </c>
      <c r="F6" s="582"/>
      <c r="G6" s="583"/>
      <c r="H6" s="583"/>
      <c r="I6" s="583" t="s">
        <v>283</v>
      </c>
      <c r="J6" s="583"/>
    </row>
    <row r="7" spans="1:10" ht="74.25" customHeight="1" x14ac:dyDescent="0.3">
      <c r="A7" s="581" t="s">
        <v>292</v>
      </c>
      <c r="B7" s="581"/>
      <c r="C7" s="581"/>
      <c r="D7" s="581"/>
      <c r="E7" s="582"/>
      <c r="F7" s="582"/>
      <c r="G7" s="583"/>
      <c r="H7" s="583"/>
      <c r="I7" s="583" t="s">
        <v>283</v>
      </c>
      <c r="J7" s="583"/>
    </row>
    <row r="8" spans="1:10" ht="74.25" customHeight="1" x14ac:dyDescent="0.3">
      <c r="A8" s="581" t="s">
        <v>295</v>
      </c>
      <c r="B8" s="581"/>
      <c r="C8" s="581"/>
      <c r="D8" s="581"/>
      <c r="E8" s="582" t="s">
        <v>282</v>
      </c>
      <c r="F8" s="582"/>
      <c r="G8" s="583"/>
      <c r="H8" s="583"/>
      <c r="I8" s="583" t="s">
        <v>283</v>
      </c>
      <c r="J8" s="583"/>
    </row>
    <row r="9" spans="1:10" ht="74.25" customHeight="1" x14ac:dyDescent="0.3">
      <c r="A9" s="581" t="s">
        <v>293</v>
      </c>
      <c r="B9" s="581"/>
      <c r="C9" s="581"/>
      <c r="D9" s="581"/>
      <c r="E9" s="582"/>
      <c r="F9" s="582"/>
      <c r="G9" s="585" t="s">
        <v>291</v>
      </c>
      <c r="H9" s="585"/>
      <c r="I9" s="583" t="s">
        <v>283</v>
      </c>
      <c r="J9" s="583"/>
    </row>
    <row r="10" spans="1:10" ht="74.25" customHeight="1" x14ac:dyDescent="0.3">
      <c r="A10" s="581" t="s">
        <v>278</v>
      </c>
      <c r="B10" s="581"/>
      <c r="C10" s="581"/>
      <c r="D10" s="581"/>
      <c r="E10" s="582"/>
      <c r="F10" s="582"/>
      <c r="G10" s="582"/>
      <c r="H10" s="582"/>
      <c r="I10" s="583"/>
      <c r="J10" s="583"/>
    </row>
    <row r="11" spans="1:10" ht="74.25" customHeight="1" x14ac:dyDescent="0.3">
      <c r="A11" s="581" t="s">
        <v>294</v>
      </c>
      <c r="B11" s="581"/>
      <c r="C11" s="581"/>
      <c r="D11" s="581"/>
      <c r="E11" s="582"/>
      <c r="F11" s="582"/>
      <c r="G11" s="584" t="s">
        <v>290</v>
      </c>
      <c r="H11" s="584"/>
      <c r="I11" s="583" t="s">
        <v>283</v>
      </c>
      <c r="J11" s="583"/>
    </row>
    <row r="12" spans="1:10" ht="74.25" customHeight="1" x14ac:dyDescent="0.3">
      <c r="A12" s="581" t="s">
        <v>296</v>
      </c>
      <c r="B12" s="581"/>
      <c r="C12" s="581"/>
      <c r="D12" s="581"/>
      <c r="E12" s="582" t="s">
        <v>282</v>
      </c>
      <c r="F12" s="582"/>
      <c r="G12" s="582" t="s">
        <v>782</v>
      </c>
      <c r="H12" s="582"/>
      <c r="I12" s="583" t="s">
        <v>283</v>
      </c>
      <c r="J12" s="583"/>
    </row>
  </sheetData>
  <mergeCells count="40">
    <mergeCell ref="A8:D8"/>
    <mergeCell ref="E8:F8"/>
    <mergeCell ref="G8:H8"/>
    <mergeCell ref="I8:J8"/>
    <mergeCell ref="A5:D5"/>
    <mergeCell ref="E5:F5"/>
    <mergeCell ref="G5:H5"/>
    <mergeCell ref="I5:J5"/>
    <mergeCell ref="A6:D6"/>
    <mergeCell ref="E6:F6"/>
    <mergeCell ref="G6:H6"/>
    <mergeCell ref="I6:J6"/>
    <mergeCell ref="A7:D7"/>
    <mergeCell ref="E7:F7"/>
    <mergeCell ref="G7:H7"/>
    <mergeCell ref="I7:J7"/>
    <mergeCell ref="I4:J4"/>
    <mergeCell ref="G4:H4"/>
    <mergeCell ref="E4:F4"/>
    <mergeCell ref="A4:D4"/>
    <mergeCell ref="A3:D3"/>
    <mergeCell ref="E3:F3"/>
    <mergeCell ref="G3:H3"/>
    <mergeCell ref="I3:J3"/>
    <mergeCell ref="A9:D9"/>
    <mergeCell ref="E9:F9"/>
    <mergeCell ref="G9:H9"/>
    <mergeCell ref="I9:J9"/>
    <mergeCell ref="A10:D10"/>
    <mergeCell ref="E10:F10"/>
    <mergeCell ref="G10:H10"/>
    <mergeCell ref="I10:J10"/>
    <mergeCell ref="A12:D12"/>
    <mergeCell ref="E12:F12"/>
    <mergeCell ref="G12:H12"/>
    <mergeCell ref="I12:J12"/>
    <mergeCell ref="A11:D11"/>
    <mergeCell ref="E11:F11"/>
    <mergeCell ref="G11:H11"/>
    <mergeCell ref="I11:J11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J24"/>
  <sheetViews>
    <sheetView view="pageBreakPreview" topLeftCell="A7" zoomScaleNormal="55" zoomScaleSheetLayoutView="100" workbookViewId="0">
      <selection activeCell="M28" sqref="M28"/>
    </sheetView>
  </sheetViews>
  <sheetFormatPr defaultRowHeight="15" x14ac:dyDescent="0.25"/>
  <cols>
    <col min="1" max="3" width="9.140625" style="1"/>
    <col min="4" max="9" width="9.85546875" style="1" customWidth="1"/>
    <col min="10" max="10" width="8" style="1" customWidth="1"/>
    <col min="11" max="16384" width="9.140625" style="1"/>
  </cols>
  <sheetData>
    <row r="1" spans="1:10" ht="39.950000000000003" customHeight="1" x14ac:dyDescent="0.25">
      <c r="A1" s="345" t="s">
        <v>76</v>
      </c>
      <c r="B1" s="347"/>
      <c r="C1" s="347"/>
      <c r="D1" s="347"/>
      <c r="E1" s="347"/>
      <c r="F1" s="347"/>
      <c r="G1" s="347"/>
      <c r="H1" s="347"/>
      <c r="I1" s="347"/>
      <c r="J1" s="347"/>
    </row>
    <row r="2" spans="1:10" ht="5.0999999999999996" customHeight="1" x14ac:dyDescent="0.25">
      <c r="A2" s="317"/>
      <c r="B2" s="317"/>
      <c r="C2" s="317"/>
      <c r="D2" s="346"/>
      <c r="E2" s="346"/>
      <c r="F2" s="346"/>
      <c r="G2" s="346"/>
      <c r="H2" s="346"/>
      <c r="I2" s="346"/>
      <c r="J2" s="346"/>
    </row>
    <row r="3" spans="1:10" ht="74.25" customHeight="1" x14ac:dyDescent="0.25">
      <c r="A3" s="588"/>
      <c r="B3" s="588"/>
      <c r="C3" s="588"/>
      <c r="D3" s="594" t="s">
        <v>122</v>
      </c>
      <c r="E3" s="594"/>
      <c r="F3" s="594"/>
      <c r="G3" s="594"/>
      <c r="H3" s="594"/>
      <c r="I3" s="594"/>
      <c r="J3" s="594"/>
    </row>
    <row r="4" spans="1:10" ht="74.25" customHeight="1" x14ac:dyDescent="0.25">
      <c r="A4" s="593"/>
      <c r="B4" s="593"/>
      <c r="C4" s="593"/>
      <c r="D4" s="594" t="s">
        <v>123</v>
      </c>
      <c r="E4" s="594"/>
      <c r="F4" s="594"/>
      <c r="G4" s="594"/>
      <c r="H4" s="594"/>
      <c r="I4" s="594"/>
      <c r="J4" s="594"/>
    </row>
    <row r="5" spans="1:10" ht="74.25" customHeight="1" x14ac:dyDescent="0.25">
      <c r="A5" s="588"/>
      <c r="B5" s="588"/>
      <c r="C5" s="588"/>
      <c r="D5" s="590" t="s">
        <v>121</v>
      </c>
      <c r="E5" s="590"/>
      <c r="F5" s="590"/>
      <c r="G5" s="590"/>
      <c r="H5" s="590"/>
      <c r="I5" s="590"/>
      <c r="J5" s="590"/>
    </row>
    <row r="6" spans="1:10" ht="30" customHeight="1" x14ac:dyDescent="0.25">
      <c r="A6" s="592"/>
      <c r="B6" s="592"/>
      <c r="C6" s="592"/>
      <c r="D6" s="590" t="s">
        <v>17</v>
      </c>
      <c r="E6" s="590"/>
      <c r="F6" s="590"/>
      <c r="G6" s="590"/>
      <c r="H6" s="590"/>
      <c r="I6" s="590"/>
      <c r="J6" s="590"/>
    </row>
    <row r="7" spans="1:10" ht="30" customHeight="1" x14ac:dyDescent="0.25">
      <c r="A7" s="588"/>
      <c r="B7" s="588"/>
      <c r="C7" s="588"/>
      <c r="D7" s="590" t="s">
        <v>89</v>
      </c>
      <c r="E7" s="590"/>
      <c r="F7" s="590"/>
      <c r="G7" s="590"/>
      <c r="H7" s="590"/>
      <c r="I7" s="590"/>
      <c r="J7" s="590"/>
    </row>
    <row r="8" spans="1:10" ht="30" customHeight="1" x14ac:dyDescent="0.25">
      <c r="A8" s="588"/>
      <c r="B8" s="588"/>
      <c r="C8" s="588"/>
      <c r="D8" s="590" t="s">
        <v>16</v>
      </c>
      <c r="E8" s="590"/>
      <c r="F8" s="590"/>
      <c r="G8" s="590"/>
      <c r="H8" s="590"/>
      <c r="I8" s="590"/>
      <c r="J8" s="590"/>
    </row>
    <row r="9" spans="1:10" ht="30" customHeight="1" x14ac:dyDescent="0.25">
      <c r="A9" s="588"/>
      <c r="B9" s="588"/>
      <c r="C9" s="588"/>
      <c r="D9" s="590" t="s">
        <v>297</v>
      </c>
      <c r="E9" s="590"/>
      <c r="F9" s="590"/>
      <c r="G9" s="590"/>
      <c r="H9" s="590"/>
      <c r="I9" s="590"/>
      <c r="J9" s="590"/>
    </row>
    <row r="10" spans="1:10" ht="30" customHeight="1" x14ac:dyDescent="0.25">
      <c r="A10" s="588"/>
      <c r="B10" s="588"/>
      <c r="C10" s="588"/>
      <c r="D10" s="590" t="s">
        <v>298</v>
      </c>
      <c r="E10" s="590"/>
      <c r="F10" s="590"/>
      <c r="G10" s="590"/>
      <c r="H10" s="590"/>
      <c r="I10" s="590"/>
      <c r="J10" s="590"/>
    </row>
    <row r="11" spans="1:10" ht="30" customHeight="1" x14ac:dyDescent="0.25">
      <c r="A11" s="588"/>
      <c r="B11" s="588"/>
      <c r="C11" s="588"/>
      <c r="D11" s="590" t="s">
        <v>80</v>
      </c>
      <c r="E11" s="590"/>
      <c r="F11" s="590"/>
      <c r="G11" s="590"/>
      <c r="H11" s="590"/>
      <c r="I11" s="590"/>
      <c r="J11" s="590"/>
    </row>
    <row r="12" spans="1:10" ht="30" customHeight="1" x14ac:dyDescent="0.25">
      <c r="A12" s="591" t="s">
        <v>207</v>
      </c>
      <c r="B12" s="591"/>
      <c r="C12" s="591"/>
      <c r="D12" s="590" t="s">
        <v>208</v>
      </c>
      <c r="E12" s="590"/>
      <c r="F12" s="590"/>
      <c r="G12" s="590"/>
      <c r="H12" s="590"/>
      <c r="I12" s="590"/>
      <c r="J12" s="590"/>
    </row>
    <row r="13" spans="1:10" ht="30" customHeight="1" x14ac:dyDescent="0.25">
      <c r="A13" s="588"/>
      <c r="B13" s="588"/>
      <c r="C13" s="588"/>
      <c r="D13" s="590" t="s">
        <v>470</v>
      </c>
      <c r="E13" s="590"/>
      <c r="F13" s="590"/>
      <c r="G13" s="590"/>
      <c r="H13" s="590"/>
      <c r="I13" s="590"/>
      <c r="J13" s="590"/>
    </row>
    <row r="14" spans="1:10" ht="30" customHeight="1" x14ac:dyDescent="0.25">
      <c r="A14" s="588"/>
      <c r="B14" s="588"/>
      <c r="C14" s="588"/>
      <c r="D14" s="590" t="s">
        <v>51</v>
      </c>
      <c r="E14" s="590"/>
      <c r="F14" s="590"/>
      <c r="G14" s="590"/>
      <c r="H14" s="590"/>
      <c r="I14" s="590"/>
      <c r="J14" s="590"/>
    </row>
    <row r="15" spans="1:10" ht="30" customHeight="1" x14ac:dyDescent="0.25">
      <c r="A15" s="588"/>
      <c r="B15" s="588"/>
      <c r="C15" s="588"/>
      <c r="D15" s="590" t="s">
        <v>81</v>
      </c>
      <c r="E15" s="590"/>
      <c r="F15" s="590"/>
      <c r="G15" s="590"/>
      <c r="H15" s="590"/>
      <c r="I15" s="590"/>
      <c r="J15" s="590"/>
    </row>
    <row r="16" spans="1:10" ht="5.0999999999999996" customHeight="1" x14ac:dyDescent="0.25">
      <c r="A16" s="227"/>
      <c r="B16" s="227"/>
      <c r="C16" s="227"/>
      <c r="D16" s="228"/>
      <c r="E16" s="228"/>
      <c r="F16" s="228"/>
      <c r="G16" s="228"/>
      <c r="H16" s="228"/>
      <c r="I16" s="228"/>
      <c r="J16" s="228"/>
    </row>
    <row r="17" spans="1:10" ht="39.950000000000003" customHeight="1" x14ac:dyDescent="0.25">
      <c r="A17" s="345" t="s">
        <v>77</v>
      </c>
      <c r="B17" s="347"/>
      <c r="C17" s="347"/>
      <c r="D17" s="347"/>
      <c r="E17" s="347"/>
      <c r="F17" s="347"/>
      <c r="G17" s="347"/>
      <c r="H17" s="347"/>
      <c r="I17" s="347"/>
      <c r="J17" s="347"/>
    </row>
    <row r="18" spans="1:10" ht="5.0999999999999996" customHeight="1" x14ac:dyDescent="0.25">
      <c r="A18" s="227"/>
      <c r="B18" s="227"/>
      <c r="C18" s="227"/>
      <c r="D18" s="228"/>
      <c r="E18" s="228"/>
      <c r="F18" s="228"/>
      <c r="G18" s="228"/>
      <c r="H18" s="228"/>
      <c r="I18" s="228"/>
      <c r="J18" s="228"/>
    </row>
    <row r="19" spans="1:10" ht="30" customHeight="1" x14ac:dyDescent="0.25">
      <c r="A19" s="588"/>
      <c r="B19" s="588"/>
      <c r="C19" s="588"/>
      <c r="D19" s="589" t="s">
        <v>115</v>
      </c>
      <c r="E19" s="589"/>
      <c r="F19" s="589"/>
      <c r="G19" s="589"/>
      <c r="H19" s="589"/>
      <c r="I19" s="589"/>
      <c r="J19" s="589"/>
    </row>
    <row r="20" spans="1:10" ht="30" customHeight="1" x14ac:dyDescent="0.25">
      <c r="A20" s="588"/>
      <c r="B20" s="588"/>
      <c r="C20" s="588"/>
      <c r="D20" s="589" t="s">
        <v>18</v>
      </c>
      <c r="E20" s="589"/>
      <c r="F20" s="589"/>
      <c r="G20" s="589"/>
      <c r="H20" s="589"/>
      <c r="I20" s="589"/>
      <c r="J20" s="589"/>
    </row>
    <row r="21" spans="1:10" ht="30" customHeight="1" x14ac:dyDescent="0.25">
      <c r="A21" s="588"/>
      <c r="B21" s="588"/>
      <c r="C21" s="588"/>
      <c r="D21" s="589" t="s">
        <v>20</v>
      </c>
      <c r="E21" s="589"/>
      <c r="F21" s="589"/>
      <c r="G21" s="589"/>
      <c r="H21" s="589"/>
      <c r="I21" s="589"/>
      <c r="J21" s="589"/>
    </row>
    <row r="22" spans="1:10" ht="30" customHeight="1" x14ac:dyDescent="0.25">
      <c r="A22" s="588"/>
      <c r="B22" s="588"/>
      <c r="C22" s="588"/>
      <c r="D22" s="589" t="s">
        <v>109</v>
      </c>
      <c r="E22" s="589"/>
      <c r="F22" s="589"/>
      <c r="G22" s="589"/>
      <c r="H22" s="589"/>
      <c r="I22" s="589"/>
      <c r="J22" s="589"/>
    </row>
    <row r="23" spans="1:10" ht="30" customHeight="1" x14ac:dyDescent="0.25">
      <c r="A23" s="588"/>
      <c r="B23" s="588"/>
      <c r="C23" s="588"/>
      <c r="D23" s="590" t="s">
        <v>30</v>
      </c>
      <c r="E23" s="590"/>
      <c r="F23" s="590"/>
      <c r="G23" s="590"/>
      <c r="H23" s="590"/>
      <c r="I23" s="590"/>
      <c r="J23" s="590"/>
    </row>
    <row r="24" spans="1:10" ht="30" customHeight="1" x14ac:dyDescent="0.25">
      <c r="A24" s="588"/>
      <c r="B24" s="588"/>
      <c r="C24" s="588"/>
      <c r="D24" s="590" t="s">
        <v>19</v>
      </c>
      <c r="E24" s="590"/>
      <c r="F24" s="590"/>
      <c r="G24" s="590"/>
      <c r="H24" s="590"/>
      <c r="I24" s="590"/>
      <c r="J24" s="590"/>
    </row>
  </sheetData>
  <mergeCells count="38">
    <mergeCell ref="A4:C4"/>
    <mergeCell ref="D4:J4"/>
    <mergeCell ref="A3:C3"/>
    <mergeCell ref="D3:J3"/>
    <mergeCell ref="D8:J8"/>
    <mergeCell ref="A5:C5"/>
    <mergeCell ref="D5:J5"/>
    <mergeCell ref="A12:C12"/>
    <mergeCell ref="D12:J12"/>
    <mergeCell ref="A6:C6"/>
    <mergeCell ref="D6:J6"/>
    <mergeCell ref="A7:C7"/>
    <mergeCell ref="D7:J7"/>
    <mergeCell ref="A9:C9"/>
    <mergeCell ref="D9:J9"/>
    <mergeCell ref="A8:C8"/>
    <mergeCell ref="A21:C21"/>
    <mergeCell ref="D21:J21"/>
    <mergeCell ref="A10:C10"/>
    <mergeCell ref="D10:J10"/>
    <mergeCell ref="A11:C11"/>
    <mergeCell ref="D11:J11"/>
    <mergeCell ref="A15:C15"/>
    <mergeCell ref="D15:J15"/>
    <mergeCell ref="A19:C19"/>
    <mergeCell ref="D19:J19"/>
    <mergeCell ref="A20:C20"/>
    <mergeCell ref="D20:J20"/>
    <mergeCell ref="A13:C13"/>
    <mergeCell ref="D13:J13"/>
    <mergeCell ref="A14:C14"/>
    <mergeCell ref="D14:J14"/>
    <mergeCell ref="A22:C22"/>
    <mergeCell ref="D22:J22"/>
    <mergeCell ref="A23:C23"/>
    <mergeCell ref="D23:J23"/>
    <mergeCell ref="A24:C24"/>
    <mergeCell ref="D24:J24"/>
  </mergeCells>
  <pageMargins left="0.59055118110236227" right="0.19685039370078741" top="0.39370078740157483" bottom="0.39370078740157483" header="0" footer="0.39370078740157483"/>
  <pageSetup paperSize="9" orientation="portrait" r:id="rId1"/>
  <headerFooter differentFirst="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</sheetPr>
  <dimension ref="A1:P32"/>
  <sheetViews>
    <sheetView view="pageBreakPreview" topLeftCell="A26" zoomScale="70" zoomScaleNormal="70" zoomScaleSheetLayoutView="70" zoomScalePageLayoutView="40" workbookViewId="0">
      <selection activeCell="J26" sqref="J26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0" ht="17.45" customHeight="1" x14ac:dyDescent="0.25">
      <c r="A1" s="611"/>
      <c r="B1" s="611"/>
      <c r="C1" s="611"/>
      <c r="D1" s="612" t="str">
        <f>_КВ0</f>
        <v>КВ-0 Старт</v>
      </c>
      <c r="E1" s="613"/>
      <c r="F1" s="605" t="s">
        <v>464</v>
      </c>
      <c r="G1" s="607">
        <f>_КВ1Расстояние</f>
        <v>15.34</v>
      </c>
      <c r="H1" s="605" t="s">
        <v>205</v>
      </c>
      <c r="J1" s="162" t="s">
        <v>206</v>
      </c>
    </row>
    <row r="2" spans="1:10" ht="17.45" customHeight="1" x14ac:dyDescent="0.25">
      <c r="A2" s="611"/>
      <c r="B2" s="611"/>
      <c r="C2" s="611"/>
      <c r="D2" s="614" t="str">
        <f>_КВ1</f>
        <v>КВ-1 Окружная</v>
      </c>
      <c r="E2" s="615"/>
      <c r="F2" s="606"/>
      <c r="G2" s="608"/>
      <c r="H2" s="606"/>
    </row>
    <row r="3" spans="1:10" ht="17.45" customHeight="1" x14ac:dyDescent="0.25">
      <c r="A3" s="611"/>
      <c r="B3" s="611"/>
      <c r="C3" s="611"/>
      <c r="D3" s="605" t="s">
        <v>465</v>
      </c>
      <c r="E3" s="616">
        <f>_КВ1Время</f>
        <v>4.86111119389534E-2</v>
      </c>
      <c r="F3" s="605" t="s">
        <v>466</v>
      </c>
      <c r="G3" s="607">
        <f>_КВ1Скорость</f>
        <v>13.148571204652596</v>
      </c>
      <c r="H3" s="609"/>
    </row>
    <row r="4" spans="1:10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10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0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0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0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0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10" s="492" customFormat="1" ht="129.94999999999999" customHeight="1" x14ac:dyDescent="0.25">
      <c r="A10" s="489"/>
      <c r="B10" s="490"/>
      <c r="C10" s="490"/>
      <c r="D10" s="491"/>
      <c r="E10" s="505"/>
      <c r="F10" s="595" t="str">
        <f>J10</f>
        <v>скр, ДП-1</v>
      </c>
      <c r="G10" s="595"/>
      <c r="H10" s="595"/>
      <c r="J10" s="493" t="s">
        <v>316</v>
      </c>
    </row>
    <row r="11" spans="1:10" s="492" customFormat="1" ht="129.94999999999999" customHeight="1" x14ac:dyDescent="0.25">
      <c r="A11" s="489"/>
      <c r="B11" s="490"/>
      <c r="C11" s="490"/>
      <c r="D11" s="491"/>
      <c r="E11" s="505"/>
      <c r="F11" s="602" t="str">
        <f>J11</f>
        <v>скр, ДП-2 Буквы</v>
      </c>
      <c r="G11" s="603"/>
      <c r="H11" s="604"/>
      <c r="J11" s="493" t="s">
        <v>805</v>
      </c>
    </row>
    <row r="12" spans="1:10" ht="260.10000000000002" customHeight="1" x14ac:dyDescent="0.25">
      <c r="A12" s="327">
        <f>1</f>
        <v>1</v>
      </c>
      <c r="B12" s="412">
        <v>0</v>
      </c>
      <c r="C12" s="412">
        <v>0</v>
      </c>
      <c r="D12" s="422"/>
      <c r="E12" s="423"/>
      <c r="F12" s="578"/>
      <c r="G12" s="578"/>
      <c r="H12" s="579"/>
      <c r="J12" s="326" t="s">
        <v>71</v>
      </c>
    </row>
    <row r="13" spans="1:10" ht="129.94999999999999" customHeight="1" x14ac:dyDescent="0.25">
      <c r="A13" s="327">
        <f>'Сектор 1'!A12+1</f>
        <v>2</v>
      </c>
      <c r="B13" s="412">
        <v>0.94</v>
      </c>
      <c r="C13" s="412">
        <f>B13-B12</f>
        <v>0.94</v>
      </c>
      <c r="D13" s="422"/>
      <c r="E13" s="417"/>
      <c r="F13" s="577" t="s">
        <v>527</v>
      </c>
      <c r="G13" s="578"/>
      <c r="H13" s="579"/>
      <c r="J13" s="326"/>
    </row>
    <row r="14" spans="1:10" ht="129.94999999999999" customHeight="1" x14ac:dyDescent="0.25">
      <c r="A14" s="327">
        <f>'Сектор 1'!A13+1</f>
        <v>3</v>
      </c>
      <c r="B14" s="412">
        <v>2.02</v>
      </c>
      <c r="C14" s="412">
        <f>B14-B13</f>
        <v>1.08</v>
      </c>
      <c r="D14" s="422"/>
      <c r="E14" s="417"/>
      <c r="F14" s="577"/>
      <c r="G14" s="578"/>
      <c r="H14" s="579"/>
      <c r="J14" s="326"/>
    </row>
    <row r="15" spans="1:10" ht="129.94999999999999" customHeight="1" x14ac:dyDescent="0.25">
      <c r="A15" s="327">
        <f>'Сектор 1'!A14+1</f>
        <v>4</v>
      </c>
      <c r="B15" s="412">
        <v>3.42</v>
      </c>
      <c r="C15" s="412">
        <f>B15-B14</f>
        <v>1.4</v>
      </c>
      <c r="D15" s="422"/>
      <c r="E15" s="417"/>
      <c r="F15" s="577"/>
      <c r="G15" s="578"/>
      <c r="H15" s="579"/>
      <c r="J15" s="326"/>
    </row>
    <row r="16" spans="1:10" ht="129.94999999999999" customHeight="1" x14ac:dyDescent="0.25">
      <c r="A16" s="327">
        <f>'Сектор 1'!A15+1</f>
        <v>5</v>
      </c>
      <c r="B16" s="412">
        <v>3.91</v>
      </c>
      <c r="C16" s="412">
        <f>B16-B15</f>
        <v>0.49000000000000021</v>
      </c>
      <c r="D16" s="422"/>
      <c r="E16" s="417"/>
      <c r="F16" s="577"/>
      <c r="G16" s="578"/>
      <c r="H16" s="579"/>
      <c r="J16" s="326"/>
    </row>
    <row r="17" spans="1:16" ht="129.94999999999999" customHeight="1" x14ac:dyDescent="0.25">
      <c r="A17" s="327">
        <f>'Сектор 1'!A16+1</f>
        <v>6</v>
      </c>
      <c r="B17" s="412">
        <v>4.17</v>
      </c>
      <c r="C17" s="412">
        <f>B17-B16</f>
        <v>0.25999999999999979</v>
      </c>
      <c r="D17" s="422"/>
      <c r="E17" s="417"/>
      <c r="F17" s="577" t="s">
        <v>699</v>
      </c>
      <c r="G17" s="578"/>
      <c r="H17" s="579"/>
      <c r="J17" s="326"/>
    </row>
    <row r="18" spans="1:16" ht="129.94999999999999" customHeight="1" x14ac:dyDescent="0.25">
      <c r="A18" s="426"/>
      <c r="B18" s="413"/>
      <c r="C18" s="413"/>
      <c r="D18" s="426"/>
      <c r="E18" s="443"/>
      <c r="F18" s="601"/>
      <c r="G18" s="601"/>
      <c r="H18" s="601"/>
      <c r="J18" s="326" t="s">
        <v>201</v>
      </c>
    </row>
    <row r="19" spans="1:16" ht="129.94999999999999" customHeight="1" x14ac:dyDescent="0.25">
      <c r="A19" s="424"/>
      <c r="B19" s="414"/>
      <c r="C19" s="414"/>
      <c r="D19" s="424"/>
      <c r="E19" s="441"/>
      <c r="F19" s="618"/>
      <c r="G19" s="618"/>
      <c r="H19" s="618"/>
      <c r="J19" s="326" t="s">
        <v>201</v>
      </c>
    </row>
    <row r="20" spans="1:16" ht="129.94999999999999" customHeight="1" x14ac:dyDescent="0.25">
      <c r="A20" s="424"/>
      <c r="B20" s="414"/>
      <c r="C20" s="414"/>
      <c r="D20" s="424"/>
      <c r="E20" s="441"/>
      <c r="F20" s="618"/>
      <c r="G20" s="618"/>
      <c r="H20" s="618"/>
      <c r="J20" s="326" t="s">
        <v>201</v>
      </c>
    </row>
    <row r="21" spans="1:16" ht="129.94999999999999" customHeight="1" x14ac:dyDescent="0.25">
      <c r="A21" s="329"/>
      <c r="B21" s="499">
        <v>5</v>
      </c>
      <c r="C21" s="413"/>
      <c r="D21" s="426"/>
      <c r="E21" s="443"/>
      <c r="F21" s="601"/>
      <c r="G21" s="601"/>
      <c r="H21" s="622"/>
      <c r="J21" s="326" t="s">
        <v>686</v>
      </c>
    </row>
    <row r="22" spans="1:16" ht="129.94999999999999" customHeight="1" x14ac:dyDescent="0.25">
      <c r="A22" s="330"/>
      <c r="B22" s="414"/>
      <c r="C22" s="414"/>
      <c r="D22" s="424"/>
      <c r="E22" s="441"/>
      <c r="F22" s="618"/>
      <c r="G22" s="618"/>
      <c r="H22" s="619"/>
      <c r="J22" s="326" t="s">
        <v>201</v>
      </c>
    </row>
    <row r="23" spans="1:16" ht="129.94999999999999" customHeight="1" x14ac:dyDescent="0.25">
      <c r="A23" s="330"/>
      <c r="B23" s="414"/>
      <c r="C23" s="414"/>
      <c r="D23" s="424"/>
      <c r="E23" s="441"/>
      <c r="F23" s="618"/>
      <c r="G23" s="618"/>
      <c r="H23" s="619"/>
      <c r="J23" s="326" t="s">
        <v>201</v>
      </c>
    </row>
    <row r="24" spans="1:16" ht="129.94999999999999" customHeight="1" x14ac:dyDescent="0.25">
      <c r="A24" s="330"/>
      <c r="B24" s="414"/>
      <c r="C24" s="414"/>
      <c r="D24" s="424"/>
      <c r="E24" s="441"/>
      <c r="F24" s="618"/>
      <c r="G24" s="618"/>
      <c r="H24" s="619"/>
      <c r="J24" s="326" t="s">
        <v>201</v>
      </c>
    </row>
    <row r="25" spans="1:16" ht="129.94999999999999" customHeight="1" x14ac:dyDescent="0.25">
      <c r="A25" s="331"/>
      <c r="B25" s="415"/>
      <c r="C25" s="415"/>
      <c r="D25" s="425"/>
      <c r="E25" s="442"/>
      <c r="F25" s="620"/>
      <c r="G25" s="620"/>
      <c r="H25" s="621"/>
      <c r="J25" s="326" t="s">
        <v>201</v>
      </c>
    </row>
    <row r="26" spans="1:16" ht="129.94999999999999" customHeight="1" x14ac:dyDescent="0.25">
      <c r="A26" s="327">
        <f>'Сектор 1'!A17+1</f>
        <v>7</v>
      </c>
      <c r="B26" s="412">
        <v>5.07</v>
      </c>
      <c r="C26" s="490">
        <f>B26-B17</f>
        <v>0.90000000000000036</v>
      </c>
      <c r="D26" s="422"/>
      <c r="E26" s="429"/>
      <c r="F26" s="577" t="s">
        <v>767</v>
      </c>
      <c r="G26" s="578"/>
      <c r="H26" s="579"/>
      <c r="J26" s="326" t="s">
        <v>478</v>
      </c>
      <c r="K26" s="92" t="s">
        <v>537</v>
      </c>
      <c r="P26" s="446"/>
    </row>
    <row r="27" spans="1:16" ht="129.94999999999999" customHeight="1" x14ac:dyDescent="0.25">
      <c r="A27" s="327">
        <f>'Сектор 1'!A26+1</f>
        <v>8</v>
      </c>
      <c r="B27" s="412">
        <v>7.5</v>
      </c>
      <c r="C27" s="412">
        <f t="shared" ref="C27:C32" si="0">B27-B26</f>
        <v>2.4299999999999997</v>
      </c>
      <c r="D27" s="422"/>
      <c r="E27" s="417"/>
      <c r="F27" s="577"/>
      <c r="G27" s="578"/>
      <c r="H27" s="579"/>
      <c r="J27" s="326"/>
      <c r="P27" s="446"/>
    </row>
    <row r="28" spans="1:16" ht="129.94999999999999" customHeight="1" x14ac:dyDescent="0.25">
      <c r="A28" s="327">
        <f>'Сектор 1'!A27+1</f>
        <v>9</v>
      </c>
      <c r="B28" s="412">
        <v>10.64</v>
      </c>
      <c r="C28" s="412">
        <f t="shared" si="0"/>
        <v>3.1400000000000006</v>
      </c>
      <c r="D28" s="422"/>
      <c r="E28" s="417"/>
      <c r="F28" s="577" t="s">
        <v>498</v>
      </c>
      <c r="G28" s="578"/>
      <c r="H28" s="579"/>
      <c r="J28" s="326"/>
      <c r="P28" s="446"/>
    </row>
    <row r="29" spans="1:16" ht="129.94999999999999" customHeight="1" x14ac:dyDescent="0.25">
      <c r="A29" s="327">
        <f>'Сектор 1'!A28+1</f>
        <v>10</v>
      </c>
      <c r="B29" s="412">
        <v>13.450000000000001</v>
      </c>
      <c r="C29" s="412">
        <f t="shared" si="0"/>
        <v>2.8100000000000005</v>
      </c>
      <c r="D29" s="422"/>
      <c r="E29" s="417"/>
      <c r="F29" s="577"/>
      <c r="G29" s="578"/>
      <c r="H29" s="579"/>
      <c r="J29" s="326"/>
      <c r="P29" s="446"/>
    </row>
    <row r="30" spans="1:16" ht="129.94999999999999" customHeight="1" x14ac:dyDescent="0.25">
      <c r="A30" s="327">
        <f>'Сектор 1'!A29+1</f>
        <v>11</v>
      </c>
      <c r="B30" s="412">
        <v>14.200000000000001</v>
      </c>
      <c r="C30" s="412">
        <f t="shared" si="0"/>
        <v>0.75</v>
      </c>
      <c r="D30" s="422"/>
      <c r="E30" s="417"/>
      <c r="F30" s="577"/>
      <c r="G30" s="578"/>
      <c r="H30" s="579"/>
      <c r="J30" s="326"/>
      <c r="P30" s="446"/>
    </row>
    <row r="31" spans="1:16" ht="128.25" customHeight="1" x14ac:dyDescent="0.25">
      <c r="A31" s="327">
        <f>'Сектор 1'!A30+1</f>
        <v>12</v>
      </c>
      <c r="B31" s="412">
        <v>15.19</v>
      </c>
      <c r="C31" s="412">
        <f t="shared" si="0"/>
        <v>0.98999999999999844</v>
      </c>
      <c r="D31" s="422"/>
      <c r="E31" s="429"/>
      <c r="F31" s="577" t="s">
        <v>480</v>
      </c>
      <c r="G31" s="578"/>
      <c r="H31" s="579"/>
      <c r="J31" s="326"/>
      <c r="P31" s="446"/>
    </row>
    <row r="32" spans="1:16" ht="128.25" customHeight="1" x14ac:dyDescent="0.25">
      <c r="A32" s="327">
        <f>'Сектор 1'!A31+1</f>
        <v>13</v>
      </c>
      <c r="B32" s="412">
        <v>15.34</v>
      </c>
      <c r="C32" s="412">
        <f t="shared" si="0"/>
        <v>0.15000000000000036</v>
      </c>
      <c r="D32" s="422"/>
      <c r="E32" s="429"/>
      <c r="F32" s="623" t="str">
        <f>"
"&amp;_КВ1</f>
        <v xml:space="preserve">
КВ-1 Окружная</v>
      </c>
      <c r="G32" s="624"/>
      <c r="H32" s="625"/>
      <c r="J32" s="326" t="s">
        <v>691</v>
      </c>
      <c r="P32" s="446"/>
    </row>
  </sheetData>
  <mergeCells count="36">
    <mergeCell ref="F32:H32"/>
    <mergeCell ref="F28:H28"/>
    <mergeCell ref="F29:H29"/>
    <mergeCell ref="F30:H30"/>
    <mergeCell ref="F31:H31"/>
    <mergeCell ref="F27:H27"/>
    <mergeCell ref="F12:H12"/>
    <mergeCell ref="F13:H13"/>
    <mergeCell ref="F15:H15"/>
    <mergeCell ref="F16:H16"/>
    <mergeCell ref="F24:H24"/>
    <mergeCell ref="F17:H17"/>
    <mergeCell ref="F19:H19"/>
    <mergeCell ref="F20:H20"/>
    <mergeCell ref="F26:H26"/>
    <mergeCell ref="F25:H25"/>
    <mergeCell ref="F21:H21"/>
    <mergeCell ref="F22:H22"/>
    <mergeCell ref="F23:H23"/>
    <mergeCell ref="A1:C4"/>
    <mergeCell ref="D1:E1"/>
    <mergeCell ref="D2:E2"/>
    <mergeCell ref="D3:D4"/>
    <mergeCell ref="E3:E4"/>
    <mergeCell ref="F1:F2"/>
    <mergeCell ref="G1:G2"/>
    <mergeCell ref="H1:H2"/>
    <mergeCell ref="F3:F4"/>
    <mergeCell ref="G3:G4"/>
    <mergeCell ref="H3:H4"/>
    <mergeCell ref="F10:H10"/>
    <mergeCell ref="D9:E9"/>
    <mergeCell ref="F9:H9"/>
    <mergeCell ref="F14:H14"/>
    <mergeCell ref="F18:H18"/>
    <mergeCell ref="F11:H11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92D050"/>
  </sheetPr>
  <dimension ref="A1:O41"/>
  <sheetViews>
    <sheetView view="pageBreakPreview" zoomScale="70" zoomScaleNormal="70" zoomScaleSheetLayoutView="70" zoomScalePageLayoutView="40" workbookViewId="0">
      <selection activeCell="A10" sqref="A10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5" ht="17.45" customHeight="1" x14ac:dyDescent="0.25">
      <c r="A1" s="611"/>
      <c r="B1" s="611"/>
      <c r="C1" s="611"/>
      <c r="D1" s="612" t="str">
        <f>_КВ1</f>
        <v>КВ-1 Окружная</v>
      </c>
      <c r="E1" s="613"/>
      <c r="F1" s="605" t="s">
        <v>464</v>
      </c>
      <c r="G1" s="607">
        <f>_КВ2Расстояние</f>
        <v>65.539999999999992</v>
      </c>
      <c r="H1" s="605" t="s">
        <v>205</v>
      </c>
      <c r="J1" s="162" t="s">
        <v>206</v>
      </c>
    </row>
    <row r="2" spans="1:15" ht="17.45" customHeight="1" x14ac:dyDescent="0.25">
      <c r="A2" s="611"/>
      <c r="B2" s="611"/>
      <c r="C2" s="611"/>
      <c r="D2" s="614" t="str">
        <f>_КВ2</f>
        <v>КВ-2 Духовщина Вход</v>
      </c>
      <c r="E2" s="615"/>
      <c r="F2" s="606"/>
      <c r="G2" s="608"/>
      <c r="H2" s="606"/>
    </row>
    <row r="3" spans="1:15" ht="17.45" customHeight="1" x14ac:dyDescent="0.25">
      <c r="A3" s="611"/>
      <c r="B3" s="611"/>
      <c r="C3" s="611"/>
      <c r="D3" s="605" t="s">
        <v>465</v>
      </c>
      <c r="E3" s="616">
        <f>_КВ2Время</f>
        <v>4.86111119389534E-2</v>
      </c>
      <c r="F3" s="605" t="s">
        <v>466</v>
      </c>
      <c r="G3" s="607">
        <f>_КВ2Скорость</f>
        <v>56.177141900451829</v>
      </c>
      <c r="H3" s="609"/>
    </row>
    <row r="4" spans="1:15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15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5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5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5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5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15" ht="129.94999999999999" customHeight="1" x14ac:dyDescent="0.25">
      <c r="A10" s="327">
        <f>'Сектор 1'!A32+1</f>
        <v>14</v>
      </c>
      <c r="B10" s="412">
        <v>0</v>
      </c>
      <c r="C10" s="412">
        <v>0</v>
      </c>
      <c r="D10" s="422"/>
      <c r="E10" s="417"/>
      <c r="F10" s="629" t="str">
        <f>_КВ1&amp;"
Совмещен со стартом 
"&amp;getMpWoName(_ДС2)&amp;"
Vср=ПДД - 15 км/ч"</f>
        <v>КВ-1 Окружная
Совмещен со стартом 
ДС-2 РДС
Vср=ПДД - 15 км/ч</v>
      </c>
      <c r="G10" s="630"/>
      <c r="H10" s="631"/>
      <c r="J10" s="326" t="s">
        <v>639</v>
      </c>
      <c r="K10" s="92" t="s">
        <v>538</v>
      </c>
      <c r="O10" s="446"/>
    </row>
    <row r="11" spans="1:15" ht="129.94999999999999" customHeight="1" x14ac:dyDescent="0.25">
      <c r="A11" s="327">
        <f>'Сектор 2'!A10+1</f>
        <v>15</v>
      </c>
      <c r="B11" s="412">
        <v>0.5</v>
      </c>
      <c r="C11" s="412">
        <f>B11-B10</f>
        <v>0.5</v>
      </c>
      <c r="D11" s="422"/>
      <c r="E11" s="440"/>
      <c r="F11" s="577" t="s">
        <v>698</v>
      </c>
      <c r="G11" s="578"/>
      <c r="H11" s="579"/>
      <c r="J11" s="326" t="s">
        <v>640</v>
      </c>
      <c r="O11" s="446"/>
    </row>
    <row r="12" spans="1:15" ht="129.94999999999999" customHeight="1" x14ac:dyDescent="0.25">
      <c r="A12" s="327">
        <f>'Сектор 2'!A11+1</f>
        <v>16</v>
      </c>
      <c r="B12" s="490">
        <v>8.64</v>
      </c>
      <c r="C12" s="490">
        <f>B12-B11</f>
        <v>8.14</v>
      </c>
      <c r="D12" s="422"/>
      <c r="E12" s="417"/>
      <c r="F12" s="577" t="s">
        <v>482</v>
      </c>
      <c r="G12" s="578"/>
      <c r="H12" s="579"/>
      <c r="J12" s="326" t="s">
        <v>481</v>
      </c>
      <c r="O12" s="446"/>
    </row>
    <row r="13" spans="1:15" ht="129.94999999999999" customHeight="1" x14ac:dyDescent="0.25">
      <c r="A13" s="327">
        <f>'Сектор 2'!A12+1</f>
        <v>17</v>
      </c>
      <c r="B13" s="490">
        <v>13.100000000000001</v>
      </c>
      <c r="C13" s="498">
        <f>B13-B12</f>
        <v>4.4600000000000009</v>
      </c>
      <c r="D13" s="422"/>
      <c r="E13" s="417"/>
      <c r="F13" s="577" t="s">
        <v>539</v>
      </c>
      <c r="G13" s="578"/>
      <c r="H13" s="579"/>
      <c r="J13" s="326" t="s">
        <v>858</v>
      </c>
      <c r="O13" s="446"/>
    </row>
    <row r="14" spans="1:15" ht="129.94999999999999" customHeight="1" x14ac:dyDescent="0.25">
      <c r="A14" s="327">
        <f>'Сектор 2'!A13+1</f>
        <v>18</v>
      </c>
      <c r="B14" s="490">
        <v>13.43</v>
      </c>
      <c r="C14" s="490">
        <f>B14-B13</f>
        <v>0.32999999999999829</v>
      </c>
      <c r="D14" s="422"/>
      <c r="E14" s="417"/>
      <c r="F14" s="577" t="s">
        <v>641</v>
      </c>
      <c r="G14" s="578"/>
      <c r="H14" s="579"/>
      <c r="J14" s="326" t="s">
        <v>859</v>
      </c>
      <c r="O14" s="446"/>
    </row>
    <row r="15" spans="1:15" s="492" customFormat="1" ht="129.94999999999999" customHeight="1" x14ac:dyDescent="0.25">
      <c r="A15" s="489"/>
      <c r="B15" s="490">
        <v>15.239999999999998</v>
      </c>
      <c r="C15" s="490"/>
      <c r="D15" s="491"/>
      <c r="E15" s="505" t="s">
        <v>508</v>
      </c>
      <c r="F15" s="595" t="str">
        <f>J15</f>
        <v>скр, СФ-2 1</v>
      </c>
      <c r="G15" s="595"/>
      <c r="H15" s="595"/>
      <c r="J15" s="493" t="s">
        <v>507</v>
      </c>
      <c r="O15" s="494"/>
    </row>
    <row r="16" spans="1:15" s="492" customFormat="1" ht="129.94999999999999" customHeight="1" x14ac:dyDescent="0.25">
      <c r="A16" s="489"/>
      <c r="B16" s="490">
        <v>17.68</v>
      </c>
      <c r="C16" s="490"/>
      <c r="D16" s="491"/>
      <c r="E16" s="505"/>
      <c r="F16" s="595" t="str">
        <f>J16</f>
        <v>скр, ПДД=60 Курдымово</v>
      </c>
      <c r="G16" s="595"/>
      <c r="H16" s="595"/>
      <c r="J16" s="493" t="s">
        <v>483</v>
      </c>
      <c r="O16" s="494"/>
    </row>
    <row r="17" spans="1:15" s="492" customFormat="1" ht="129.94999999999999" customHeight="1" x14ac:dyDescent="0.25">
      <c r="A17" s="489"/>
      <c r="B17" s="490">
        <v>19.07</v>
      </c>
      <c r="C17" s="490"/>
      <c r="D17" s="491"/>
      <c r="E17" s="505"/>
      <c r="F17" s="595" t="str">
        <f>J17</f>
        <v>скр, ПДД=90 Курдымово оконч.</v>
      </c>
      <c r="G17" s="595"/>
      <c r="H17" s="595"/>
      <c r="J17" s="493" t="s">
        <v>484</v>
      </c>
      <c r="O17" s="494"/>
    </row>
    <row r="18" spans="1:15" s="492" customFormat="1" ht="129.94999999999999" customHeight="1" x14ac:dyDescent="0.25">
      <c r="A18" s="489"/>
      <c r="B18" s="490">
        <v>19.43</v>
      </c>
      <c r="C18" s="490"/>
      <c r="D18" s="491"/>
      <c r="E18" s="505"/>
      <c r="F18" s="595" t="str">
        <f>J18</f>
        <v>скр, ПДД=60 Попово</v>
      </c>
      <c r="G18" s="595"/>
      <c r="H18" s="595"/>
      <c r="J18" s="493" t="s">
        <v>485</v>
      </c>
      <c r="O18" s="494"/>
    </row>
    <row r="19" spans="1:15" ht="129.94999999999999" customHeight="1" x14ac:dyDescent="0.25">
      <c r="A19" s="327">
        <f>'Сектор 2'!A14+1</f>
        <v>19</v>
      </c>
      <c r="B19" s="490">
        <v>20.27</v>
      </c>
      <c r="C19" s="412">
        <f>B19-B14</f>
        <v>6.84</v>
      </c>
      <c r="D19" s="422"/>
      <c r="E19" s="417"/>
      <c r="F19" s="577" t="s">
        <v>642</v>
      </c>
      <c r="G19" s="578"/>
      <c r="H19" s="579"/>
      <c r="J19" s="326" t="s">
        <v>643</v>
      </c>
      <c r="O19" s="446"/>
    </row>
    <row r="20" spans="1:15" s="492" customFormat="1" ht="129.94999999999999" customHeight="1" x14ac:dyDescent="0.25">
      <c r="A20" s="489"/>
      <c r="B20" s="490">
        <v>23.78</v>
      </c>
      <c r="C20" s="490"/>
      <c r="D20" s="491"/>
      <c r="E20" s="505"/>
      <c r="F20" s="595" t="str">
        <f t="shared" ref="F20:F24" si="0">J20</f>
        <v>скр, ПДД=60 Кардымово</v>
      </c>
      <c r="G20" s="595"/>
      <c r="H20" s="595"/>
      <c r="J20" s="493" t="s">
        <v>486</v>
      </c>
      <c r="O20" s="494"/>
    </row>
    <row r="21" spans="1:15" s="492" customFormat="1" ht="129.94999999999999" customHeight="1" x14ac:dyDescent="0.25">
      <c r="A21" s="489"/>
      <c r="B21" s="490">
        <v>24.799999999999997</v>
      </c>
      <c r="C21" s="490"/>
      <c r="D21" s="491"/>
      <c r="E21" s="505"/>
      <c r="F21" s="595" t="str">
        <f t="shared" si="0"/>
        <v>скр, ПДД=40 Знак "40"</v>
      </c>
      <c r="G21" s="595"/>
      <c r="H21" s="595"/>
      <c r="J21" s="493" t="s">
        <v>500</v>
      </c>
      <c r="O21" s="494"/>
    </row>
    <row r="22" spans="1:15" s="492" customFormat="1" ht="129.94999999999999" customHeight="1" x14ac:dyDescent="0.25">
      <c r="A22" s="489"/>
      <c r="B22" s="490">
        <v>24.89</v>
      </c>
      <c r="C22" s="490"/>
      <c r="D22" s="491"/>
      <c r="E22" s="505"/>
      <c r="F22" s="595" t="str">
        <f t="shared" si="0"/>
        <v>скр, ПДД=20 Знак "20"</v>
      </c>
      <c r="G22" s="595"/>
      <c r="H22" s="595"/>
      <c r="J22" s="493" t="s">
        <v>501</v>
      </c>
      <c r="O22" s="494"/>
    </row>
    <row r="23" spans="1:15" s="492" customFormat="1" ht="129.94999999999999" customHeight="1" x14ac:dyDescent="0.25">
      <c r="A23" s="489"/>
      <c r="B23" s="490">
        <v>25.1</v>
      </c>
      <c r="C23" s="490"/>
      <c r="D23" s="491"/>
      <c r="E23" s="505"/>
      <c r="F23" s="595" t="str">
        <f t="shared" si="0"/>
        <v>скр, ПДД=40 Знак "40"</v>
      </c>
      <c r="G23" s="595"/>
      <c r="H23" s="595"/>
      <c r="J23" s="493" t="s">
        <v>500</v>
      </c>
      <c r="O23" s="494"/>
    </row>
    <row r="24" spans="1:15" s="492" customFormat="1" ht="129.94999999999999" customHeight="1" x14ac:dyDescent="0.25">
      <c r="A24" s="489"/>
      <c r="B24" s="490">
        <v>25.17</v>
      </c>
      <c r="C24" s="490"/>
      <c r="D24" s="491"/>
      <c r="E24" s="505"/>
      <c r="F24" s="595" t="str">
        <f t="shared" si="0"/>
        <v>скр, ПДД=20 Знак "20"</v>
      </c>
      <c r="G24" s="595"/>
      <c r="H24" s="595"/>
      <c r="J24" s="493" t="s">
        <v>501</v>
      </c>
      <c r="O24" s="494"/>
    </row>
    <row r="25" spans="1:15" s="492" customFormat="1" ht="129.94999999999999" customHeight="1" x14ac:dyDescent="0.25">
      <c r="A25" s="489"/>
      <c r="B25" s="490">
        <v>25.67</v>
      </c>
      <c r="C25" s="490"/>
      <c r="D25" s="491"/>
      <c r="E25" s="505"/>
      <c r="F25" s="595" t="str">
        <f>J25</f>
        <v>скр, ПДД=40 Знак "40"</v>
      </c>
      <c r="G25" s="595"/>
      <c r="H25" s="595"/>
      <c r="J25" s="493" t="s">
        <v>500</v>
      </c>
      <c r="O25" s="494"/>
    </row>
    <row r="26" spans="1:15" ht="129.94999999999999" customHeight="1" x14ac:dyDescent="0.25">
      <c r="A26" s="327">
        <f>'Сектор 2'!A19+1</f>
        <v>20</v>
      </c>
      <c r="B26" s="490">
        <v>25.729999999999997</v>
      </c>
      <c r="C26" s="498">
        <f>B26-B19</f>
        <v>5.4599999999999973</v>
      </c>
      <c r="D26" s="422"/>
      <c r="E26" s="417"/>
      <c r="F26" s="577" t="s">
        <v>768</v>
      </c>
      <c r="G26" s="578"/>
      <c r="H26" s="579"/>
      <c r="J26" s="326" t="s">
        <v>850</v>
      </c>
      <c r="O26" s="446"/>
    </row>
    <row r="27" spans="1:15" s="492" customFormat="1" ht="129.94999999999999" customHeight="1" x14ac:dyDescent="0.25">
      <c r="A27" s="489"/>
      <c r="B27" s="490">
        <v>25.979999999999997</v>
      </c>
      <c r="C27" s="490"/>
      <c r="D27" s="491"/>
      <c r="E27" s="505"/>
      <c r="F27" s="595" t="str">
        <f>J27</f>
        <v>скр, ПДД=60 Перекресток</v>
      </c>
      <c r="G27" s="595"/>
      <c r="H27" s="595"/>
      <c r="J27" s="493" t="s">
        <v>502</v>
      </c>
      <c r="O27" s="494"/>
    </row>
    <row r="28" spans="1:15" s="492" customFormat="1" ht="129.94999999999999" customHeight="1" x14ac:dyDescent="0.25">
      <c r="A28" s="489"/>
      <c r="B28" s="490">
        <v>26.200000000000003</v>
      </c>
      <c r="C28" s="490"/>
      <c r="D28" s="491"/>
      <c r="E28" s="505"/>
      <c r="F28" s="595" t="str">
        <f>J28</f>
        <v>скр, ПДД=40 Знак "40"</v>
      </c>
      <c r="G28" s="595"/>
      <c r="H28" s="595"/>
      <c r="J28" s="493" t="s">
        <v>500</v>
      </c>
      <c r="O28" s="494"/>
    </row>
    <row r="29" spans="1:15" s="492" customFormat="1" ht="129.94999999999999" customHeight="1" x14ac:dyDescent="0.25">
      <c r="A29" s="489"/>
      <c r="B29" s="490">
        <v>26.240000000000002</v>
      </c>
      <c r="C29" s="490"/>
      <c r="D29" s="491"/>
      <c r="E29" s="505"/>
      <c r="F29" s="595" t="str">
        <f>J29</f>
        <v>скр, ПДД=20 Знак "20"</v>
      </c>
      <c r="G29" s="595"/>
      <c r="H29" s="595"/>
      <c r="J29" s="493" t="s">
        <v>501</v>
      </c>
      <c r="O29" s="494"/>
    </row>
    <row r="30" spans="1:15" s="492" customFormat="1" ht="129.94999999999999" customHeight="1" x14ac:dyDescent="0.25">
      <c r="A30" s="489"/>
      <c r="B30" s="490">
        <v>26.380000000000003</v>
      </c>
      <c r="C30" s="490"/>
      <c r="D30" s="491"/>
      <c r="E30" s="505"/>
      <c r="F30" s="595" t="str">
        <f>J30</f>
        <v>скр, ПДД=60 Перекресток</v>
      </c>
      <c r="G30" s="595"/>
      <c r="H30" s="595"/>
      <c r="J30" s="493" t="s">
        <v>502</v>
      </c>
      <c r="O30" s="494"/>
    </row>
    <row r="31" spans="1:15" ht="129.94999999999999" customHeight="1" x14ac:dyDescent="0.25">
      <c r="A31" s="327">
        <f>'Сектор 2'!A26+1</f>
        <v>21</v>
      </c>
      <c r="B31" s="490">
        <v>27.060000000000002</v>
      </c>
      <c r="C31" s="412">
        <f>B31-B26</f>
        <v>1.3300000000000054</v>
      </c>
      <c r="D31" s="422"/>
      <c r="E31" s="417"/>
      <c r="F31" s="577"/>
      <c r="G31" s="578"/>
      <c r="H31" s="579"/>
      <c r="J31" s="326" t="s">
        <v>277</v>
      </c>
      <c r="O31" s="446"/>
    </row>
    <row r="32" spans="1:15" ht="129.94999999999999" customHeight="1" x14ac:dyDescent="0.25">
      <c r="A32" s="327">
        <f>'Сектор 2'!A31+1</f>
        <v>22</v>
      </c>
      <c r="B32" s="490">
        <v>27.520000000000003</v>
      </c>
      <c r="C32" s="490">
        <f>B32-B31</f>
        <v>0.46000000000000085</v>
      </c>
      <c r="D32" s="422"/>
      <c r="E32" s="417"/>
      <c r="F32" s="577"/>
      <c r="G32" s="578"/>
      <c r="H32" s="579"/>
      <c r="J32" s="326" t="s">
        <v>218</v>
      </c>
      <c r="O32" s="446"/>
    </row>
    <row r="33" spans="1:15" ht="129.94999999999999" customHeight="1" x14ac:dyDescent="0.25">
      <c r="A33" s="327">
        <f>'Сектор 2'!A32+1</f>
        <v>23</v>
      </c>
      <c r="B33" s="490">
        <v>28.060000000000002</v>
      </c>
      <c r="C33" s="412">
        <f>B33-B32</f>
        <v>0.53999999999999915</v>
      </c>
      <c r="D33" s="422"/>
      <c r="E33" s="417"/>
      <c r="F33" s="577"/>
      <c r="G33" s="578"/>
      <c r="H33" s="579"/>
      <c r="J33" s="326" t="s">
        <v>277</v>
      </c>
      <c r="O33" s="446"/>
    </row>
    <row r="34" spans="1:15" ht="129.94999999999999" customHeight="1" x14ac:dyDescent="0.25">
      <c r="A34" s="327">
        <f>'Сектор 2'!A33+1</f>
        <v>24</v>
      </c>
      <c r="B34" s="490">
        <v>28.119999999999997</v>
      </c>
      <c r="C34" s="412">
        <f>B34-B33</f>
        <v>5.9999999999995168E-2</v>
      </c>
      <c r="D34" s="422"/>
      <c r="E34" s="417"/>
      <c r="F34" s="577"/>
      <c r="G34" s="578"/>
      <c r="H34" s="579"/>
      <c r="J34" s="326" t="s">
        <v>277</v>
      </c>
      <c r="O34" s="446"/>
    </row>
    <row r="35" spans="1:15" s="492" customFormat="1" ht="129.94999999999999" customHeight="1" x14ac:dyDescent="0.25">
      <c r="A35" s="489"/>
      <c r="B35" s="490">
        <v>29.089999999999996</v>
      </c>
      <c r="C35" s="490"/>
      <c r="D35" s="491"/>
      <c r="E35" s="505"/>
      <c r="F35" s="595" t="str">
        <f>J35</f>
        <v>скр, ПДД=90 Кардымово оконч.</v>
      </c>
      <c r="G35" s="595"/>
      <c r="H35" s="595"/>
      <c r="J35" s="493" t="s">
        <v>487</v>
      </c>
      <c r="O35" s="494"/>
    </row>
    <row r="36" spans="1:15" s="492" customFormat="1" ht="129.94999999999999" customHeight="1" x14ac:dyDescent="0.25">
      <c r="A36" s="489"/>
      <c r="B36" s="490">
        <v>29.839999999999996</v>
      </c>
      <c r="C36" s="490"/>
      <c r="D36" s="491"/>
      <c r="E36" s="505"/>
      <c r="F36" s="595" t="str">
        <f>J36</f>
        <v>скр, ПДД=60 Сапочево</v>
      </c>
      <c r="G36" s="595"/>
      <c r="H36" s="595"/>
      <c r="J36" s="493" t="s">
        <v>540</v>
      </c>
      <c r="O36" s="494"/>
    </row>
    <row r="37" spans="1:15" s="492" customFormat="1" ht="129.94999999999999" customHeight="1" x14ac:dyDescent="0.25">
      <c r="A37" s="489"/>
      <c r="B37" s="490">
        <v>30.229999999999997</v>
      </c>
      <c r="C37" s="490"/>
      <c r="D37" s="491"/>
      <c r="E37" s="505"/>
      <c r="F37" s="595" t="str">
        <f>J37</f>
        <v>скр, ПДД=90 Сапочево оконч.</v>
      </c>
      <c r="G37" s="595"/>
      <c r="H37" s="595"/>
      <c r="J37" s="493" t="s">
        <v>541</v>
      </c>
      <c r="O37" s="494"/>
    </row>
    <row r="38" spans="1:15" s="492" customFormat="1" ht="129.94999999999999" customHeight="1" x14ac:dyDescent="0.25">
      <c r="A38" s="489"/>
      <c r="B38" s="490">
        <v>33.33</v>
      </c>
      <c r="C38" s="490"/>
      <c r="D38" s="491"/>
      <c r="E38" s="505" t="s">
        <v>503</v>
      </c>
      <c r="F38" s="595" t="str">
        <f>J38</f>
        <v>скр, ДСФ-2</v>
      </c>
      <c r="G38" s="595"/>
      <c r="H38" s="595"/>
      <c r="J38" s="493" t="s">
        <v>488</v>
      </c>
      <c r="K38" s="492" t="s">
        <v>542</v>
      </c>
      <c r="O38" s="494"/>
    </row>
    <row r="39" spans="1:15" ht="129.94999999999999" customHeight="1" x14ac:dyDescent="0.25">
      <c r="A39" s="327">
        <f>'Сектор 2'!A34+1</f>
        <v>25</v>
      </c>
      <c r="B39" s="412">
        <v>44.65</v>
      </c>
      <c r="C39" s="490">
        <f>B39-B34</f>
        <v>16.53</v>
      </c>
      <c r="D39" s="422"/>
      <c r="E39" s="417"/>
      <c r="F39" s="577" t="s">
        <v>528</v>
      </c>
      <c r="G39" s="578"/>
      <c r="H39" s="579"/>
      <c r="J39" s="326" t="s">
        <v>478</v>
      </c>
      <c r="O39" s="446"/>
    </row>
    <row r="40" spans="1:15" ht="129.94999999999999" customHeight="1" x14ac:dyDescent="0.25">
      <c r="A40" s="327">
        <f>'Сектор 2'!A39+1</f>
        <v>26</v>
      </c>
      <c r="B40" s="412">
        <v>45.05</v>
      </c>
      <c r="C40" s="412">
        <f>B40-B39</f>
        <v>0.39999999999999858</v>
      </c>
      <c r="D40" s="422"/>
      <c r="E40" s="417"/>
      <c r="F40" s="577"/>
      <c r="G40" s="578"/>
      <c r="H40" s="579"/>
      <c r="J40" s="326"/>
      <c r="O40" s="446"/>
    </row>
    <row r="41" spans="1:15" ht="129.94999999999999" customHeight="1" x14ac:dyDescent="0.25">
      <c r="A41" s="327">
        <f>'Сектор 2'!A40+1</f>
        <v>27</v>
      </c>
      <c r="B41" s="412">
        <v>65.539999999999992</v>
      </c>
      <c r="C41" s="412">
        <f>B41-B40</f>
        <v>20.489999999999995</v>
      </c>
      <c r="D41" s="422"/>
      <c r="E41" s="417"/>
      <c r="F41" s="626" t="str">
        <f>"
"&amp;_КВ2&amp;"
Дорога '360 км М1 - Духовщина', после д. Бабино"</f>
        <v xml:space="preserve">
КВ-2 Духовщина Вход
Дорога '360 км М1 - Духовщина', после д. Бабино</v>
      </c>
      <c r="G41" s="627"/>
      <c r="H41" s="628"/>
      <c r="J41" s="326" t="s">
        <v>572</v>
      </c>
      <c r="K41" s="92" t="s">
        <v>543</v>
      </c>
      <c r="O41" s="446"/>
    </row>
  </sheetData>
  <mergeCells count="45">
    <mergeCell ref="F36:H36"/>
    <mergeCell ref="F11:H11"/>
    <mergeCell ref="F41:H41"/>
    <mergeCell ref="H3:H4"/>
    <mergeCell ref="F21:H21"/>
    <mergeCell ref="F19:H19"/>
    <mergeCell ref="F13:H13"/>
    <mergeCell ref="F14:H14"/>
    <mergeCell ref="F10:H10"/>
    <mergeCell ref="F12:H12"/>
    <mergeCell ref="F16:H16"/>
    <mergeCell ref="F17:H17"/>
    <mergeCell ref="F18:H18"/>
    <mergeCell ref="F38:H38"/>
    <mergeCell ref="F40:H40"/>
    <mergeCell ref="F39:H39"/>
    <mergeCell ref="F35:H35"/>
    <mergeCell ref="D9:E9"/>
    <mergeCell ref="F9:H9"/>
    <mergeCell ref="A1:C4"/>
    <mergeCell ref="D1:E1"/>
    <mergeCell ref="F1:F2"/>
    <mergeCell ref="G1:G2"/>
    <mergeCell ref="H1:H2"/>
    <mergeCell ref="D2:E2"/>
    <mergeCell ref="D3:D4"/>
    <mergeCell ref="E3:E4"/>
    <mergeCell ref="F3:F4"/>
    <mergeCell ref="G3:G4"/>
    <mergeCell ref="F37:H37"/>
    <mergeCell ref="F34:H34"/>
    <mergeCell ref="F15:H15"/>
    <mergeCell ref="F26:H26"/>
    <mergeCell ref="F31:H31"/>
    <mergeCell ref="F32:H32"/>
    <mergeCell ref="F33:H33"/>
    <mergeCell ref="F22:H22"/>
    <mergeCell ref="F23:H23"/>
    <mergeCell ref="F24:H24"/>
    <mergeCell ref="F25:H25"/>
    <mergeCell ref="F27:H27"/>
    <mergeCell ref="F28:H28"/>
    <mergeCell ref="F29:H29"/>
    <mergeCell ref="F30:H30"/>
    <mergeCell ref="F20:H20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H147"/>
  <sheetViews>
    <sheetView view="pageBreakPreview" topLeftCell="A105" zoomScaleNormal="100" zoomScaleSheetLayoutView="100" workbookViewId="0">
      <selection activeCell="E119" sqref="E119"/>
    </sheetView>
  </sheetViews>
  <sheetFormatPr defaultRowHeight="15" x14ac:dyDescent="0.25"/>
  <cols>
    <col min="1" max="2" width="6.7109375" style="1" customWidth="1"/>
    <col min="3" max="5" width="22.7109375" style="1" customWidth="1"/>
    <col min="6" max="6" width="6.7109375" style="1" customWidth="1"/>
    <col min="7" max="164" width="9.140625" style="1"/>
    <col min="165" max="165" width="18.7109375" style="1" customWidth="1"/>
    <col min="166" max="166" width="18.140625" style="1" customWidth="1"/>
    <col min="167" max="167" width="8.7109375" style="1" customWidth="1"/>
    <col min="168" max="168" width="9.140625" style="1"/>
    <col min="169" max="169" width="9.140625" style="1" customWidth="1"/>
    <col min="170" max="170" width="27.28515625" style="1" customWidth="1"/>
    <col min="171" max="206" width="9.140625" style="1" customWidth="1"/>
    <col min="207" max="420" width="9.140625" style="1"/>
    <col min="421" max="421" width="18.7109375" style="1" customWidth="1"/>
    <col min="422" max="422" width="18.140625" style="1" customWidth="1"/>
    <col min="423" max="423" width="8.7109375" style="1" customWidth="1"/>
    <col min="424" max="424" width="9.140625" style="1"/>
    <col min="425" max="425" width="9.140625" style="1" customWidth="1"/>
    <col min="426" max="426" width="27.28515625" style="1" customWidth="1"/>
    <col min="427" max="462" width="9.140625" style="1" customWidth="1"/>
    <col min="463" max="676" width="9.140625" style="1"/>
    <col min="677" max="677" width="18.7109375" style="1" customWidth="1"/>
    <col min="678" max="678" width="18.140625" style="1" customWidth="1"/>
    <col min="679" max="679" width="8.7109375" style="1" customWidth="1"/>
    <col min="680" max="680" width="9.140625" style="1"/>
    <col min="681" max="681" width="9.140625" style="1" customWidth="1"/>
    <col min="682" max="682" width="27.28515625" style="1" customWidth="1"/>
    <col min="683" max="718" width="9.140625" style="1" customWidth="1"/>
    <col min="719" max="932" width="9.140625" style="1"/>
    <col min="933" max="933" width="18.7109375" style="1" customWidth="1"/>
    <col min="934" max="934" width="18.140625" style="1" customWidth="1"/>
    <col min="935" max="935" width="8.7109375" style="1" customWidth="1"/>
    <col min="936" max="936" width="9.140625" style="1"/>
    <col min="937" max="937" width="9.140625" style="1" customWidth="1"/>
    <col min="938" max="938" width="27.28515625" style="1" customWidth="1"/>
    <col min="939" max="974" width="9.140625" style="1" customWidth="1"/>
    <col min="975" max="1188" width="9.140625" style="1"/>
    <col min="1189" max="1189" width="18.7109375" style="1" customWidth="1"/>
    <col min="1190" max="1190" width="18.140625" style="1" customWidth="1"/>
    <col min="1191" max="1191" width="8.7109375" style="1" customWidth="1"/>
    <col min="1192" max="1192" width="9.140625" style="1"/>
    <col min="1193" max="1193" width="9.140625" style="1" customWidth="1"/>
    <col min="1194" max="1194" width="27.28515625" style="1" customWidth="1"/>
    <col min="1195" max="1230" width="9.140625" style="1" customWidth="1"/>
    <col min="1231" max="1444" width="9.140625" style="1"/>
    <col min="1445" max="1445" width="18.7109375" style="1" customWidth="1"/>
    <col min="1446" max="1446" width="18.140625" style="1" customWidth="1"/>
    <col min="1447" max="1447" width="8.7109375" style="1" customWidth="1"/>
    <col min="1448" max="1448" width="9.140625" style="1"/>
    <col min="1449" max="1449" width="9.140625" style="1" customWidth="1"/>
    <col min="1450" max="1450" width="27.28515625" style="1" customWidth="1"/>
    <col min="1451" max="1486" width="9.140625" style="1" customWidth="1"/>
    <col min="1487" max="1700" width="9.140625" style="1"/>
    <col min="1701" max="1701" width="18.7109375" style="1" customWidth="1"/>
    <col min="1702" max="1702" width="18.140625" style="1" customWidth="1"/>
    <col min="1703" max="1703" width="8.7109375" style="1" customWidth="1"/>
    <col min="1704" max="1704" width="9.140625" style="1"/>
    <col min="1705" max="1705" width="9.140625" style="1" customWidth="1"/>
    <col min="1706" max="1706" width="27.28515625" style="1" customWidth="1"/>
    <col min="1707" max="1742" width="9.140625" style="1" customWidth="1"/>
    <col min="1743" max="1956" width="9.140625" style="1"/>
    <col min="1957" max="1957" width="18.7109375" style="1" customWidth="1"/>
    <col min="1958" max="1958" width="18.140625" style="1" customWidth="1"/>
    <col min="1959" max="1959" width="8.7109375" style="1" customWidth="1"/>
    <col min="1960" max="1960" width="9.140625" style="1"/>
    <col min="1961" max="1961" width="9.140625" style="1" customWidth="1"/>
    <col min="1962" max="1962" width="27.28515625" style="1" customWidth="1"/>
    <col min="1963" max="1998" width="9.140625" style="1" customWidth="1"/>
    <col min="1999" max="2212" width="9.140625" style="1"/>
    <col min="2213" max="2213" width="18.7109375" style="1" customWidth="1"/>
    <col min="2214" max="2214" width="18.140625" style="1" customWidth="1"/>
    <col min="2215" max="2215" width="8.7109375" style="1" customWidth="1"/>
    <col min="2216" max="2216" width="9.140625" style="1"/>
    <col min="2217" max="2217" width="9.140625" style="1" customWidth="1"/>
    <col min="2218" max="2218" width="27.28515625" style="1" customWidth="1"/>
    <col min="2219" max="2254" width="9.140625" style="1" customWidth="1"/>
    <col min="2255" max="2468" width="9.140625" style="1"/>
    <col min="2469" max="2469" width="18.7109375" style="1" customWidth="1"/>
    <col min="2470" max="2470" width="18.140625" style="1" customWidth="1"/>
    <col min="2471" max="2471" width="8.7109375" style="1" customWidth="1"/>
    <col min="2472" max="2472" width="9.140625" style="1"/>
    <col min="2473" max="2473" width="9.140625" style="1" customWidth="1"/>
    <col min="2474" max="2474" width="27.28515625" style="1" customWidth="1"/>
    <col min="2475" max="2510" width="9.140625" style="1" customWidth="1"/>
    <col min="2511" max="2724" width="9.140625" style="1"/>
    <col min="2725" max="2725" width="18.7109375" style="1" customWidth="1"/>
    <col min="2726" max="2726" width="18.140625" style="1" customWidth="1"/>
    <col min="2727" max="2727" width="8.7109375" style="1" customWidth="1"/>
    <col min="2728" max="2728" width="9.140625" style="1"/>
    <col min="2729" max="2729" width="9.140625" style="1" customWidth="1"/>
    <col min="2730" max="2730" width="27.28515625" style="1" customWidth="1"/>
    <col min="2731" max="2766" width="9.140625" style="1" customWidth="1"/>
    <col min="2767" max="2980" width="9.140625" style="1"/>
    <col min="2981" max="2981" width="18.7109375" style="1" customWidth="1"/>
    <col min="2982" max="2982" width="18.140625" style="1" customWidth="1"/>
    <col min="2983" max="2983" width="8.7109375" style="1" customWidth="1"/>
    <col min="2984" max="2984" width="9.140625" style="1"/>
    <col min="2985" max="2985" width="9.140625" style="1" customWidth="1"/>
    <col min="2986" max="2986" width="27.28515625" style="1" customWidth="1"/>
    <col min="2987" max="3022" width="9.140625" style="1" customWidth="1"/>
    <col min="3023" max="3236" width="9.140625" style="1"/>
    <col min="3237" max="3237" width="18.7109375" style="1" customWidth="1"/>
    <col min="3238" max="3238" width="18.140625" style="1" customWidth="1"/>
    <col min="3239" max="3239" width="8.7109375" style="1" customWidth="1"/>
    <col min="3240" max="3240" width="9.140625" style="1"/>
    <col min="3241" max="3241" width="9.140625" style="1" customWidth="1"/>
    <col min="3242" max="3242" width="27.28515625" style="1" customWidth="1"/>
    <col min="3243" max="3278" width="9.140625" style="1" customWidth="1"/>
    <col min="3279" max="3492" width="9.140625" style="1"/>
    <col min="3493" max="3493" width="18.7109375" style="1" customWidth="1"/>
    <col min="3494" max="3494" width="18.140625" style="1" customWidth="1"/>
    <col min="3495" max="3495" width="8.7109375" style="1" customWidth="1"/>
    <col min="3496" max="3496" width="9.140625" style="1"/>
    <col min="3497" max="3497" width="9.140625" style="1" customWidth="1"/>
    <col min="3498" max="3498" width="27.28515625" style="1" customWidth="1"/>
    <col min="3499" max="3534" width="9.140625" style="1" customWidth="1"/>
    <col min="3535" max="3748" width="9.140625" style="1"/>
    <col min="3749" max="3749" width="18.7109375" style="1" customWidth="1"/>
    <col min="3750" max="3750" width="18.140625" style="1" customWidth="1"/>
    <col min="3751" max="3751" width="8.7109375" style="1" customWidth="1"/>
    <col min="3752" max="3752" width="9.140625" style="1"/>
    <col min="3753" max="3753" width="9.140625" style="1" customWidth="1"/>
    <col min="3754" max="3754" width="27.28515625" style="1" customWidth="1"/>
    <col min="3755" max="3790" width="9.140625" style="1" customWidth="1"/>
    <col min="3791" max="4004" width="9.140625" style="1"/>
    <col min="4005" max="4005" width="18.7109375" style="1" customWidth="1"/>
    <col min="4006" max="4006" width="18.140625" style="1" customWidth="1"/>
    <col min="4007" max="4007" width="8.7109375" style="1" customWidth="1"/>
    <col min="4008" max="4008" width="9.140625" style="1"/>
    <col min="4009" max="4009" width="9.140625" style="1" customWidth="1"/>
    <col min="4010" max="4010" width="27.28515625" style="1" customWidth="1"/>
    <col min="4011" max="4046" width="9.140625" style="1" customWidth="1"/>
    <col min="4047" max="4260" width="9.140625" style="1"/>
    <col min="4261" max="4261" width="18.7109375" style="1" customWidth="1"/>
    <col min="4262" max="4262" width="18.140625" style="1" customWidth="1"/>
    <col min="4263" max="4263" width="8.7109375" style="1" customWidth="1"/>
    <col min="4264" max="4264" width="9.140625" style="1"/>
    <col min="4265" max="4265" width="9.140625" style="1" customWidth="1"/>
    <col min="4266" max="4266" width="27.28515625" style="1" customWidth="1"/>
    <col min="4267" max="4302" width="9.140625" style="1" customWidth="1"/>
    <col min="4303" max="4516" width="9.140625" style="1"/>
    <col min="4517" max="4517" width="18.7109375" style="1" customWidth="1"/>
    <col min="4518" max="4518" width="18.140625" style="1" customWidth="1"/>
    <col min="4519" max="4519" width="8.7109375" style="1" customWidth="1"/>
    <col min="4520" max="4520" width="9.140625" style="1"/>
    <col min="4521" max="4521" width="9.140625" style="1" customWidth="1"/>
    <col min="4522" max="4522" width="27.28515625" style="1" customWidth="1"/>
    <col min="4523" max="4558" width="9.140625" style="1" customWidth="1"/>
    <col min="4559" max="4772" width="9.140625" style="1"/>
    <col min="4773" max="4773" width="18.7109375" style="1" customWidth="1"/>
    <col min="4774" max="4774" width="18.140625" style="1" customWidth="1"/>
    <col min="4775" max="4775" width="8.7109375" style="1" customWidth="1"/>
    <col min="4776" max="4776" width="9.140625" style="1"/>
    <col min="4777" max="4777" width="9.140625" style="1" customWidth="1"/>
    <col min="4778" max="4778" width="27.28515625" style="1" customWidth="1"/>
    <col min="4779" max="4814" width="9.140625" style="1" customWidth="1"/>
    <col min="4815" max="5028" width="9.140625" style="1"/>
    <col min="5029" max="5029" width="18.7109375" style="1" customWidth="1"/>
    <col min="5030" max="5030" width="18.140625" style="1" customWidth="1"/>
    <col min="5031" max="5031" width="8.7109375" style="1" customWidth="1"/>
    <col min="5032" max="5032" width="9.140625" style="1"/>
    <col min="5033" max="5033" width="9.140625" style="1" customWidth="1"/>
    <col min="5034" max="5034" width="27.28515625" style="1" customWidth="1"/>
    <col min="5035" max="5070" width="9.140625" style="1" customWidth="1"/>
    <col min="5071" max="5284" width="9.140625" style="1"/>
    <col min="5285" max="5285" width="18.7109375" style="1" customWidth="1"/>
    <col min="5286" max="5286" width="18.140625" style="1" customWidth="1"/>
    <col min="5287" max="5287" width="8.7109375" style="1" customWidth="1"/>
    <col min="5288" max="5288" width="9.140625" style="1"/>
    <col min="5289" max="5289" width="9.140625" style="1" customWidth="1"/>
    <col min="5290" max="5290" width="27.28515625" style="1" customWidth="1"/>
    <col min="5291" max="5326" width="9.140625" style="1" customWidth="1"/>
    <col min="5327" max="5540" width="9.140625" style="1"/>
    <col min="5541" max="5541" width="18.7109375" style="1" customWidth="1"/>
    <col min="5542" max="5542" width="18.140625" style="1" customWidth="1"/>
    <col min="5543" max="5543" width="8.7109375" style="1" customWidth="1"/>
    <col min="5544" max="5544" width="9.140625" style="1"/>
    <col min="5545" max="5545" width="9.140625" style="1" customWidth="1"/>
    <col min="5546" max="5546" width="27.28515625" style="1" customWidth="1"/>
    <col min="5547" max="5582" width="9.140625" style="1" customWidth="1"/>
    <col min="5583" max="5796" width="9.140625" style="1"/>
    <col min="5797" max="5797" width="18.7109375" style="1" customWidth="1"/>
    <col min="5798" max="5798" width="18.140625" style="1" customWidth="1"/>
    <col min="5799" max="5799" width="8.7109375" style="1" customWidth="1"/>
    <col min="5800" max="5800" width="9.140625" style="1"/>
    <col min="5801" max="5801" width="9.140625" style="1" customWidth="1"/>
    <col min="5802" max="5802" width="27.28515625" style="1" customWidth="1"/>
    <col min="5803" max="5838" width="9.140625" style="1" customWidth="1"/>
    <col min="5839" max="6052" width="9.140625" style="1"/>
    <col min="6053" max="6053" width="18.7109375" style="1" customWidth="1"/>
    <col min="6054" max="6054" width="18.140625" style="1" customWidth="1"/>
    <col min="6055" max="6055" width="8.7109375" style="1" customWidth="1"/>
    <col min="6056" max="6056" width="9.140625" style="1"/>
    <col min="6057" max="6057" width="9.140625" style="1" customWidth="1"/>
    <col min="6058" max="6058" width="27.28515625" style="1" customWidth="1"/>
    <col min="6059" max="6094" width="9.140625" style="1" customWidth="1"/>
    <col min="6095" max="6308" width="9.140625" style="1"/>
    <col min="6309" max="6309" width="18.7109375" style="1" customWidth="1"/>
    <col min="6310" max="6310" width="18.140625" style="1" customWidth="1"/>
    <col min="6311" max="6311" width="8.7109375" style="1" customWidth="1"/>
    <col min="6312" max="6312" width="9.140625" style="1"/>
    <col min="6313" max="6313" width="9.140625" style="1" customWidth="1"/>
    <col min="6314" max="6314" width="27.28515625" style="1" customWidth="1"/>
    <col min="6315" max="6350" width="9.140625" style="1" customWidth="1"/>
    <col min="6351" max="6564" width="9.140625" style="1"/>
    <col min="6565" max="6565" width="18.7109375" style="1" customWidth="1"/>
    <col min="6566" max="6566" width="18.140625" style="1" customWidth="1"/>
    <col min="6567" max="6567" width="8.7109375" style="1" customWidth="1"/>
    <col min="6568" max="6568" width="9.140625" style="1"/>
    <col min="6569" max="6569" width="9.140625" style="1" customWidth="1"/>
    <col min="6570" max="6570" width="27.28515625" style="1" customWidth="1"/>
    <col min="6571" max="6606" width="9.140625" style="1" customWidth="1"/>
    <col min="6607" max="6820" width="9.140625" style="1"/>
    <col min="6821" max="6821" width="18.7109375" style="1" customWidth="1"/>
    <col min="6822" max="6822" width="18.140625" style="1" customWidth="1"/>
    <col min="6823" max="6823" width="8.7109375" style="1" customWidth="1"/>
    <col min="6824" max="6824" width="9.140625" style="1"/>
    <col min="6825" max="6825" width="9.140625" style="1" customWidth="1"/>
    <col min="6826" max="6826" width="27.28515625" style="1" customWidth="1"/>
    <col min="6827" max="6862" width="9.140625" style="1" customWidth="1"/>
    <col min="6863" max="7076" width="9.140625" style="1"/>
    <col min="7077" max="7077" width="18.7109375" style="1" customWidth="1"/>
    <col min="7078" max="7078" width="18.140625" style="1" customWidth="1"/>
    <col min="7079" max="7079" width="8.7109375" style="1" customWidth="1"/>
    <col min="7080" max="7080" width="9.140625" style="1"/>
    <col min="7081" max="7081" width="9.140625" style="1" customWidth="1"/>
    <col min="7082" max="7082" width="27.28515625" style="1" customWidth="1"/>
    <col min="7083" max="7118" width="9.140625" style="1" customWidth="1"/>
    <col min="7119" max="7332" width="9.140625" style="1"/>
    <col min="7333" max="7333" width="18.7109375" style="1" customWidth="1"/>
    <col min="7334" max="7334" width="18.140625" style="1" customWidth="1"/>
    <col min="7335" max="7335" width="8.7109375" style="1" customWidth="1"/>
    <col min="7336" max="7336" width="9.140625" style="1"/>
    <col min="7337" max="7337" width="9.140625" style="1" customWidth="1"/>
    <col min="7338" max="7338" width="27.28515625" style="1" customWidth="1"/>
    <col min="7339" max="7374" width="9.140625" style="1" customWidth="1"/>
    <col min="7375" max="7588" width="9.140625" style="1"/>
    <col min="7589" max="7589" width="18.7109375" style="1" customWidth="1"/>
    <col min="7590" max="7590" width="18.140625" style="1" customWidth="1"/>
    <col min="7591" max="7591" width="8.7109375" style="1" customWidth="1"/>
    <col min="7592" max="7592" width="9.140625" style="1"/>
    <col min="7593" max="7593" width="9.140625" style="1" customWidth="1"/>
    <col min="7594" max="7594" width="27.28515625" style="1" customWidth="1"/>
    <col min="7595" max="7630" width="9.140625" style="1" customWidth="1"/>
    <col min="7631" max="7844" width="9.140625" style="1"/>
    <col min="7845" max="7845" width="18.7109375" style="1" customWidth="1"/>
    <col min="7846" max="7846" width="18.140625" style="1" customWidth="1"/>
    <col min="7847" max="7847" width="8.7109375" style="1" customWidth="1"/>
    <col min="7848" max="7848" width="9.140625" style="1"/>
    <col min="7849" max="7849" width="9.140625" style="1" customWidth="1"/>
    <col min="7850" max="7850" width="27.28515625" style="1" customWidth="1"/>
    <col min="7851" max="7886" width="9.140625" style="1" customWidth="1"/>
    <col min="7887" max="8100" width="9.140625" style="1"/>
    <col min="8101" max="8101" width="18.7109375" style="1" customWidth="1"/>
    <col min="8102" max="8102" width="18.140625" style="1" customWidth="1"/>
    <col min="8103" max="8103" width="8.7109375" style="1" customWidth="1"/>
    <col min="8104" max="8104" width="9.140625" style="1"/>
    <col min="8105" max="8105" width="9.140625" style="1" customWidth="1"/>
    <col min="8106" max="8106" width="27.28515625" style="1" customWidth="1"/>
    <col min="8107" max="8142" width="9.140625" style="1" customWidth="1"/>
    <col min="8143" max="8356" width="9.140625" style="1"/>
    <col min="8357" max="8357" width="18.7109375" style="1" customWidth="1"/>
    <col min="8358" max="8358" width="18.140625" style="1" customWidth="1"/>
    <col min="8359" max="8359" width="8.7109375" style="1" customWidth="1"/>
    <col min="8360" max="8360" width="9.140625" style="1"/>
    <col min="8361" max="8361" width="9.140625" style="1" customWidth="1"/>
    <col min="8362" max="8362" width="27.28515625" style="1" customWidth="1"/>
    <col min="8363" max="8398" width="9.140625" style="1" customWidth="1"/>
    <col min="8399" max="8612" width="9.140625" style="1"/>
    <col min="8613" max="8613" width="18.7109375" style="1" customWidth="1"/>
    <col min="8614" max="8614" width="18.140625" style="1" customWidth="1"/>
    <col min="8615" max="8615" width="8.7109375" style="1" customWidth="1"/>
    <col min="8616" max="8616" width="9.140625" style="1"/>
    <col min="8617" max="8617" width="9.140625" style="1" customWidth="1"/>
    <col min="8618" max="8618" width="27.28515625" style="1" customWidth="1"/>
    <col min="8619" max="8654" width="9.140625" style="1" customWidth="1"/>
    <col min="8655" max="8868" width="9.140625" style="1"/>
    <col min="8869" max="8869" width="18.7109375" style="1" customWidth="1"/>
    <col min="8870" max="8870" width="18.140625" style="1" customWidth="1"/>
    <col min="8871" max="8871" width="8.7109375" style="1" customWidth="1"/>
    <col min="8872" max="8872" width="9.140625" style="1"/>
    <col min="8873" max="8873" width="9.140625" style="1" customWidth="1"/>
    <col min="8874" max="8874" width="27.28515625" style="1" customWidth="1"/>
    <col min="8875" max="8910" width="9.140625" style="1" customWidth="1"/>
    <col min="8911" max="9124" width="9.140625" style="1"/>
    <col min="9125" max="9125" width="18.7109375" style="1" customWidth="1"/>
    <col min="9126" max="9126" width="18.140625" style="1" customWidth="1"/>
    <col min="9127" max="9127" width="8.7109375" style="1" customWidth="1"/>
    <col min="9128" max="9128" width="9.140625" style="1"/>
    <col min="9129" max="9129" width="9.140625" style="1" customWidth="1"/>
    <col min="9130" max="9130" width="27.28515625" style="1" customWidth="1"/>
    <col min="9131" max="9166" width="9.140625" style="1" customWidth="1"/>
    <col min="9167" max="9380" width="9.140625" style="1"/>
    <col min="9381" max="9381" width="18.7109375" style="1" customWidth="1"/>
    <col min="9382" max="9382" width="18.140625" style="1" customWidth="1"/>
    <col min="9383" max="9383" width="8.7109375" style="1" customWidth="1"/>
    <col min="9384" max="9384" width="9.140625" style="1"/>
    <col min="9385" max="9385" width="9.140625" style="1" customWidth="1"/>
    <col min="9386" max="9386" width="27.28515625" style="1" customWidth="1"/>
    <col min="9387" max="9422" width="9.140625" style="1" customWidth="1"/>
    <col min="9423" max="9636" width="9.140625" style="1"/>
    <col min="9637" max="9637" width="18.7109375" style="1" customWidth="1"/>
    <col min="9638" max="9638" width="18.140625" style="1" customWidth="1"/>
    <col min="9639" max="9639" width="8.7109375" style="1" customWidth="1"/>
    <col min="9640" max="9640" width="9.140625" style="1"/>
    <col min="9641" max="9641" width="9.140625" style="1" customWidth="1"/>
    <col min="9642" max="9642" width="27.28515625" style="1" customWidth="1"/>
    <col min="9643" max="9678" width="9.140625" style="1" customWidth="1"/>
    <col min="9679" max="9892" width="9.140625" style="1"/>
    <col min="9893" max="9893" width="18.7109375" style="1" customWidth="1"/>
    <col min="9894" max="9894" width="18.140625" style="1" customWidth="1"/>
    <col min="9895" max="9895" width="8.7109375" style="1" customWidth="1"/>
    <col min="9896" max="9896" width="9.140625" style="1"/>
    <col min="9897" max="9897" width="9.140625" style="1" customWidth="1"/>
    <col min="9898" max="9898" width="27.28515625" style="1" customWidth="1"/>
    <col min="9899" max="9934" width="9.140625" style="1" customWidth="1"/>
    <col min="9935" max="10148" width="9.140625" style="1"/>
    <col min="10149" max="10149" width="18.7109375" style="1" customWidth="1"/>
    <col min="10150" max="10150" width="18.140625" style="1" customWidth="1"/>
    <col min="10151" max="10151" width="8.7109375" style="1" customWidth="1"/>
    <col min="10152" max="10152" width="9.140625" style="1"/>
    <col min="10153" max="10153" width="9.140625" style="1" customWidth="1"/>
    <col min="10154" max="10154" width="27.28515625" style="1" customWidth="1"/>
    <col min="10155" max="10190" width="9.140625" style="1" customWidth="1"/>
    <col min="10191" max="10404" width="9.140625" style="1"/>
    <col min="10405" max="10405" width="18.7109375" style="1" customWidth="1"/>
    <col min="10406" max="10406" width="18.140625" style="1" customWidth="1"/>
    <col min="10407" max="10407" width="8.7109375" style="1" customWidth="1"/>
    <col min="10408" max="10408" width="9.140625" style="1"/>
    <col min="10409" max="10409" width="9.140625" style="1" customWidth="1"/>
    <col min="10410" max="10410" width="27.28515625" style="1" customWidth="1"/>
    <col min="10411" max="10446" width="9.140625" style="1" customWidth="1"/>
    <col min="10447" max="10660" width="9.140625" style="1"/>
    <col min="10661" max="10661" width="18.7109375" style="1" customWidth="1"/>
    <col min="10662" max="10662" width="18.140625" style="1" customWidth="1"/>
    <col min="10663" max="10663" width="8.7109375" style="1" customWidth="1"/>
    <col min="10664" max="10664" width="9.140625" style="1"/>
    <col min="10665" max="10665" width="9.140625" style="1" customWidth="1"/>
    <col min="10666" max="10666" width="27.28515625" style="1" customWidth="1"/>
    <col min="10667" max="10702" width="9.140625" style="1" customWidth="1"/>
    <col min="10703" max="10916" width="9.140625" style="1"/>
    <col min="10917" max="10917" width="18.7109375" style="1" customWidth="1"/>
    <col min="10918" max="10918" width="18.140625" style="1" customWidth="1"/>
    <col min="10919" max="10919" width="8.7109375" style="1" customWidth="1"/>
    <col min="10920" max="10920" width="9.140625" style="1"/>
    <col min="10921" max="10921" width="9.140625" style="1" customWidth="1"/>
    <col min="10922" max="10922" width="27.28515625" style="1" customWidth="1"/>
    <col min="10923" max="10958" width="9.140625" style="1" customWidth="1"/>
    <col min="10959" max="11172" width="9.140625" style="1"/>
    <col min="11173" max="11173" width="18.7109375" style="1" customWidth="1"/>
    <col min="11174" max="11174" width="18.140625" style="1" customWidth="1"/>
    <col min="11175" max="11175" width="8.7109375" style="1" customWidth="1"/>
    <col min="11176" max="11176" width="9.140625" style="1"/>
    <col min="11177" max="11177" width="9.140625" style="1" customWidth="1"/>
    <col min="11178" max="11178" width="27.28515625" style="1" customWidth="1"/>
    <col min="11179" max="11214" width="9.140625" style="1" customWidth="1"/>
    <col min="11215" max="11428" width="9.140625" style="1"/>
    <col min="11429" max="11429" width="18.7109375" style="1" customWidth="1"/>
    <col min="11430" max="11430" width="18.140625" style="1" customWidth="1"/>
    <col min="11431" max="11431" width="8.7109375" style="1" customWidth="1"/>
    <col min="11432" max="11432" width="9.140625" style="1"/>
    <col min="11433" max="11433" width="9.140625" style="1" customWidth="1"/>
    <col min="11434" max="11434" width="27.28515625" style="1" customWidth="1"/>
    <col min="11435" max="11470" width="9.140625" style="1" customWidth="1"/>
    <col min="11471" max="11684" width="9.140625" style="1"/>
    <col min="11685" max="11685" width="18.7109375" style="1" customWidth="1"/>
    <col min="11686" max="11686" width="18.140625" style="1" customWidth="1"/>
    <col min="11687" max="11687" width="8.7109375" style="1" customWidth="1"/>
    <col min="11688" max="11688" width="9.140625" style="1"/>
    <col min="11689" max="11689" width="9.140625" style="1" customWidth="1"/>
    <col min="11690" max="11690" width="27.28515625" style="1" customWidth="1"/>
    <col min="11691" max="11726" width="9.140625" style="1" customWidth="1"/>
    <col min="11727" max="11940" width="9.140625" style="1"/>
    <col min="11941" max="11941" width="18.7109375" style="1" customWidth="1"/>
    <col min="11942" max="11942" width="18.140625" style="1" customWidth="1"/>
    <col min="11943" max="11943" width="8.7109375" style="1" customWidth="1"/>
    <col min="11944" max="11944" width="9.140625" style="1"/>
    <col min="11945" max="11945" width="9.140625" style="1" customWidth="1"/>
    <col min="11946" max="11946" width="27.28515625" style="1" customWidth="1"/>
    <col min="11947" max="11982" width="9.140625" style="1" customWidth="1"/>
    <col min="11983" max="12196" width="9.140625" style="1"/>
    <col min="12197" max="12197" width="18.7109375" style="1" customWidth="1"/>
    <col min="12198" max="12198" width="18.140625" style="1" customWidth="1"/>
    <col min="12199" max="12199" width="8.7109375" style="1" customWidth="1"/>
    <col min="12200" max="12200" width="9.140625" style="1"/>
    <col min="12201" max="12201" width="9.140625" style="1" customWidth="1"/>
    <col min="12202" max="12202" width="27.28515625" style="1" customWidth="1"/>
    <col min="12203" max="12238" width="9.140625" style="1" customWidth="1"/>
    <col min="12239" max="12452" width="9.140625" style="1"/>
    <col min="12453" max="12453" width="18.7109375" style="1" customWidth="1"/>
    <col min="12454" max="12454" width="18.140625" style="1" customWidth="1"/>
    <col min="12455" max="12455" width="8.7109375" style="1" customWidth="1"/>
    <col min="12456" max="12456" width="9.140625" style="1"/>
    <col min="12457" max="12457" width="9.140625" style="1" customWidth="1"/>
    <col min="12458" max="12458" width="27.28515625" style="1" customWidth="1"/>
    <col min="12459" max="12494" width="9.140625" style="1" customWidth="1"/>
    <col min="12495" max="12708" width="9.140625" style="1"/>
    <col min="12709" max="12709" width="18.7109375" style="1" customWidth="1"/>
    <col min="12710" max="12710" width="18.140625" style="1" customWidth="1"/>
    <col min="12711" max="12711" width="8.7109375" style="1" customWidth="1"/>
    <col min="12712" max="12712" width="9.140625" style="1"/>
    <col min="12713" max="12713" width="9.140625" style="1" customWidth="1"/>
    <col min="12714" max="12714" width="27.28515625" style="1" customWidth="1"/>
    <col min="12715" max="12750" width="9.140625" style="1" customWidth="1"/>
    <col min="12751" max="12964" width="9.140625" style="1"/>
    <col min="12965" max="12965" width="18.7109375" style="1" customWidth="1"/>
    <col min="12966" max="12966" width="18.140625" style="1" customWidth="1"/>
    <col min="12967" max="12967" width="8.7109375" style="1" customWidth="1"/>
    <col min="12968" max="12968" width="9.140625" style="1"/>
    <col min="12969" max="12969" width="9.140625" style="1" customWidth="1"/>
    <col min="12970" max="12970" width="27.28515625" style="1" customWidth="1"/>
    <col min="12971" max="13006" width="9.140625" style="1" customWidth="1"/>
    <col min="13007" max="13220" width="9.140625" style="1"/>
    <col min="13221" max="13221" width="18.7109375" style="1" customWidth="1"/>
    <col min="13222" max="13222" width="18.140625" style="1" customWidth="1"/>
    <col min="13223" max="13223" width="8.7109375" style="1" customWidth="1"/>
    <col min="13224" max="13224" width="9.140625" style="1"/>
    <col min="13225" max="13225" width="9.140625" style="1" customWidth="1"/>
    <col min="13226" max="13226" width="27.28515625" style="1" customWidth="1"/>
    <col min="13227" max="13262" width="9.140625" style="1" customWidth="1"/>
    <col min="13263" max="13476" width="9.140625" style="1"/>
    <col min="13477" max="13477" width="18.7109375" style="1" customWidth="1"/>
    <col min="13478" max="13478" width="18.140625" style="1" customWidth="1"/>
    <col min="13479" max="13479" width="8.7109375" style="1" customWidth="1"/>
    <col min="13480" max="13480" width="9.140625" style="1"/>
    <col min="13481" max="13481" width="9.140625" style="1" customWidth="1"/>
    <col min="13482" max="13482" width="27.28515625" style="1" customWidth="1"/>
    <col min="13483" max="13518" width="9.140625" style="1" customWidth="1"/>
    <col min="13519" max="13732" width="9.140625" style="1"/>
    <col min="13733" max="13733" width="18.7109375" style="1" customWidth="1"/>
    <col min="13734" max="13734" width="18.140625" style="1" customWidth="1"/>
    <col min="13735" max="13735" width="8.7109375" style="1" customWidth="1"/>
    <col min="13736" max="13736" width="9.140625" style="1"/>
    <col min="13737" max="13737" width="9.140625" style="1" customWidth="1"/>
    <col min="13738" max="13738" width="27.28515625" style="1" customWidth="1"/>
    <col min="13739" max="13774" width="9.140625" style="1" customWidth="1"/>
    <col min="13775" max="13988" width="9.140625" style="1"/>
    <col min="13989" max="13989" width="18.7109375" style="1" customWidth="1"/>
    <col min="13990" max="13990" width="18.140625" style="1" customWidth="1"/>
    <col min="13991" max="13991" width="8.7109375" style="1" customWidth="1"/>
    <col min="13992" max="13992" width="9.140625" style="1"/>
    <col min="13993" max="13993" width="9.140625" style="1" customWidth="1"/>
    <col min="13994" max="13994" width="27.28515625" style="1" customWidth="1"/>
    <col min="13995" max="14030" width="9.140625" style="1" customWidth="1"/>
    <col min="14031" max="14244" width="9.140625" style="1"/>
    <col min="14245" max="14245" width="18.7109375" style="1" customWidth="1"/>
    <col min="14246" max="14246" width="18.140625" style="1" customWidth="1"/>
    <col min="14247" max="14247" width="8.7109375" style="1" customWidth="1"/>
    <col min="14248" max="14248" width="9.140625" style="1"/>
    <col min="14249" max="14249" width="9.140625" style="1" customWidth="1"/>
    <col min="14250" max="14250" width="27.28515625" style="1" customWidth="1"/>
    <col min="14251" max="14286" width="9.140625" style="1" customWidth="1"/>
    <col min="14287" max="14500" width="9.140625" style="1"/>
    <col min="14501" max="14501" width="18.7109375" style="1" customWidth="1"/>
    <col min="14502" max="14502" width="18.140625" style="1" customWidth="1"/>
    <col min="14503" max="14503" width="8.7109375" style="1" customWidth="1"/>
    <col min="14504" max="14504" width="9.140625" style="1"/>
    <col min="14505" max="14505" width="9.140625" style="1" customWidth="1"/>
    <col min="14506" max="14506" width="27.28515625" style="1" customWidth="1"/>
    <col min="14507" max="14542" width="9.140625" style="1" customWidth="1"/>
    <col min="14543" max="14756" width="9.140625" style="1"/>
    <col min="14757" max="14757" width="18.7109375" style="1" customWidth="1"/>
    <col min="14758" max="14758" width="18.140625" style="1" customWidth="1"/>
    <col min="14759" max="14759" width="8.7109375" style="1" customWidth="1"/>
    <col min="14760" max="14760" width="9.140625" style="1"/>
    <col min="14761" max="14761" width="9.140625" style="1" customWidth="1"/>
    <col min="14762" max="14762" width="27.28515625" style="1" customWidth="1"/>
    <col min="14763" max="14798" width="9.140625" style="1" customWidth="1"/>
    <col min="14799" max="15012" width="9.140625" style="1"/>
    <col min="15013" max="15013" width="18.7109375" style="1" customWidth="1"/>
    <col min="15014" max="15014" width="18.140625" style="1" customWidth="1"/>
    <col min="15015" max="15015" width="8.7109375" style="1" customWidth="1"/>
    <col min="15016" max="15016" width="9.140625" style="1"/>
    <col min="15017" max="15017" width="9.140625" style="1" customWidth="1"/>
    <col min="15018" max="15018" width="27.28515625" style="1" customWidth="1"/>
    <col min="15019" max="15054" width="9.140625" style="1" customWidth="1"/>
    <col min="15055" max="15268" width="9.140625" style="1"/>
    <col min="15269" max="15269" width="18.7109375" style="1" customWidth="1"/>
    <col min="15270" max="15270" width="18.140625" style="1" customWidth="1"/>
    <col min="15271" max="15271" width="8.7109375" style="1" customWidth="1"/>
    <col min="15272" max="15272" width="9.140625" style="1"/>
    <col min="15273" max="15273" width="9.140625" style="1" customWidth="1"/>
    <col min="15274" max="15274" width="27.28515625" style="1" customWidth="1"/>
    <col min="15275" max="15310" width="9.140625" style="1" customWidth="1"/>
    <col min="15311" max="15524" width="9.140625" style="1"/>
    <col min="15525" max="15525" width="18.7109375" style="1" customWidth="1"/>
    <col min="15526" max="15526" width="18.140625" style="1" customWidth="1"/>
    <col min="15527" max="15527" width="8.7109375" style="1" customWidth="1"/>
    <col min="15528" max="15528" width="9.140625" style="1"/>
    <col min="15529" max="15529" width="9.140625" style="1" customWidth="1"/>
    <col min="15530" max="15530" width="27.28515625" style="1" customWidth="1"/>
    <col min="15531" max="15566" width="9.140625" style="1" customWidth="1"/>
    <col min="15567" max="15780" width="9.140625" style="1"/>
    <col min="15781" max="15781" width="18.7109375" style="1" customWidth="1"/>
    <col min="15782" max="15782" width="18.140625" style="1" customWidth="1"/>
    <col min="15783" max="15783" width="8.7109375" style="1" customWidth="1"/>
    <col min="15784" max="15784" width="9.140625" style="1"/>
    <col min="15785" max="15785" width="9.140625" style="1" customWidth="1"/>
    <col min="15786" max="15786" width="27.28515625" style="1" customWidth="1"/>
    <col min="15787" max="15822" width="9.140625" style="1" customWidth="1"/>
    <col min="15823" max="16036" width="9.140625" style="1"/>
    <col min="16037" max="16037" width="18.7109375" style="1" customWidth="1"/>
    <col min="16038" max="16038" width="18.140625" style="1" customWidth="1"/>
    <col min="16039" max="16039" width="8.7109375" style="1" customWidth="1"/>
    <col min="16040" max="16040" width="9.140625" style="1"/>
    <col min="16041" max="16041" width="9.140625" style="1" customWidth="1"/>
    <col min="16042" max="16042" width="27.28515625" style="1" customWidth="1"/>
    <col min="16043" max="16078" width="9.140625" style="1" customWidth="1"/>
    <col min="16079" max="16384" width="9.140625" style="1"/>
  </cols>
  <sheetData>
    <row r="1" spans="1:8" s="2" customFormat="1" ht="24.95" customHeight="1" x14ac:dyDescent="0.25">
      <c r="A1" s="16" t="str">
        <f>"Итоговая классификация "&amp;название</f>
        <v>Итоговая классификация Ралли "Skoda - 2019"</v>
      </c>
      <c r="B1" s="15"/>
      <c r="C1" s="14"/>
      <c r="D1" s="14"/>
      <c r="E1" s="14"/>
      <c r="F1" s="14"/>
    </row>
    <row r="2" spans="1:8" s="2" customFormat="1" ht="24.95" customHeight="1" x14ac:dyDescent="0.25">
      <c r="A2" s="376" t="str">
        <f>датаРалли</f>
        <v>21 декабря 2019 г.</v>
      </c>
      <c r="B2" s="15"/>
      <c r="C2" s="14"/>
      <c r="D2" s="14"/>
      <c r="E2" s="14"/>
      <c r="F2" s="14"/>
    </row>
    <row r="3" spans="1:8" s="2" customFormat="1" ht="24.95" customHeight="1" x14ac:dyDescent="0.25">
      <c r="A3" s="409" t="s">
        <v>889</v>
      </c>
    </row>
    <row r="4" spans="1:8" ht="38.25" x14ac:dyDescent="0.25">
      <c r="A4" s="510" t="s">
        <v>272</v>
      </c>
      <c r="B4" s="510" t="s">
        <v>9</v>
      </c>
      <c r="C4" s="510" t="s">
        <v>367</v>
      </c>
      <c r="D4" s="510" t="s">
        <v>368</v>
      </c>
      <c r="E4" s="510" t="s">
        <v>31</v>
      </c>
      <c r="F4" s="511" t="s">
        <v>271</v>
      </c>
    </row>
    <row r="5" spans="1:8" ht="30" customHeight="1" x14ac:dyDescent="0.25">
      <c r="A5" s="512">
        <v>1</v>
      </c>
      <c r="B5" s="513">
        <v>47</v>
      </c>
      <c r="C5" s="522" t="s">
        <v>842</v>
      </c>
      <c r="D5" s="522" t="s">
        <v>845</v>
      </c>
      <c r="E5" s="522" t="s">
        <v>887</v>
      </c>
      <c r="F5" s="520">
        <v>308.5</v>
      </c>
    </row>
    <row r="6" spans="1:8" ht="30" customHeight="1" x14ac:dyDescent="0.25">
      <c r="A6" s="514">
        <f>1+A5</f>
        <v>2</v>
      </c>
      <c r="B6" s="515">
        <v>29</v>
      </c>
      <c r="C6" s="523" t="s">
        <v>864</v>
      </c>
      <c r="D6" s="523" t="s">
        <v>865</v>
      </c>
      <c r="E6" s="523" t="s">
        <v>884</v>
      </c>
      <c r="F6" s="521">
        <v>621.5</v>
      </c>
      <c r="H6" s="1" t="s">
        <v>274</v>
      </c>
    </row>
    <row r="7" spans="1:8" ht="30" customHeight="1" x14ac:dyDescent="0.25">
      <c r="A7" s="512">
        <f t="shared" ref="A7:A17" si="0">1+A6</f>
        <v>3</v>
      </c>
      <c r="B7" s="513">
        <v>1</v>
      </c>
      <c r="C7" s="522" t="s">
        <v>674</v>
      </c>
      <c r="D7" s="522" t="s">
        <v>676</v>
      </c>
      <c r="E7" s="522" t="s">
        <v>179</v>
      </c>
      <c r="F7" s="520">
        <v>622.29999999999995</v>
      </c>
    </row>
    <row r="8" spans="1:8" ht="30" customHeight="1" x14ac:dyDescent="0.25">
      <c r="A8" s="514">
        <f t="shared" si="0"/>
        <v>4</v>
      </c>
      <c r="B8" s="515">
        <v>7</v>
      </c>
      <c r="C8" s="523" t="s">
        <v>23</v>
      </c>
      <c r="D8" s="523" t="s">
        <v>24</v>
      </c>
      <c r="E8" s="523" t="s">
        <v>6</v>
      </c>
      <c r="F8" s="521">
        <v>918.1</v>
      </c>
    </row>
    <row r="9" spans="1:8" ht="30" customHeight="1" x14ac:dyDescent="0.25">
      <c r="A9" s="512">
        <f t="shared" si="0"/>
        <v>5</v>
      </c>
      <c r="B9" s="513">
        <v>33</v>
      </c>
      <c r="C9" s="522" t="s">
        <v>635</v>
      </c>
      <c r="D9" s="522" t="s">
        <v>637</v>
      </c>
      <c r="E9" s="522" t="s">
        <v>636</v>
      </c>
      <c r="F9" s="520">
        <v>1063.4000000000001</v>
      </c>
    </row>
    <row r="10" spans="1:8" ht="30" customHeight="1" x14ac:dyDescent="0.25">
      <c r="A10" s="514">
        <f t="shared" si="0"/>
        <v>6</v>
      </c>
      <c r="B10" s="515">
        <v>4</v>
      </c>
      <c r="C10" s="523" t="s">
        <v>811</v>
      </c>
      <c r="D10" s="523" t="s">
        <v>813</v>
      </c>
      <c r="E10" s="523" t="s">
        <v>6</v>
      </c>
      <c r="F10" s="521">
        <v>1088.9000000000001</v>
      </c>
    </row>
    <row r="11" spans="1:8" ht="30" customHeight="1" x14ac:dyDescent="0.25">
      <c r="A11" s="512">
        <f t="shared" si="0"/>
        <v>7</v>
      </c>
      <c r="B11" s="513">
        <v>2</v>
      </c>
      <c r="C11" s="522" t="s">
        <v>728</v>
      </c>
      <c r="D11" s="522" t="s">
        <v>729</v>
      </c>
      <c r="E11" s="522" t="s">
        <v>884</v>
      </c>
      <c r="F11" s="520">
        <v>1368.4</v>
      </c>
    </row>
    <row r="12" spans="1:8" ht="30" customHeight="1" x14ac:dyDescent="0.25">
      <c r="A12" s="514">
        <f t="shared" si="0"/>
        <v>8</v>
      </c>
      <c r="B12" s="515">
        <v>22</v>
      </c>
      <c r="C12" s="523" t="s">
        <v>799</v>
      </c>
      <c r="D12" s="523" t="s">
        <v>800</v>
      </c>
      <c r="E12" s="523" t="s">
        <v>747</v>
      </c>
      <c r="F12" s="521">
        <v>1501.8</v>
      </c>
    </row>
    <row r="13" spans="1:8" ht="30" customHeight="1" x14ac:dyDescent="0.25">
      <c r="A13" s="512">
        <f t="shared" si="0"/>
        <v>9</v>
      </c>
      <c r="B13" s="513">
        <v>16</v>
      </c>
      <c r="C13" s="522" t="s">
        <v>383</v>
      </c>
      <c r="D13" s="522" t="s">
        <v>384</v>
      </c>
      <c r="E13" s="522" t="s">
        <v>6</v>
      </c>
      <c r="F13" s="520">
        <v>1587.3</v>
      </c>
    </row>
    <row r="14" spans="1:8" ht="30" customHeight="1" x14ac:dyDescent="0.25">
      <c r="A14" s="514">
        <f t="shared" si="0"/>
        <v>10</v>
      </c>
      <c r="B14" s="515">
        <v>20</v>
      </c>
      <c r="C14" s="523" t="s">
        <v>615</v>
      </c>
      <c r="D14" s="523" t="s">
        <v>33</v>
      </c>
      <c r="E14" s="523" t="s">
        <v>6</v>
      </c>
      <c r="F14" s="521">
        <v>1818.3</v>
      </c>
    </row>
    <row r="15" spans="1:8" ht="30" customHeight="1" x14ac:dyDescent="0.25">
      <c r="A15" s="512">
        <f t="shared" si="0"/>
        <v>11</v>
      </c>
      <c r="B15" s="513">
        <v>5</v>
      </c>
      <c r="C15" s="522" t="s">
        <v>588</v>
      </c>
      <c r="D15" s="522" t="s">
        <v>589</v>
      </c>
      <c r="E15" s="522" t="s">
        <v>179</v>
      </c>
      <c r="F15" s="520">
        <v>1826</v>
      </c>
    </row>
    <row r="16" spans="1:8" ht="30" customHeight="1" x14ac:dyDescent="0.25">
      <c r="A16" s="514">
        <f t="shared" si="0"/>
        <v>12</v>
      </c>
      <c r="B16" s="515">
        <v>10</v>
      </c>
      <c r="C16" s="523" t="s">
        <v>381</v>
      </c>
      <c r="D16" s="523" t="s">
        <v>740</v>
      </c>
      <c r="E16" s="523" t="s">
        <v>6</v>
      </c>
      <c r="F16" s="521">
        <v>2091.5</v>
      </c>
    </row>
    <row r="17" spans="1:7" ht="30" customHeight="1" x14ac:dyDescent="0.25">
      <c r="A17" s="518">
        <f t="shared" si="0"/>
        <v>13</v>
      </c>
      <c r="B17" s="519">
        <v>3</v>
      </c>
      <c r="C17" s="524" t="s">
        <v>653</v>
      </c>
      <c r="D17" s="524" t="s">
        <v>655</v>
      </c>
      <c r="E17" s="524" t="s">
        <v>179</v>
      </c>
      <c r="F17" s="507">
        <v>7289.3</v>
      </c>
    </row>
    <row r="19" spans="1:7" ht="15.75" x14ac:dyDescent="0.25">
      <c r="B19" s="225" t="s">
        <v>236</v>
      </c>
      <c r="C19" s="2"/>
      <c r="D19" s="318" t="str">
        <f>номЛицСК</f>
        <v>A19-168 ВК</v>
      </c>
      <c r="E19" s="318" t="str">
        <f>фиоСК</f>
        <v>А. Грушин</v>
      </c>
      <c r="F19" s="318"/>
    </row>
    <row r="20" spans="1:7" x14ac:dyDescent="0.25">
      <c r="B20" s="33"/>
      <c r="C20" s="2"/>
      <c r="D20" s="130" t="s">
        <v>234</v>
      </c>
      <c r="E20" s="130" t="s">
        <v>235</v>
      </c>
      <c r="F20" s="130" t="s">
        <v>8</v>
      </c>
      <c r="G20" s="2"/>
    </row>
    <row r="21" spans="1:7" ht="15.75" x14ac:dyDescent="0.25">
      <c r="B21" s="225" t="s">
        <v>237</v>
      </c>
      <c r="C21" s="2"/>
      <c r="D21" s="318" t="str">
        <f>номЛицГлСуд</f>
        <v>В19-1032 1К</v>
      </c>
      <c r="E21" s="318" t="str">
        <f>фиоГлСуд</f>
        <v>А. Курилин</v>
      </c>
      <c r="F21" s="318"/>
      <c r="G21" s="2"/>
    </row>
    <row r="22" spans="1:7" x14ac:dyDescent="0.25">
      <c r="B22" s="33"/>
      <c r="C22" s="2"/>
      <c r="D22" s="130" t="s">
        <v>234</v>
      </c>
      <c r="E22" s="130" t="s">
        <v>235</v>
      </c>
      <c r="F22" s="130" t="s">
        <v>8</v>
      </c>
      <c r="G22" s="2"/>
    </row>
    <row r="23" spans="1:7" ht="15.75" x14ac:dyDescent="0.25">
      <c r="B23" s="225" t="s">
        <v>238</v>
      </c>
      <c r="C23" s="2"/>
      <c r="D23" s="318" t="str">
        <f>номЛицГлСек</f>
        <v>В19-0000 1К</v>
      </c>
      <c r="E23" s="318" t="str">
        <f>фиоГлСек</f>
        <v>М. Хасанова</v>
      </c>
      <c r="F23" s="318"/>
      <c r="G23" s="2"/>
    </row>
    <row r="24" spans="1:7" x14ac:dyDescent="0.25">
      <c r="B24" s="33"/>
      <c r="C24" s="2"/>
      <c r="D24" s="130" t="s">
        <v>234</v>
      </c>
      <c r="E24" s="130" t="s">
        <v>235</v>
      </c>
      <c r="F24" s="130" t="s">
        <v>8</v>
      </c>
      <c r="G24" s="2"/>
    </row>
    <row r="25" spans="1:7" ht="21" x14ac:dyDescent="0.25">
      <c r="A25" s="16" t="str">
        <f>"Итоговая классификация "&amp;название</f>
        <v>Итоговая классификация Ралли "Skoda - 2019"</v>
      </c>
      <c r="B25" s="15"/>
      <c r="C25" s="14"/>
      <c r="D25" s="14"/>
      <c r="E25" s="14"/>
      <c r="F25" s="14"/>
      <c r="G25" s="2"/>
    </row>
    <row r="26" spans="1:7" s="2" customFormat="1" ht="24.95" customHeight="1" x14ac:dyDescent="0.25">
      <c r="A26" s="376" t="str">
        <f>датаРалли</f>
        <v>21 декабря 2019 г.</v>
      </c>
      <c r="B26" s="15"/>
      <c r="C26" s="14"/>
      <c r="D26" s="14"/>
      <c r="E26" s="14"/>
      <c r="F26" s="14"/>
    </row>
    <row r="27" spans="1:7" s="2" customFormat="1" ht="24.95" customHeight="1" x14ac:dyDescent="0.25">
      <c r="A27" s="409" t="s">
        <v>888</v>
      </c>
    </row>
    <row r="28" spans="1:7" ht="38.25" x14ac:dyDescent="0.25">
      <c r="A28" s="510" t="s">
        <v>272</v>
      </c>
      <c r="B28" s="510" t="s">
        <v>9</v>
      </c>
      <c r="C28" s="510" t="s">
        <v>367</v>
      </c>
      <c r="D28" s="510" t="s">
        <v>368</v>
      </c>
      <c r="E28" s="510" t="s">
        <v>31</v>
      </c>
      <c r="F28" s="511" t="s">
        <v>271</v>
      </c>
    </row>
    <row r="29" spans="1:7" ht="30" customHeight="1" x14ac:dyDescent="0.25">
      <c r="A29" s="512">
        <v>1</v>
      </c>
      <c r="B29" s="513">
        <v>38</v>
      </c>
      <c r="C29" s="522" t="s">
        <v>717</v>
      </c>
      <c r="D29" s="522" t="s">
        <v>723</v>
      </c>
      <c r="E29" s="522" t="s">
        <v>6</v>
      </c>
      <c r="F29" s="520">
        <v>972.1</v>
      </c>
    </row>
    <row r="30" spans="1:7" ht="30" customHeight="1" x14ac:dyDescent="0.25">
      <c r="A30" s="514">
        <f>1+A29</f>
        <v>2</v>
      </c>
      <c r="B30" s="515">
        <v>12</v>
      </c>
      <c r="C30" s="523" t="s">
        <v>594</v>
      </c>
      <c r="D30" s="523" t="s">
        <v>595</v>
      </c>
      <c r="E30" s="523" t="s">
        <v>179</v>
      </c>
      <c r="F30" s="521">
        <v>1355.2</v>
      </c>
    </row>
    <row r="31" spans="1:7" ht="30" customHeight="1" x14ac:dyDescent="0.25">
      <c r="A31" s="512">
        <f t="shared" ref="A31:A57" si="1">1+A30</f>
        <v>3</v>
      </c>
      <c r="B31" s="513">
        <v>21</v>
      </c>
      <c r="C31" s="522" t="s">
        <v>715</v>
      </c>
      <c r="D31" s="522" t="s">
        <v>721</v>
      </c>
      <c r="E31" s="522" t="s">
        <v>747</v>
      </c>
      <c r="F31" s="520">
        <v>1480.4</v>
      </c>
    </row>
    <row r="32" spans="1:7" ht="30" customHeight="1" x14ac:dyDescent="0.25">
      <c r="A32" s="514">
        <f t="shared" si="1"/>
        <v>4</v>
      </c>
      <c r="B32" s="515">
        <v>31</v>
      </c>
      <c r="C32" s="523" t="s">
        <v>631</v>
      </c>
      <c r="D32" s="523" t="s">
        <v>633</v>
      </c>
      <c r="E32" s="523" t="s">
        <v>632</v>
      </c>
      <c r="F32" s="521">
        <v>1629.6</v>
      </c>
    </row>
    <row r="33" spans="1:6" ht="30" customHeight="1" x14ac:dyDescent="0.25">
      <c r="A33" s="512">
        <f t="shared" si="1"/>
        <v>5</v>
      </c>
      <c r="B33" s="513">
        <v>13</v>
      </c>
      <c r="C33" s="522" t="s">
        <v>736</v>
      </c>
      <c r="D33" s="522" t="s">
        <v>737</v>
      </c>
      <c r="E33" s="522" t="s">
        <v>6</v>
      </c>
      <c r="F33" s="520">
        <v>1870</v>
      </c>
    </row>
    <row r="34" spans="1:6" ht="30" customHeight="1" x14ac:dyDescent="0.25">
      <c r="A34" s="514">
        <f t="shared" si="1"/>
        <v>6</v>
      </c>
      <c r="B34" s="515">
        <v>37</v>
      </c>
      <c r="C34" s="523" t="s">
        <v>755</v>
      </c>
      <c r="D34" s="523" t="s">
        <v>756</v>
      </c>
      <c r="E34" s="523" t="s">
        <v>6</v>
      </c>
      <c r="F34" s="521">
        <v>1936.5</v>
      </c>
    </row>
    <row r="35" spans="1:6" ht="30" customHeight="1" x14ac:dyDescent="0.25">
      <c r="A35" s="512">
        <f t="shared" si="1"/>
        <v>7</v>
      </c>
      <c r="B35" s="513">
        <v>26</v>
      </c>
      <c r="C35" s="522" t="s">
        <v>748</v>
      </c>
      <c r="D35" s="522" t="s">
        <v>749</v>
      </c>
      <c r="E35" s="522" t="s">
        <v>747</v>
      </c>
      <c r="F35" s="520">
        <v>2032.7</v>
      </c>
    </row>
    <row r="36" spans="1:6" ht="30" customHeight="1" x14ac:dyDescent="0.25">
      <c r="A36" s="514">
        <f t="shared" si="1"/>
        <v>8</v>
      </c>
      <c r="B36" s="515">
        <v>44</v>
      </c>
      <c r="C36" s="523" t="s">
        <v>834</v>
      </c>
      <c r="D36" s="523" t="s">
        <v>836</v>
      </c>
      <c r="E36" s="523" t="s">
        <v>6</v>
      </c>
      <c r="F36" s="521">
        <v>2107.6</v>
      </c>
    </row>
    <row r="37" spans="1:6" ht="30" customHeight="1" x14ac:dyDescent="0.25">
      <c r="A37" s="512">
        <f t="shared" si="1"/>
        <v>9</v>
      </c>
      <c r="B37" s="513">
        <v>23</v>
      </c>
      <c r="C37" s="522" t="s">
        <v>762</v>
      </c>
      <c r="D37" s="522" t="s">
        <v>764</v>
      </c>
      <c r="E37" s="522" t="s">
        <v>763</v>
      </c>
      <c r="F37" s="520">
        <v>2147.5</v>
      </c>
    </row>
    <row r="38" spans="1:6" ht="30" customHeight="1" x14ac:dyDescent="0.25">
      <c r="A38" s="514">
        <f t="shared" si="1"/>
        <v>10</v>
      </c>
      <c r="B38" s="515">
        <v>42</v>
      </c>
      <c r="C38" s="523" t="s">
        <v>827</v>
      </c>
      <c r="D38" s="523" t="s">
        <v>830</v>
      </c>
      <c r="E38" s="523" t="s">
        <v>6</v>
      </c>
      <c r="F38" s="521">
        <v>2168.8000000000002</v>
      </c>
    </row>
    <row r="39" spans="1:6" ht="30" customHeight="1" x14ac:dyDescent="0.25">
      <c r="A39" s="512">
        <f t="shared" si="1"/>
        <v>11</v>
      </c>
      <c r="B39" s="513">
        <v>18</v>
      </c>
      <c r="C39" s="522" t="s">
        <v>647</v>
      </c>
      <c r="D39" s="522" t="s">
        <v>649</v>
      </c>
      <c r="E39" s="522" t="s">
        <v>901</v>
      </c>
      <c r="F39" s="520">
        <v>2230.3000000000002</v>
      </c>
    </row>
    <row r="40" spans="1:6" ht="30" customHeight="1" x14ac:dyDescent="0.25">
      <c r="A40" s="514">
        <f t="shared" si="1"/>
        <v>12</v>
      </c>
      <c r="B40" s="515">
        <v>36</v>
      </c>
      <c r="C40" s="523" t="s">
        <v>714</v>
      </c>
      <c r="D40" s="523" t="s">
        <v>720</v>
      </c>
      <c r="E40" s="523" t="s">
        <v>6</v>
      </c>
      <c r="F40" s="521">
        <v>2334.6999999999998</v>
      </c>
    </row>
    <row r="41" spans="1:6" ht="30" customHeight="1" x14ac:dyDescent="0.25">
      <c r="A41" s="512">
        <f t="shared" si="1"/>
        <v>13</v>
      </c>
      <c r="B41" s="513">
        <v>14</v>
      </c>
      <c r="C41" s="522" t="s">
        <v>742</v>
      </c>
      <c r="D41" s="522" t="s">
        <v>366</v>
      </c>
      <c r="E41" s="522" t="s">
        <v>6</v>
      </c>
      <c r="F41" s="520">
        <v>2537.6999999999998</v>
      </c>
    </row>
    <row r="42" spans="1:6" ht="30" customHeight="1" x14ac:dyDescent="0.25">
      <c r="A42" s="514">
        <f t="shared" si="1"/>
        <v>14</v>
      </c>
      <c r="B42" s="515">
        <v>17</v>
      </c>
      <c r="C42" s="523" t="s">
        <v>14</v>
      </c>
      <c r="D42" s="523" t="s">
        <v>869</v>
      </c>
      <c r="E42" s="523" t="s">
        <v>6</v>
      </c>
      <c r="F42" s="521">
        <v>2545.6999999999998</v>
      </c>
    </row>
    <row r="43" spans="1:6" ht="30" customHeight="1" x14ac:dyDescent="0.25">
      <c r="A43" s="512">
        <f t="shared" si="1"/>
        <v>15</v>
      </c>
      <c r="B43" s="513">
        <v>41</v>
      </c>
      <c r="C43" s="522" t="s">
        <v>803</v>
      </c>
      <c r="D43" s="522" t="s">
        <v>804</v>
      </c>
      <c r="E43" s="522" t="s">
        <v>6</v>
      </c>
      <c r="F43" s="520">
        <v>2597</v>
      </c>
    </row>
    <row r="44" spans="1:6" ht="30" customHeight="1" x14ac:dyDescent="0.25">
      <c r="A44" s="514">
        <f t="shared" si="1"/>
        <v>16</v>
      </c>
      <c r="B44" s="515">
        <v>43</v>
      </c>
      <c r="C44" s="523" t="s">
        <v>829</v>
      </c>
      <c r="D44" s="523" t="s">
        <v>831</v>
      </c>
      <c r="E44" s="523" t="s">
        <v>6</v>
      </c>
      <c r="F44" s="521">
        <v>2697.8</v>
      </c>
    </row>
    <row r="45" spans="1:6" ht="30" customHeight="1" x14ac:dyDescent="0.25">
      <c r="A45" s="512">
        <f t="shared" si="1"/>
        <v>17</v>
      </c>
      <c r="B45" s="513">
        <v>11</v>
      </c>
      <c r="C45" s="522" t="s">
        <v>180</v>
      </c>
      <c r="D45" s="522" t="s">
        <v>182</v>
      </c>
      <c r="E45" s="522" t="s">
        <v>886</v>
      </c>
      <c r="F45" s="520">
        <v>2912.3</v>
      </c>
    </row>
    <row r="46" spans="1:6" ht="30" customHeight="1" x14ac:dyDescent="0.25">
      <c r="A46" s="514">
        <f t="shared" si="1"/>
        <v>18</v>
      </c>
      <c r="B46" s="515">
        <v>25</v>
      </c>
      <c r="C46" s="523" t="s">
        <v>598</v>
      </c>
      <c r="D46" s="523" t="s">
        <v>600</v>
      </c>
      <c r="E46" s="523" t="s">
        <v>599</v>
      </c>
      <c r="F46" s="521">
        <v>2928.2</v>
      </c>
    </row>
    <row r="47" spans="1:6" ht="30" customHeight="1" x14ac:dyDescent="0.25">
      <c r="A47" s="512">
        <f t="shared" si="1"/>
        <v>19</v>
      </c>
      <c r="B47" s="513">
        <v>34</v>
      </c>
      <c r="C47" s="522" t="s">
        <v>713</v>
      </c>
      <c r="D47" s="522" t="s">
        <v>719</v>
      </c>
      <c r="E47" s="522" t="s">
        <v>6</v>
      </c>
      <c r="F47" s="520">
        <v>2971.9</v>
      </c>
    </row>
    <row r="48" spans="1:6" ht="30" customHeight="1" x14ac:dyDescent="0.25">
      <c r="A48" s="514">
        <f t="shared" si="1"/>
        <v>20</v>
      </c>
      <c r="B48" s="515">
        <v>45</v>
      </c>
      <c r="C48" s="523" t="s">
        <v>843</v>
      </c>
      <c r="D48" s="523" t="s">
        <v>846</v>
      </c>
      <c r="E48" s="523" t="s">
        <v>844</v>
      </c>
      <c r="F48" s="521">
        <v>3009.1</v>
      </c>
    </row>
    <row r="49" spans="1:7" ht="30" customHeight="1" x14ac:dyDescent="0.25">
      <c r="A49" s="512">
        <f t="shared" si="1"/>
        <v>21</v>
      </c>
      <c r="B49" s="513">
        <v>30</v>
      </c>
      <c r="C49" s="522" t="s">
        <v>624</v>
      </c>
      <c r="D49" s="522" t="s">
        <v>626</v>
      </c>
      <c r="E49" s="522" t="s">
        <v>625</v>
      </c>
      <c r="F49" s="520">
        <v>3081.6</v>
      </c>
    </row>
    <row r="50" spans="1:7" ht="30" customHeight="1" x14ac:dyDescent="0.25">
      <c r="A50" s="514">
        <f t="shared" si="1"/>
        <v>22</v>
      </c>
      <c r="B50" s="515">
        <v>24</v>
      </c>
      <c r="C50" s="523" t="s">
        <v>668</v>
      </c>
      <c r="D50" s="523" t="s">
        <v>670</v>
      </c>
      <c r="E50" s="523" t="s">
        <v>6</v>
      </c>
      <c r="F50" s="521">
        <v>3258</v>
      </c>
    </row>
    <row r="51" spans="1:7" ht="30" customHeight="1" x14ac:dyDescent="0.25">
      <c r="A51" s="512">
        <f t="shared" si="1"/>
        <v>23</v>
      </c>
      <c r="B51" s="513">
        <v>40</v>
      </c>
      <c r="C51" s="522" t="s">
        <v>856</v>
      </c>
      <c r="D51" s="522" t="s">
        <v>857</v>
      </c>
      <c r="E51" s="522" t="s">
        <v>6</v>
      </c>
      <c r="F51" s="520">
        <v>3333.4</v>
      </c>
    </row>
    <row r="52" spans="1:7" ht="30" customHeight="1" x14ac:dyDescent="0.25">
      <c r="A52" s="514">
        <f t="shared" si="1"/>
        <v>24</v>
      </c>
      <c r="B52" s="515">
        <v>6</v>
      </c>
      <c r="C52" s="523" t="s">
        <v>361</v>
      </c>
      <c r="D52" s="523" t="s">
        <v>364</v>
      </c>
      <c r="E52" s="523" t="s">
        <v>363</v>
      </c>
      <c r="F52" s="521">
        <v>3388.6</v>
      </c>
    </row>
    <row r="53" spans="1:7" ht="30" customHeight="1" x14ac:dyDescent="0.25">
      <c r="A53" s="512">
        <f t="shared" si="1"/>
        <v>25</v>
      </c>
      <c r="B53" s="513">
        <v>35</v>
      </c>
      <c r="C53" s="522" t="s">
        <v>822</v>
      </c>
      <c r="D53" s="522" t="s">
        <v>823</v>
      </c>
      <c r="E53" s="522" t="s">
        <v>6</v>
      </c>
      <c r="F53" s="520">
        <v>3511.6</v>
      </c>
    </row>
    <row r="54" spans="1:7" ht="30" customHeight="1" x14ac:dyDescent="0.25">
      <c r="A54" s="514">
        <f t="shared" si="1"/>
        <v>26</v>
      </c>
      <c r="B54" s="515">
        <v>9</v>
      </c>
      <c r="C54" s="523" t="s">
        <v>716</v>
      </c>
      <c r="D54" s="523" t="s">
        <v>722</v>
      </c>
      <c r="E54" s="523" t="s">
        <v>6</v>
      </c>
      <c r="F54" s="521">
        <v>3975.7</v>
      </c>
    </row>
    <row r="55" spans="1:7" ht="30" customHeight="1" x14ac:dyDescent="0.25">
      <c r="A55" s="512">
        <f t="shared" si="1"/>
        <v>27</v>
      </c>
      <c r="B55" s="513">
        <v>39</v>
      </c>
      <c r="C55" s="522" t="s">
        <v>758</v>
      </c>
      <c r="D55" s="522" t="s">
        <v>759</v>
      </c>
      <c r="E55" s="522" t="s">
        <v>747</v>
      </c>
      <c r="F55" s="520">
        <v>4326.8</v>
      </c>
    </row>
    <row r="56" spans="1:7" ht="30" customHeight="1" x14ac:dyDescent="0.25">
      <c r="A56" s="514">
        <f t="shared" si="1"/>
        <v>28</v>
      </c>
      <c r="B56" s="515">
        <v>8</v>
      </c>
      <c r="C56" s="523" t="s">
        <v>817</v>
      </c>
      <c r="D56" s="523" t="s">
        <v>818</v>
      </c>
      <c r="E56" s="523" t="s">
        <v>6</v>
      </c>
      <c r="F56" s="521">
        <v>4718.7</v>
      </c>
    </row>
    <row r="57" spans="1:7" ht="30" customHeight="1" x14ac:dyDescent="0.25">
      <c r="A57" s="518">
        <f t="shared" si="1"/>
        <v>29</v>
      </c>
      <c r="B57" s="519">
        <v>32</v>
      </c>
      <c r="C57" s="524" t="s">
        <v>664</v>
      </c>
      <c r="D57" s="524" t="s">
        <v>665</v>
      </c>
      <c r="E57" s="524" t="s">
        <v>6</v>
      </c>
      <c r="F57" s="507">
        <v>8135.4</v>
      </c>
    </row>
    <row r="59" spans="1:7" ht="15.75" x14ac:dyDescent="0.25">
      <c r="B59" s="225" t="s">
        <v>236</v>
      </c>
      <c r="C59" s="2"/>
      <c r="D59" s="318" t="str">
        <f>номЛицСК</f>
        <v>A19-168 ВК</v>
      </c>
      <c r="E59" s="318" t="str">
        <f>фиоСК</f>
        <v>А. Грушин</v>
      </c>
      <c r="F59" s="318"/>
    </row>
    <row r="60" spans="1:7" x14ac:dyDescent="0.25">
      <c r="B60" s="33"/>
      <c r="C60" s="2"/>
      <c r="D60" s="130" t="s">
        <v>234</v>
      </c>
      <c r="E60" s="130" t="s">
        <v>235</v>
      </c>
      <c r="F60" s="130" t="s">
        <v>8</v>
      </c>
      <c r="G60" s="2"/>
    </row>
    <row r="61" spans="1:7" ht="15.75" x14ac:dyDescent="0.25">
      <c r="B61" s="225" t="s">
        <v>237</v>
      </c>
      <c r="C61" s="2"/>
      <c r="D61" s="318" t="str">
        <f>номЛицГлСуд</f>
        <v>В19-1032 1К</v>
      </c>
      <c r="E61" s="318" t="str">
        <f>фиоГлСуд</f>
        <v>А. Курилин</v>
      </c>
      <c r="F61" s="318"/>
      <c r="G61" s="2"/>
    </row>
    <row r="62" spans="1:7" x14ac:dyDescent="0.25">
      <c r="B62" s="33"/>
      <c r="C62" s="2"/>
      <c r="D62" s="130" t="s">
        <v>234</v>
      </c>
      <c r="E62" s="130" t="s">
        <v>235</v>
      </c>
      <c r="F62" s="130" t="s">
        <v>8</v>
      </c>
      <c r="G62" s="2"/>
    </row>
    <row r="63" spans="1:7" ht="15.75" x14ac:dyDescent="0.25">
      <c r="B63" s="225" t="s">
        <v>238</v>
      </c>
      <c r="C63" s="2"/>
      <c r="D63" s="318" t="str">
        <f>номЛицГлСек</f>
        <v>В19-0000 1К</v>
      </c>
      <c r="E63" s="318" t="str">
        <f>фиоГлСек</f>
        <v>М. Хасанова</v>
      </c>
      <c r="F63" s="318"/>
      <c r="G63" s="2"/>
    </row>
    <row r="64" spans="1:7" x14ac:dyDescent="0.25">
      <c r="B64" s="33"/>
      <c r="C64" s="2"/>
      <c r="D64" s="130" t="s">
        <v>234</v>
      </c>
      <c r="E64" s="130" t="s">
        <v>235</v>
      </c>
      <c r="F64" s="130" t="s">
        <v>8</v>
      </c>
      <c r="G64" s="2"/>
    </row>
    <row r="65" spans="1:8" s="2" customFormat="1" ht="24.95" customHeight="1" x14ac:dyDescent="0.25">
      <c r="A65" s="16" t="str">
        <f>"Итоговая классификация "&amp;название</f>
        <v>Итоговая классификация Ралли "Skoda - 2019"</v>
      </c>
      <c r="B65" s="15"/>
      <c r="C65" s="14"/>
      <c r="D65" s="14"/>
      <c r="E65" s="14"/>
      <c r="F65" s="14"/>
    </row>
    <row r="66" spans="1:8" s="2" customFormat="1" ht="24.95" customHeight="1" x14ac:dyDescent="0.25">
      <c r="A66" s="376" t="str">
        <f>датаРалли</f>
        <v>21 декабря 2019 г.</v>
      </c>
      <c r="B66" s="15"/>
      <c r="C66" s="14"/>
      <c r="D66" s="14"/>
      <c r="E66" s="14"/>
      <c r="F66" s="14"/>
    </row>
    <row r="67" spans="1:8" s="2" customFormat="1" ht="24.95" customHeight="1" x14ac:dyDescent="0.25">
      <c r="A67" s="409" t="s">
        <v>892</v>
      </c>
    </row>
    <row r="68" spans="1:8" ht="38.25" x14ac:dyDescent="0.25">
      <c r="A68" s="510" t="s">
        <v>272</v>
      </c>
      <c r="B68" s="510" t="s">
        <v>9</v>
      </c>
      <c r="C68" s="510" t="s">
        <v>367</v>
      </c>
      <c r="D68" s="510" t="s">
        <v>368</v>
      </c>
      <c r="E68" s="510" t="s">
        <v>31</v>
      </c>
      <c r="F68" s="511" t="s">
        <v>271</v>
      </c>
    </row>
    <row r="69" spans="1:8" ht="30" customHeight="1" x14ac:dyDescent="0.25">
      <c r="A69" s="512">
        <v>1</v>
      </c>
      <c r="B69" s="513">
        <v>47</v>
      </c>
      <c r="C69" s="522" t="s">
        <v>842</v>
      </c>
      <c r="D69" s="522" t="s">
        <v>845</v>
      </c>
      <c r="E69" s="522" t="s">
        <v>887</v>
      </c>
      <c r="F69" s="520">
        <v>308.5</v>
      </c>
    </row>
    <row r="70" spans="1:8" ht="30" customHeight="1" x14ac:dyDescent="0.25">
      <c r="A70" s="514">
        <f t="shared" ref="A70:A86" si="2">1+A69</f>
        <v>2</v>
      </c>
      <c r="B70" s="515">
        <v>29</v>
      </c>
      <c r="C70" s="523" t="s">
        <v>864</v>
      </c>
      <c r="D70" s="523" t="s">
        <v>865</v>
      </c>
      <c r="E70" s="523" t="s">
        <v>884</v>
      </c>
      <c r="F70" s="521">
        <v>621.5</v>
      </c>
      <c r="H70" s="1" t="s">
        <v>274</v>
      </c>
    </row>
    <row r="71" spans="1:8" ht="30" customHeight="1" x14ac:dyDescent="0.25">
      <c r="A71" s="512">
        <f t="shared" si="2"/>
        <v>3</v>
      </c>
      <c r="B71" s="513">
        <v>1</v>
      </c>
      <c r="C71" s="522" t="s">
        <v>674</v>
      </c>
      <c r="D71" s="522" t="s">
        <v>676</v>
      </c>
      <c r="E71" s="522" t="s">
        <v>179</v>
      </c>
      <c r="F71" s="520">
        <v>622.29999999999995</v>
      </c>
    </row>
    <row r="72" spans="1:8" ht="30" customHeight="1" x14ac:dyDescent="0.25">
      <c r="A72" s="514">
        <f t="shared" si="2"/>
        <v>4</v>
      </c>
      <c r="B72" s="515">
        <v>7</v>
      </c>
      <c r="C72" s="523" t="s">
        <v>23</v>
      </c>
      <c r="D72" s="523" t="s">
        <v>24</v>
      </c>
      <c r="E72" s="523" t="s">
        <v>6</v>
      </c>
      <c r="F72" s="521">
        <v>918.1</v>
      </c>
    </row>
    <row r="73" spans="1:8" ht="30" customHeight="1" x14ac:dyDescent="0.25">
      <c r="A73" s="512">
        <f t="shared" si="2"/>
        <v>5</v>
      </c>
      <c r="B73" s="513">
        <v>33</v>
      </c>
      <c r="C73" s="522" t="s">
        <v>635</v>
      </c>
      <c r="D73" s="522" t="s">
        <v>637</v>
      </c>
      <c r="E73" s="522" t="s">
        <v>636</v>
      </c>
      <c r="F73" s="520">
        <v>1063.4000000000001</v>
      </c>
    </row>
    <row r="74" spans="1:8" ht="30" customHeight="1" x14ac:dyDescent="0.25">
      <c r="A74" s="514">
        <f t="shared" si="2"/>
        <v>6</v>
      </c>
      <c r="B74" s="515">
        <v>4</v>
      </c>
      <c r="C74" s="523" t="s">
        <v>811</v>
      </c>
      <c r="D74" s="523" t="s">
        <v>813</v>
      </c>
      <c r="E74" s="523" t="s">
        <v>6</v>
      </c>
      <c r="F74" s="521">
        <v>1088.9000000000001</v>
      </c>
    </row>
    <row r="75" spans="1:8" ht="30" customHeight="1" x14ac:dyDescent="0.25">
      <c r="A75" s="512">
        <f t="shared" si="2"/>
        <v>7</v>
      </c>
      <c r="B75" s="513">
        <v>21</v>
      </c>
      <c r="C75" s="522" t="s">
        <v>715</v>
      </c>
      <c r="D75" s="522" t="s">
        <v>721</v>
      </c>
      <c r="E75" s="522" t="s">
        <v>747</v>
      </c>
      <c r="F75" s="520">
        <v>1480.4</v>
      </c>
    </row>
    <row r="76" spans="1:8" ht="30" customHeight="1" x14ac:dyDescent="0.25">
      <c r="A76" s="514">
        <f t="shared" si="2"/>
        <v>8</v>
      </c>
      <c r="B76" s="515">
        <v>22</v>
      </c>
      <c r="C76" s="523" t="s">
        <v>799</v>
      </c>
      <c r="D76" s="523" t="s">
        <v>800</v>
      </c>
      <c r="E76" s="523" t="s">
        <v>747</v>
      </c>
      <c r="F76" s="521">
        <v>1501.8</v>
      </c>
    </row>
    <row r="77" spans="1:8" ht="30" customHeight="1" x14ac:dyDescent="0.25">
      <c r="A77" s="512">
        <f t="shared" si="2"/>
        <v>9</v>
      </c>
      <c r="B77" s="513">
        <v>31</v>
      </c>
      <c r="C77" s="522" t="s">
        <v>631</v>
      </c>
      <c r="D77" s="522" t="s">
        <v>633</v>
      </c>
      <c r="E77" s="522" t="s">
        <v>632</v>
      </c>
      <c r="F77" s="520">
        <v>1629.6</v>
      </c>
    </row>
    <row r="78" spans="1:8" ht="30" customHeight="1" x14ac:dyDescent="0.25">
      <c r="A78" s="514">
        <f t="shared" si="2"/>
        <v>10</v>
      </c>
      <c r="B78" s="515">
        <v>37</v>
      </c>
      <c r="C78" s="523" t="s">
        <v>755</v>
      </c>
      <c r="D78" s="523" t="s">
        <v>756</v>
      </c>
      <c r="E78" s="523" t="s">
        <v>6</v>
      </c>
      <c r="F78" s="521">
        <v>1936.5</v>
      </c>
    </row>
    <row r="79" spans="1:8" ht="30" customHeight="1" x14ac:dyDescent="0.25">
      <c r="A79" s="512">
        <f t="shared" si="2"/>
        <v>11</v>
      </c>
      <c r="B79" s="513">
        <v>23</v>
      </c>
      <c r="C79" s="522" t="s">
        <v>762</v>
      </c>
      <c r="D79" s="522" t="s">
        <v>764</v>
      </c>
      <c r="E79" s="522" t="s">
        <v>763</v>
      </c>
      <c r="F79" s="520">
        <v>2147.5</v>
      </c>
    </row>
    <row r="80" spans="1:8" ht="30" customHeight="1" x14ac:dyDescent="0.25">
      <c r="A80" s="514">
        <f t="shared" si="2"/>
        <v>12</v>
      </c>
      <c r="B80" s="515">
        <v>18</v>
      </c>
      <c r="C80" s="523" t="s">
        <v>647</v>
      </c>
      <c r="D80" s="523" t="s">
        <v>649</v>
      </c>
      <c r="E80" s="523" t="s">
        <v>901</v>
      </c>
      <c r="F80" s="521">
        <v>2230.3000000000002</v>
      </c>
    </row>
    <row r="81" spans="1:7" ht="30" customHeight="1" x14ac:dyDescent="0.25">
      <c r="A81" s="512">
        <f t="shared" si="2"/>
        <v>13</v>
      </c>
      <c r="B81" s="513">
        <v>41</v>
      </c>
      <c r="C81" s="522" t="s">
        <v>803</v>
      </c>
      <c r="D81" s="522" t="s">
        <v>804</v>
      </c>
      <c r="E81" s="522" t="s">
        <v>6</v>
      </c>
      <c r="F81" s="520">
        <v>2597</v>
      </c>
    </row>
    <row r="82" spans="1:7" ht="30" customHeight="1" x14ac:dyDescent="0.25">
      <c r="A82" s="514">
        <f t="shared" si="2"/>
        <v>14</v>
      </c>
      <c r="B82" s="515">
        <v>11</v>
      </c>
      <c r="C82" s="523" t="s">
        <v>180</v>
      </c>
      <c r="D82" s="523" t="s">
        <v>182</v>
      </c>
      <c r="E82" s="523" t="s">
        <v>886</v>
      </c>
      <c r="F82" s="521">
        <v>2912.3</v>
      </c>
    </row>
    <row r="83" spans="1:7" ht="30" customHeight="1" x14ac:dyDescent="0.25">
      <c r="A83" s="512">
        <f t="shared" si="2"/>
        <v>15</v>
      </c>
      <c r="B83" s="513">
        <v>45</v>
      </c>
      <c r="C83" s="522" t="s">
        <v>843</v>
      </c>
      <c r="D83" s="522" t="s">
        <v>846</v>
      </c>
      <c r="E83" s="522" t="s">
        <v>844</v>
      </c>
      <c r="F83" s="520">
        <v>3009.1</v>
      </c>
    </row>
    <row r="84" spans="1:7" ht="30" customHeight="1" x14ac:dyDescent="0.25">
      <c r="A84" s="514">
        <f t="shared" si="2"/>
        <v>16</v>
      </c>
      <c r="B84" s="515">
        <v>30</v>
      </c>
      <c r="C84" s="523" t="s">
        <v>624</v>
      </c>
      <c r="D84" s="523" t="s">
        <v>626</v>
      </c>
      <c r="E84" s="523" t="s">
        <v>625</v>
      </c>
      <c r="F84" s="521">
        <v>3081.6</v>
      </c>
    </row>
    <row r="85" spans="1:7" ht="30" customHeight="1" x14ac:dyDescent="0.25">
      <c r="A85" s="512">
        <f t="shared" si="2"/>
        <v>17</v>
      </c>
      <c r="B85" s="513">
        <v>6</v>
      </c>
      <c r="C85" s="522" t="s">
        <v>361</v>
      </c>
      <c r="D85" s="522" t="s">
        <v>364</v>
      </c>
      <c r="E85" s="522" t="s">
        <v>363</v>
      </c>
      <c r="F85" s="520">
        <v>3388.6</v>
      </c>
    </row>
    <row r="86" spans="1:7" ht="30" customHeight="1" x14ac:dyDescent="0.25">
      <c r="A86" s="516">
        <f t="shared" si="2"/>
        <v>18</v>
      </c>
      <c r="B86" s="517">
        <v>8</v>
      </c>
      <c r="C86" s="525" t="s">
        <v>817</v>
      </c>
      <c r="D86" s="525" t="s">
        <v>818</v>
      </c>
      <c r="E86" s="525" t="s">
        <v>6</v>
      </c>
      <c r="F86" s="508">
        <v>4718.7</v>
      </c>
    </row>
    <row r="88" spans="1:7" ht="15.75" x14ac:dyDescent="0.25">
      <c r="B88" s="225" t="s">
        <v>236</v>
      </c>
      <c r="C88" s="2"/>
      <c r="D88" s="318" t="str">
        <f>номЛицСК</f>
        <v>A19-168 ВК</v>
      </c>
      <c r="E88" s="318" t="str">
        <f>фиоСК</f>
        <v>А. Грушин</v>
      </c>
      <c r="F88" s="318"/>
      <c r="G88" s="2"/>
    </row>
    <row r="89" spans="1:7" x14ac:dyDescent="0.25">
      <c r="B89" s="33"/>
      <c r="C89" s="2"/>
      <c r="D89" s="130" t="s">
        <v>234</v>
      </c>
      <c r="E89" s="130" t="s">
        <v>235</v>
      </c>
      <c r="F89" s="130" t="s">
        <v>8</v>
      </c>
      <c r="G89" s="2"/>
    </row>
    <row r="90" spans="1:7" ht="15.75" x14ac:dyDescent="0.25">
      <c r="B90" s="225" t="s">
        <v>237</v>
      </c>
      <c r="C90" s="2"/>
      <c r="D90" s="318" t="str">
        <f>номЛицГлСуд</f>
        <v>В19-1032 1К</v>
      </c>
      <c r="E90" s="318" t="str">
        <f>фиоГлСуд</f>
        <v>А. Курилин</v>
      </c>
      <c r="F90" s="318"/>
      <c r="G90" s="2"/>
    </row>
    <row r="91" spans="1:7" x14ac:dyDescent="0.25">
      <c r="B91" s="33"/>
      <c r="C91" s="2"/>
      <c r="D91" s="130" t="s">
        <v>234</v>
      </c>
      <c r="E91" s="130" t="s">
        <v>235</v>
      </c>
      <c r="F91" s="130" t="s">
        <v>8</v>
      </c>
      <c r="G91" s="2"/>
    </row>
    <row r="92" spans="1:7" ht="15.75" x14ac:dyDescent="0.25">
      <c r="B92" s="225" t="s">
        <v>238</v>
      </c>
      <c r="C92" s="2"/>
      <c r="D92" s="318" t="str">
        <f>номЛицГлСек</f>
        <v>В19-0000 1К</v>
      </c>
      <c r="E92" s="318" t="str">
        <f>фиоГлСек</f>
        <v>М. Хасанова</v>
      </c>
      <c r="F92" s="318"/>
      <c r="G92" s="2"/>
    </row>
    <row r="93" spans="1:7" x14ac:dyDescent="0.25">
      <c r="B93" s="33"/>
      <c r="C93" s="2"/>
      <c r="D93" s="130" t="s">
        <v>234</v>
      </c>
      <c r="E93" s="130" t="s">
        <v>235</v>
      </c>
      <c r="F93" s="130" t="s">
        <v>8</v>
      </c>
      <c r="G93" s="2"/>
    </row>
    <row r="94" spans="1:7" s="2" customFormat="1" ht="24.95" customHeight="1" x14ac:dyDescent="0.25">
      <c r="A94" s="16" t="str">
        <f>"Итоговая классификация "&amp;название</f>
        <v>Итоговая классификация Ралли "Skoda - 2019"</v>
      </c>
      <c r="B94" s="15"/>
      <c r="C94" s="14"/>
      <c r="D94" s="14"/>
      <c r="E94" s="14"/>
      <c r="F94" s="14"/>
    </row>
    <row r="95" spans="1:7" s="2" customFormat="1" ht="24.95" customHeight="1" x14ac:dyDescent="0.25">
      <c r="A95" s="376" t="str">
        <f>датаРалли</f>
        <v>21 декабря 2019 г.</v>
      </c>
      <c r="B95" s="15"/>
      <c r="C95" s="14"/>
      <c r="D95" s="14"/>
      <c r="E95" s="14"/>
      <c r="F95" s="14"/>
    </row>
    <row r="96" spans="1:7" s="2" customFormat="1" ht="24.95" customHeight="1" x14ac:dyDescent="0.25">
      <c r="A96" s="409" t="s">
        <v>891</v>
      </c>
    </row>
    <row r="97" spans="1:7" ht="38.25" x14ac:dyDescent="0.25">
      <c r="A97" s="510" t="s">
        <v>272</v>
      </c>
      <c r="B97" s="510" t="s">
        <v>9</v>
      </c>
      <c r="C97" s="510" t="s">
        <v>367</v>
      </c>
      <c r="D97" s="510" t="s">
        <v>368</v>
      </c>
      <c r="E97" s="510" t="s">
        <v>31</v>
      </c>
      <c r="F97" s="511" t="s">
        <v>271</v>
      </c>
    </row>
    <row r="98" spans="1:7" ht="30" customHeight="1" x14ac:dyDescent="0.25">
      <c r="A98" s="512">
        <v>1</v>
      </c>
      <c r="B98" s="513">
        <v>7</v>
      </c>
      <c r="C98" s="522" t="s">
        <v>23</v>
      </c>
      <c r="D98" s="522" t="s">
        <v>24</v>
      </c>
      <c r="E98" s="522" t="s">
        <v>6</v>
      </c>
      <c r="F98" s="520">
        <v>918.1</v>
      </c>
    </row>
    <row r="99" spans="1:7" ht="30" customHeight="1" x14ac:dyDescent="0.25">
      <c r="A99" s="514">
        <f t="shared" ref="A99:A109" si="3">1+A98</f>
        <v>2</v>
      </c>
      <c r="B99" s="515">
        <v>4</v>
      </c>
      <c r="C99" s="523" t="s">
        <v>811</v>
      </c>
      <c r="D99" s="523" t="s">
        <v>813</v>
      </c>
      <c r="E99" s="523" t="s">
        <v>6</v>
      </c>
      <c r="F99" s="521">
        <v>1088.9000000000001</v>
      </c>
    </row>
    <row r="100" spans="1:7" ht="30" customHeight="1" x14ac:dyDescent="0.25">
      <c r="A100" s="512">
        <f t="shared" si="3"/>
        <v>3</v>
      </c>
      <c r="B100" s="513">
        <v>21</v>
      </c>
      <c r="C100" s="522" t="s">
        <v>715</v>
      </c>
      <c r="D100" s="522" t="s">
        <v>721</v>
      </c>
      <c r="E100" s="522" t="s">
        <v>747</v>
      </c>
      <c r="F100" s="520">
        <v>1480.4</v>
      </c>
    </row>
    <row r="101" spans="1:7" ht="30" customHeight="1" x14ac:dyDescent="0.25">
      <c r="A101" s="514">
        <f t="shared" si="3"/>
        <v>4</v>
      </c>
      <c r="B101" s="515">
        <v>22</v>
      </c>
      <c r="C101" s="523" t="s">
        <v>799</v>
      </c>
      <c r="D101" s="523" t="s">
        <v>800</v>
      </c>
      <c r="E101" s="523" t="s">
        <v>747</v>
      </c>
      <c r="F101" s="521">
        <v>1501.8</v>
      </c>
    </row>
    <row r="102" spans="1:7" ht="30" customHeight="1" x14ac:dyDescent="0.25">
      <c r="A102" s="512">
        <f t="shared" si="3"/>
        <v>5</v>
      </c>
      <c r="B102" s="513">
        <v>31</v>
      </c>
      <c r="C102" s="522" t="s">
        <v>631</v>
      </c>
      <c r="D102" s="522" t="s">
        <v>633</v>
      </c>
      <c r="E102" s="522" t="s">
        <v>632</v>
      </c>
      <c r="F102" s="520">
        <v>1629.6</v>
      </c>
    </row>
    <row r="103" spans="1:7" ht="30" customHeight="1" x14ac:dyDescent="0.25">
      <c r="A103" s="514">
        <f t="shared" si="3"/>
        <v>6</v>
      </c>
      <c r="B103" s="515">
        <v>37</v>
      </c>
      <c r="C103" s="523" t="s">
        <v>755</v>
      </c>
      <c r="D103" s="523" t="s">
        <v>756</v>
      </c>
      <c r="E103" s="523" t="s">
        <v>6</v>
      </c>
      <c r="F103" s="521">
        <v>1936.5</v>
      </c>
    </row>
    <row r="104" spans="1:7" ht="30" customHeight="1" x14ac:dyDescent="0.25">
      <c r="A104" s="512">
        <f t="shared" si="3"/>
        <v>7</v>
      </c>
      <c r="B104" s="513">
        <v>18</v>
      </c>
      <c r="C104" s="522" t="s">
        <v>647</v>
      </c>
      <c r="D104" s="522" t="s">
        <v>649</v>
      </c>
      <c r="E104" s="522" t="s">
        <v>901</v>
      </c>
      <c r="F104" s="520">
        <v>2230.3000000000002</v>
      </c>
    </row>
    <row r="105" spans="1:7" ht="30" customHeight="1" x14ac:dyDescent="0.25">
      <c r="A105" s="514">
        <v>8</v>
      </c>
      <c r="B105" s="515">
        <v>41</v>
      </c>
      <c r="C105" s="523" t="s">
        <v>803</v>
      </c>
      <c r="D105" s="523" t="s">
        <v>804</v>
      </c>
      <c r="E105" s="523" t="s">
        <v>6</v>
      </c>
      <c r="F105" s="521">
        <v>2597</v>
      </c>
    </row>
    <row r="106" spans="1:7" ht="30" customHeight="1" x14ac:dyDescent="0.25">
      <c r="A106" s="512">
        <v>9</v>
      </c>
      <c r="B106" s="513">
        <v>11</v>
      </c>
      <c r="C106" s="522" t="s">
        <v>180</v>
      </c>
      <c r="D106" s="522" t="s">
        <v>182</v>
      </c>
      <c r="E106" s="522" t="s">
        <v>886</v>
      </c>
      <c r="F106" s="520">
        <v>2912.3</v>
      </c>
    </row>
    <row r="107" spans="1:7" ht="30" customHeight="1" x14ac:dyDescent="0.25">
      <c r="A107" s="514">
        <f t="shared" si="3"/>
        <v>10</v>
      </c>
      <c r="B107" s="515">
        <v>45</v>
      </c>
      <c r="C107" s="523" t="s">
        <v>843</v>
      </c>
      <c r="D107" s="523" t="s">
        <v>846</v>
      </c>
      <c r="E107" s="523" t="s">
        <v>844</v>
      </c>
      <c r="F107" s="521">
        <v>3009.1</v>
      </c>
    </row>
    <row r="108" spans="1:7" ht="30" customHeight="1" x14ac:dyDescent="0.25">
      <c r="A108" s="518">
        <f t="shared" si="3"/>
        <v>11</v>
      </c>
      <c r="B108" s="519">
        <v>30</v>
      </c>
      <c r="C108" s="524" t="s">
        <v>624</v>
      </c>
      <c r="D108" s="524" t="s">
        <v>626</v>
      </c>
      <c r="E108" s="524" t="s">
        <v>625</v>
      </c>
      <c r="F108" s="507">
        <v>3081.6</v>
      </c>
    </row>
    <row r="109" spans="1:7" ht="30" customHeight="1" x14ac:dyDescent="0.25">
      <c r="A109" s="516">
        <f t="shared" si="3"/>
        <v>12</v>
      </c>
      <c r="B109" s="517">
        <v>8</v>
      </c>
      <c r="C109" s="525" t="s">
        <v>817</v>
      </c>
      <c r="D109" s="525" t="s">
        <v>818</v>
      </c>
      <c r="E109" s="525" t="s">
        <v>6</v>
      </c>
      <c r="F109" s="508">
        <v>4718.7</v>
      </c>
    </row>
    <row r="111" spans="1:7" ht="15.75" x14ac:dyDescent="0.25">
      <c r="B111" s="225" t="s">
        <v>236</v>
      </c>
      <c r="C111" s="2"/>
      <c r="D111" s="318" t="str">
        <f>номЛицСК</f>
        <v>A19-168 ВК</v>
      </c>
      <c r="E111" s="318" t="str">
        <f>фиоСК</f>
        <v>А. Грушин</v>
      </c>
      <c r="F111" s="318"/>
      <c r="G111" s="2"/>
    </row>
    <row r="112" spans="1:7" x14ac:dyDescent="0.25">
      <c r="B112" s="33"/>
      <c r="C112" s="2"/>
      <c r="D112" s="130" t="s">
        <v>234</v>
      </c>
      <c r="E112" s="130" t="s">
        <v>235</v>
      </c>
      <c r="F112" s="130" t="s">
        <v>8</v>
      </c>
      <c r="G112" s="2"/>
    </row>
    <row r="113" spans="1:7" ht="15.75" x14ac:dyDescent="0.25">
      <c r="B113" s="225" t="s">
        <v>237</v>
      </c>
      <c r="C113" s="2"/>
      <c r="D113" s="318" t="str">
        <f>номЛицГлСуд</f>
        <v>В19-1032 1К</v>
      </c>
      <c r="E113" s="318" t="str">
        <f>фиоГлСуд</f>
        <v>А. Курилин</v>
      </c>
      <c r="F113" s="318"/>
      <c r="G113" s="2"/>
    </row>
    <row r="114" spans="1:7" x14ac:dyDescent="0.25">
      <c r="B114" s="33"/>
      <c r="C114" s="2"/>
      <c r="D114" s="130" t="s">
        <v>234</v>
      </c>
      <c r="E114" s="130" t="s">
        <v>235</v>
      </c>
      <c r="F114" s="130" t="s">
        <v>8</v>
      </c>
      <c r="G114" s="2"/>
    </row>
    <row r="115" spans="1:7" ht="15.75" x14ac:dyDescent="0.25">
      <c r="B115" s="225" t="s">
        <v>238</v>
      </c>
      <c r="C115" s="2"/>
      <c r="D115" s="318" t="str">
        <f>номЛицГлСек</f>
        <v>В19-0000 1К</v>
      </c>
      <c r="E115" s="318" t="str">
        <f>фиоГлСек</f>
        <v>М. Хасанова</v>
      </c>
      <c r="F115" s="318"/>
      <c r="G115" s="2"/>
    </row>
    <row r="116" spans="1:7" x14ac:dyDescent="0.25">
      <c r="B116" s="33"/>
      <c r="C116" s="2"/>
      <c r="D116" s="130" t="s">
        <v>234</v>
      </c>
      <c r="E116" s="130" t="s">
        <v>235</v>
      </c>
      <c r="F116" s="130" t="s">
        <v>8</v>
      </c>
      <c r="G116" s="2"/>
    </row>
    <row r="117" spans="1:7" s="2" customFormat="1" ht="24.95" customHeight="1" x14ac:dyDescent="0.25">
      <c r="A117" s="16" t="str">
        <f>"Итоговая классификация "&amp;название</f>
        <v>Итоговая классификация Ралли "Skoda - 2019"</v>
      </c>
      <c r="B117" s="15"/>
      <c r="C117" s="14"/>
      <c r="D117" s="14"/>
      <c r="E117" s="14"/>
      <c r="F117" s="14"/>
    </row>
    <row r="118" spans="1:7" s="2" customFormat="1" ht="24.95" customHeight="1" x14ac:dyDescent="0.25">
      <c r="A118" s="376" t="str">
        <f>датаРалли</f>
        <v>21 декабря 2019 г.</v>
      </c>
      <c r="B118" s="15"/>
      <c r="C118" s="14"/>
      <c r="D118" s="14"/>
      <c r="E118" s="14"/>
      <c r="F118" s="14"/>
    </row>
    <row r="119" spans="1:7" s="2" customFormat="1" ht="24.95" customHeight="1" x14ac:dyDescent="0.25">
      <c r="A119" s="409" t="s">
        <v>890</v>
      </c>
    </row>
    <row r="120" spans="1:7" ht="38.25" x14ac:dyDescent="0.25">
      <c r="A120" s="510" t="s">
        <v>272</v>
      </c>
      <c r="B120" s="510" t="s">
        <v>9</v>
      </c>
      <c r="C120" s="510" t="s">
        <v>367</v>
      </c>
      <c r="D120" s="510" t="s">
        <v>368</v>
      </c>
      <c r="E120" s="510" t="s">
        <v>31</v>
      </c>
      <c r="F120" s="511" t="s">
        <v>271</v>
      </c>
    </row>
    <row r="121" spans="1:7" ht="27.95" customHeight="1" x14ac:dyDescent="0.25">
      <c r="A121" s="512">
        <v>1</v>
      </c>
      <c r="B121" s="513">
        <v>38</v>
      </c>
      <c r="C121" s="522" t="s">
        <v>717</v>
      </c>
      <c r="D121" s="522" t="s">
        <v>723</v>
      </c>
      <c r="E121" s="522" t="s">
        <v>6</v>
      </c>
      <c r="F121" s="520">
        <v>972.1</v>
      </c>
    </row>
    <row r="122" spans="1:7" ht="27.95" customHeight="1" x14ac:dyDescent="0.25">
      <c r="A122" s="514">
        <f t="shared" ref="A122:A140" si="4">1+A121</f>
        <v>2</v>
      </c>
      <c r="B122" s="515">
        <v>16</v>
      </c>
      <c r="C122" s="523" t="s">
        <v>383</v>
      </c>
      <c r="D122" s="523" t="s">
        <v>384</v>
      </c>
      <c r="E122" s="523" t="s">
        <v>6</v>
      </c>
      <c r="F122" s="521">
        <v>1587.3</v>
      </c>
    </row>
    <row r="123" spans="1:7" ht="27.95" customHeight="1" x14ac:dyDescent="0.25">
      <c r="A123" s="512">
        <f t="shared" si="4"/>
        <v>3</v>
      </c>
      <c r="B123" s="513">
        <v>20</v>
      </c>
      <c r="C123" s="522" t="s">
        <v>615</v>
      </c>
      <c r="D123" s="522" t="s">
        <v>33</v>
      </c>
      <c r="E123" s="522" t="s">
        <v>6</v>
      </c>
      <c r="F123" s="520">
        <v>1818.3</v>
      </c>
    </row>
    <row r="124" spans="1:7" ht="27.95" customHeight="1" x14ac:dyDescent="0.25">
      <c r="A124" s="514">
        <f t="shared" si="4"/>
        <v>4</v>
      </c>
      <c r="B124" s="515">
        <v>13</v>
      </c>
      <c r="C124" s="523" t="s">
        <v>736</v>
      </c>
      <c r="D124" s="523" t="s">
        <v>737</v>
      </c>
      <c r="E124" s="523" t="s">
        <v>6</v>
      </c>
      <c r="F124" s="521">
        <v>1870</v>
      </c>
    </row>
    <row r="125" spans="1:7" ht="27.95" customHeight="1" x14ac:dyDescent="0.25">
      <c r="A125" s="512">
        <f t="shared" si="4"/>
        <v>5</v>
      </c>
      <c r="B125" s="513">
        <v>26</v>
      </c>
      <c r="C125" s="522" t="s">
        <v>748</v>
      </c>
      <c r="D125" s="522" t="s">
        <v>749</v>
      </c>
      <c r="E125" s="522" t="s">
        <v>747</v>
      </c>
      <c r="F125" s="520">
        <v>2032.7</v>
      </c>
    </row>
    <row r="126" spans="1:7" ht="27.95" customHeight="1" x14ac:dyDescent="0.25">
      <c r="A126" s="514">
        <f t="shared" si="4"/>
        <v>6</v>
      </c>
      <c r="B126" s="515">
        <v>10</v>
      </c>
      <c r="C126" s="523" t="s">
        <v>381</v>
      </c>
      <c r="D126" s="523" t="s">
        <v>740</v>
      </c>
      <c r="E126" s="523" t="s">
        <v>6</v>
      </c>
      <c r="F126" s="521">
        <v>2091.5</v>
      </c>
    </row>
    <row r="127" spans="1:7" ht="27.95" customHeight="1" x14ac:dyDescent="0.25">
      <c r="A127" s="512">
        <f t="shared" si="4"/>
        <v>7</v>
      </c>
      <c r="B127" s="513">
        <v>44</v>
      </c>
      <c r="C127" s="522" t="s">
        <v>834</v>
      </c>
      <c r="D127" s="522" t="s">
        <v>836</v>
      </c>
      <c r="E127" s="522" t="s">
        <v>6</v>
      </c>
      <c r="F127" s="520">
        <v>2107.6</v>
      </c>
    </row>
    <row r="128" spans="1:7" ht="27.95" customHeight="1" x14ac:dyDescent="0.25">
      <c r="A128" s="514">
        <f t="shared" si="4"/>
        <v>8</v>
      </c>
      <c r="B128" s="515">
        <v>42</v>
      </c>
      <c r="C128" s="523" t="s">
        <v>827</v>
      </c>
      <c r="D128" s="523" t="s">
        <v>830</v>
      </c>
      <c r="E128" s="523" t="s">
        <v>6</v>
      </c>
      <c r="F128" s="521">
        <v>2168.8000000000002</v>
      </c>
    </row>
    <row r="129" spans="1:7" ht="27.95" customHeight="1" x14ac:dyDescent="0.25">
      <c r="A129" s="512">
        <f t="shared" si="4"/>
        <v>9</v>
      </c>
      <c r="B129" s="513">
        <v>36</v>
      </c>
      <c r="C129" s="522" t="s">
        <v>714</v>
      </c>
      <c r="D129" s="522" t="s">
        <v>720</v>
      </c>
      <c r="E129" s="522" t="s">
        <v>6</v>
      </c>
      <c r="F129" s="520">
        <v>2334.6999999999998</v>
      </c>
    </row>
    <row r="130" spans="1:7" ht="27.95" customHeight="1" x14ac:dyDescent="0.25">
      <c r="A130" s="514">
        <f t="shared" si="4"/>
        <v>10</v>
      </c>
      <c r="B130" s="515">
        <v>14</v>
      </c>
      <c r="C130" s="523" t="s">
        <v>742</v>
      </c>
      <c r="D130" s="523" t="s">
        <v>366</v>
      </c>
      <c r="E130" s="523" t="s">
        <v>6</v>
      </c>
      <c r="F130" s="521">
        <v>2537.6999999999998</v>
      </c>
    </row>
    <row r="131" spans="1:7" ht="27.95" customHeight="1" x14ac:dyDescent="0.25">
      <c r="A131" s="512">
        <f t="shared" si="4"/>
        <v>11</v>
      </c>
      <c r="B131" s="513">
        <v>17</v>
      </c>
      <c r="C131" s="522" t="s">
        <v>14</v>
      </c>
      <c r="D131" s="522" t="s">
        <v>869</v>
      </c>
      <c r="E131" s="522" t="s">
        <v>6</v>
      </c>
      <c r="F131" s="520">
        <v>2545.6999999999998</v>
      </c>
    </row>
    <row r="132" spans="1:7" ht="27.95" customHeight="1" x14ac:dyDescent="0.25">
      <c r="A132" s="514">
        <f t="shared" si="4"/>
        <v>12</v>
      </c>
      <c r="B132" s="515">
        <v>43</v>
      </c>
      <c r="C132" s="523" t="s">
        <v>829</v>
      </c>
      <c r="D132" s="523" t="s">
        <v>831</v>
      </c>
      <c r="E132" s="523" t="s">
        <v>6</v>
      </c>
      <c r="F132" s="521">
        <v>2697.8</v>
      </c>
    </row>
    <row r="133" spans="1:7" ht="27.95" customHeight="1" x14ac:dyDescent="0.25">
      <c r="A133" s="512">
        <f t="shared" si="4"/>
        <v>13</v>
      </c>
      <c r="B133" s="513">
        <v>25</v>
      </c>
      <c r="C133" s="522" t="s">
        <v>598</v>
      </c>
      <c r="D133" s="522" t="s">
        <v>600</v>
      </c>
      <c r="E133" s="522" t="s">
        <v>599</v>
      </c>
      <c r="F133" s="520">
        <v>2928.2</v>
      </c>
    </row>
    <row r="134" spans="1:7" ht="27.95" customHeight="1" x14ac:dyDescent="0.25">
      <c r="A134" s="514">
        <f t="shared" si="4"/>
        <v>14</v>
      </c>
      <c r="B134" s="515">
        <v>34</v>
      </c>
      <c r="C134" s="523" t="s">
        <v>713</v>
      </c>
      <c r="D134" s="523" t="s">
        <v>719</v>
      </c>
      <c r="E134" s="523" t="s">
        <v>6</v>
      </c>
      <c r="F134" s="521">
        <v>2971.9</v>
      </c>
    </row>
    <row r="135" spans="1:7" ht="27.95" customHeight="1" x14ac:dyDescent="0.25">
      <c r="A135" s="512">
        <f t="shared" si="4"/>
        <v>15</v>
      </c>
      <c r="B135" s="513">
        <v>24</v>
      </c>
      <c r="C135" s="522" t="s">
        <v>668</v>
      </c>
      <c r="D135" s="522" t="s">
        <v>670</v>
      </c>
      <c r="E135" s="522" t="s">
        <v>6</v>
      </c>
      <c r="F135" s="520">
        <v>3258</v>
      </c>
    </row>
    <row r="136" spans="1:7" ht="27.95" customHeight="1" x14ac:dyDescent="0.25">
      <c r="A136" s="514">
        <f t="shared" si="4"/>
        <v>16</v>
      </c>
      <c r="B136" s="515">
        <v>40</v>
      </c>
      <c r="C136" s="523" t="s">
        <v>856</v>
      </c>
      <c r="D136" s="523" t="s">
        <v>857</v>
      </c>
      <c r="E136" s="523" t="s">
        <v>6</v>
      </c>
      <c r="F136" s="521">
        <v>3333.4</v>
      </c>
    </row>
    <row r="137" spans="1:7" ht="27.95" customHeight="1" x14ac:dyDescent="0.25">
      <c r="A137" s="512">
        <f t="shared" si="4"/>
        <v>17</v>
      </c>
      <c r="B137" s="513">
        <v>35</v>
      </c>
      <c r="C137" s="522" t="s">
        <v>822</v>
      </c>
      <c r="D137" s="522" t="s">
        <v>823</v>
      </c>
      <c r="E137" s="522" t="s">
        <v>6</v>
      </c>
      <c r="F137" s="520">
        <v>3511.6</v>
      </c>
    </row>
    <row r="138" spans="1:7" ht="27.95" customHeight="1" x14ac:dyDescent="0.25">
      <c r="A138" s="514">
        <f t="shared" si="4"/>
        <v>18</v>
      </c>
      <c r="B138" s="515">
        <v>9</v>
      </c>
      <c r="C138" s="523" t="s">
        <v>716</v>
      </c>
      <c r="D138" s="523" t="s">
        <v>722</v>
      </c>
      <c r="E138" s="523" t="s">
        <v>6</v>
      </c>
      <c r="F138" s="521">
        <v>3975.7</v>
      </c>
    </row>
    <row r="139" spans="1:7" ht="27.95" customHeight="1" x14ac:dyDescent="0.25">
      <c r="A139" s="512">
        <f t="shared" si="4"/>
        <v>19</v>
      </c>
      <c r="B139" s="513">
        <v>39</v>
      </c>
      <c r="C139" s="522" t="s">
        <v>758</v>
      </c>
      <c r="D139" s="522" t="s">
        <v>759</v>
      </c>
      <c r="E139" s="522" t="s">
        <v>747</v>
      </c>
      <c r="F139" s="520">
        <v>4326.8</v>
      </c>
    </row>
    <row r="140" spans="1:7" ht="27.95" customHeight="1" x14ac:dyDescent="0.25">
      <c r="A140" s="516">
        <f t="shared" si="4"/>
        <v>20</v>
      </c>
      <c r="B140" s="517">
        <v>32</v>
      </c>
      <c r="C140" s="525" t="s">
        <v>664</v>
      </c>
      <c r="D140" s="525" t="s">
        <v>665</v>
      </c>
      <c r="E140" s="525" t="s">
        <v>6</v>
      </c>
      <c r="F140" s="508">
        <v>8135.4</v>
      </c>
    </row>
    <row r="142" spans="1:7" ht="15.75" x14ac:dyDescent="0.25">
      <c r="B142" s="225" t="s">
        <v>236</v>
      </c>
      <c r="C142" s="2"/>
      <c r="D142" s="318" t="str">
        <f>номЛицСК</f>
        <v>A19-168 ВК</v>
      </c>
      <c r="E142" s="318" t="str">
        <f>фиоСК</f>
        <v>А. Грушин</v>
      </c>
      <c r="F142" s="318"/>
      <c r="G142" s="2"/>
    </row>
    <row r="143" spans="1:7" x14ac:dyDescent="0.25">
      <c r="B143" s="33"/>
      <c r="C143" s="2"/>
      <c r="D143" s="130" t="s">
        <v>234</v>
      </c>
      <c r="E143" s="130" t="s">
        <v>235</v>
      </c>
      <c r="F143" s="130" t="s">
        <v>8</v>
      </c>
      <c r="G143" s="2"/>
    </row>
    <row r="144" spans="1:7" ht="15.75" x14ac:dyDescent="0.25">
      <c r="B144" s="225" t="s">
        <v>237</v>
      </c>
      <c r="C144" s="2"/>
      <c r="D144" s="318" t="str">
        <f>номЛицГлСуд</f>
        <v>В19-1032 1К</v>
      </c>
      <c r="E144" s="318" t="str">
        <f>фиоГлСуд</f>
        <v>А. Курилин</v>
      </c>
      <c r="F144" s="318"/>
      <c r="G144" s="2"/>
    </row>
    <row r="145" spans="2:7" x14ac:dyDescent="0.25">
      <c r="B145" s="33"/>
      <c r="C145" s="2"/>
      <c r="D145" s="130" t="s">
        <v>234</v>
      </c>
      <c r="E145" s="130" t="s">
        <v>235</v>
      </c>
      <c r="F145" s="130" t="s">
        <v>8</v>
      </c>
      <c r="G145" s="2"/>
    </row>
    <row r="146" spans="2:7" ht="15.75" x14ac:dyDescent="0.25">
      <c r="B146" s="225" t="s">
        <v>238</v>
      </c>
      <c r="C146" s="2"/>
      <c r="D146" s="318" t="str">
        <f>номЛицГлСек</f>
        <v>В19-0000 1К</v>
      </c>
      <c r="E146" s="318" t="str">
        <f>фиоГлСек</f>
        <v>М. Хасанова</v>
      </c>
      <c r="F146" s="318"/>
      <c r="G146" s="2"/>
    </row>
    <row r="147" spans="2:7" x14ac:dyDescent="0.25">
      <c r="B147" s="33"/>
      <c r="C147" s="2"/>
      <c r="D147" s="130" t="s">
        <v>234</v>
      </c>
      <c r="E147" s="130" t="s">
        <v>235</v>
      </c>
      <c r="F147" s="130" t="s">
        <v>8</v>
      </c>
      <c r="G147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rowBreaks count="4" manualBreakCount="4">
    <brk id="24" max="5" man="1"/>
    <brk id="64" max="5" man="1"/>
    <brk id="93" max="5" man="1"/>
    <brk id="116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92D050"/>
  </sheetPr>
  <dimension ref="A1:K22"/>
  <sheetViews>
    <sheetView view="pageBreakPreview" topLeftCell="A19" zoomScale="80" zoomScaleNormal="70" zoomScaleSheetLayoutView="80" zoomScalePageLayoutView="40" workbookViewId="0">
      <selection activeCell="J28" sqref="J28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1" ht="17.45" customHeight="1" x14ac:dyDescent="0.25">
      <c r="A1" s="611"/>
      <c r="B1" s="611"/>
      <c r="C1" s="611"/>
      <c r="D1" s="612" t="str">
        <f>_КВ2</f>
        <v>КВ-2 Духовщина Вход</v>
      </c>
      <c r="E1" s="613"/>
      <c r="F1" s="605" t="s">
        <v>464</v>
      </c>
      <c r="G1" s="607">
        <f>_КВ3Расстояние</f>
        <v>21.84</v>
      </c>
      <c r="H1" s="605" t="s">
        <v>205</v>
      </c>
      <c r="J1" s="162" t="s">
        <v>206</v>
      </c>
    </row>
    <row r="2" spans="1:11" ht="17.45" customHeight="1" x14ac:dyDescent="0.25">
      <c r="A2" s="611"/>
      <c r="B2" s="611"/>
      <c r="C2" s="611"/>
      <c r="D2" s="614" t="str">
        <f>_КВ3</f>
        <v>КВ-3 Духовщина Выход</v>
      </c>
      <c r="E2" s="615"/>
      <c r="F2" s="606"/>
      <c r="G2" s="608"/>
      <c r="H2" s="606"/>
    </row>
    <row r="3" spans="1:11" ht="17.45" customHeight="1" x14ac:dyDescent="0.25">
      <c r="A3" s="611"/>
      <c r="B3" s="611"/>
      <c r="C3" s="611"/>
      <c r="D3" s="605" t="s">
        <v>465</v>
      </c>
      <c r="E3" s="616">
        <f>_КВ3Время</f>
        <v>2.43055559694767E-2</v>
      </c>
      <c r="F3" s="605" t="s">
        <v>466</v>
      </c>
      <c r="G3" s="607">
        <f>_КВ3Скорость</f>
        <v>37.439999362400606</v>
      </c>
      <c r="H3" s="609"/>
    </row>
    <row r="4" spans="1:11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11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1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1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1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1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11" ht="129.94999999999999" customHeight="1" x14ac:dyDescent="0.25">
      <c r="A10" s="327">
        <f>'Сектор 2'!A41+1</f>
        <v>28</v>
      </c>
      <c r="B10" s="412">
        <v>0</v>
      </c>
      <c r="C10" s="412">
        <v>0</v>
      </c>
      <c r="D10" s="422"/>
      <c r="E10" s="417"/>
      <c r="F10" s="623" t="str">
        <f>"
"&amp;_КВ2</f>
        <v xml:space="preserve">
КВ-2 Духовщина Вход</v>
      </c>
      <c r="G10" s="624"/>
      <c r="H10" s="625"/>
      <c r="J10" s="326" t="s">
        <v>279</v>
      </c>
      <c r="K10" s="92" t="s">
        <v>543</v>
      </c>
    </row>
    <row r="11" spans="1:11" ht="129.94999999999999" customHeight="1" x14ac:dyDescent="0.25">
      <c r="A11" s="327">
        <f>'Сектор 3'!A10+1</f>
        <v>29</v>
      </c>
      <c r="B11" s="412">
        <v>2.23</v>
      </c>
      <c r="C11" s="412">
        <f>B11-B10</f>
        <v>2.23</v>
      </c>
      <c r="D11" s="422"/>
      <c r="E11" s="417"/>
      <c r="F11" s="577"/>
      <c r="G11" s="578"/>
      <c r="H11" s="579"/>
      <c r="J11" s="326"/>
    </row>
    <row r="12" spans="1:11" ht="129.94999999999999" customHeight="1" x14ac:dyDescent="0.25">
      <c r="A12" s="327">
        <f>'Сектор 3'!A11+1</f>
        <v>30</v>
      </c>
      <c r="B12" s="412">
        <v>2.6</v>
      </c>
      <c r="C12" s="412">
        <f>B12-B11</f>
        <v>0.37000000000000011</v>
      </c>
      <c r="D12" s="422"/>
      <c r="E12" s="417"/>
      <c r="F12" s="577" t="s">
        <v>693</v>
      </c>
      <c r="G12" s="578"/>
      <c r="H12" s="579"/>
      <c r="J12" s="326"/>
    </row>
    <row r="13" spans="1:11" ht="129.94999999999999" customHeight="1" x14ac:dyDescent="0.25">
      <c r="A13" s="426"/>
      <c r="B13" s="413"/>
      <c r="C13" s="413"/>
      <c r="D13" s="426"/>
      <c r="E13" s="443"/>
      <c r="F13" s="601"/>
      <c r="G13" s="601"/>
      <c r="H13" s="601"/>
      <c r="J13" s="326" t="s">
        <v>201</v>
      </c>
    </row>
    <row r="14" spans="1:11" ht="129.94999999999999" customHeight="1" x14ac:dyDescent="0.25">
      <c r="A14" s="424"/>
      <c r="B14" s="414"/>
      <c r="C14" s="414"/>
      <c r="D14" s="424"/>
      <c r="E14" s="441"/>
      <c r="F14" s="618"/>
      <c r="G14" s="618"/>
      <c r="H14" s="618"/>
      <c r="J14" s="326" t="s">
        <v>201</v>
      </c>
    </row>
    <row r="15" spans="1:11" ht="129.94999999999999" customHeight="1" x14ac:dyDescent="0.25">
      <c r="A15" s="329"/>
      <c r="B15" s="413"/>
      <c r="C15" s="413"/>
      <c r="D15" s="426"/>
      <c r="E15" s="443"/>
      <c r="F15" s="601"/>
      <c r="G15" s="601"/>
      <c r="H15" s="622"/>
      <c r="J15" s="326" t="s">
        <v>201</v>
      </c>
    </row>
    <row r="16" spans="1:11" ht="129.94999999999999" customHeight="1" x14ac:dyDescent="0.25">
      <c r="A16" s="330"/>
      <c r="B16" s="414"/>
      <c r="C16" s="414"/>
      <c r="D16" s="424"/>
      <c r="E16" s="441"/>
      <c r="F16" s="618"/>
      <c r="G16" s="618"/>
      <c r="H16" s="619"/>
      <c r="J16" s="326" t="s">
        <v>201</v>
      </c>
    </row>
    <row r="17" spans="1:10" ht="129.94999999999999" customHeight="1" x14ac:dyDescent="0.25">
      <c r="A17" s="330"/>
      <c r="B17" s="414"/>
      <c r="C17" s="414"/>
      <c r="D17" s="424"/>
      <c r="E17" s="441"/>
      <c r="F17" s="618"/>
      <c r="G17" s="618"/>
      <c r="H17" s="619"/>
      <c r="J17" s="326" t="s">
        <v>201</v>
      </c>
    </row>
    <row r="18" spans="1:10" ht="129.94999999999999" customHeight="1" x14ac:dyDescent="0.25">
      <c r="A18" s="330"/>
      <c r="B18" s="414"/>
      <c r="C18" s="414"/>
      <c r="D18" s="424"/>
      <c r="E18" s="441"/>
      <c r="F18" s="618"/>
      <c r="G18" s="618"/>
      <c r="H18" s="619"/>
      <c r="J18" s="326" t="s">
        <v>201</v>
      </c>
    </row>
    <row r="19" spans="1:10" ht="129.94999999999999" customHeight="1" x14ac:dyDescent="0.25">
      <c r="A19" s="331"/>
      <c r="B19" s="415"/>
      <c r="C19" s="415"/>
      <c r="D19" s="425"/>
      <c r="E19" s="442"/>
      <c r="F19" s="620"/>
      <c r="G19" s="620"/>
      <c r="H19" s="621"/>
      <c r="J19" s="326" t="s">
        <v>201</v>
      </c>
    </row>
    <row r="20" spans="1:10" ht="129.94999999999999" customHeight="1" x14ac:dyDescent="0.25">
      <c r="A20" s="327">
        <f>'Сектор 3'!A12+1</f>
        <v>31</v>
      </c>
      <c r="B20" s="490">
        <v>19.3</v>
      </c>
      <c r="C20" s="490">
        <f>B20-B12</f>
        <v>16.7</v>
      </c>
      <c r="D20" s="422"/>
      <c r="E20" s="417"/>
      <c r="F20" s="577" t="s">
        <v>692</v>
      </c>
      <c r="G20" s="578"/>
      <c r="H20" s="579"/>
      <c r="J20" s="326" t="s">
        <v>218</v>
      </c>
    </row>
    <row r="21" spans="1:10" ht="129.94999999999999" customHeight="1" x14ac:dyDescent="0.25">
      <c r="A21" s="327">
        <f>'Сектор 3'!A20+1</f>
        <v>32</v>
      </c>
      <c r="B21" s="490">
        <v>19.579999999999998</v>
      </c>
      <c r="C21" s="490">
        <f>B21-B20</f>
        <v>0.27999999999999758</v>
      </c>
      <c r="D21" s="422"/>
      <c r="E21" s="417"/>
      <c r="F21" s="577"/>
      <c r="G21" s="578"/>
      <c r="H21" s="579"/>
      <c r="J21" s="326" t="s">
        <v>218</v>
      </c>
    </row>
    <row r="22" spans="1:10" ht="129.94999999999999" customHeight="1" x14ac:dyDescent="0.25">
      <c r="A22" s="327">
        <f>'Сектор 3'!A21+1</f>
        <v>33</v>
      </c>
      <c r="B22" s="412">
        <v>21.84</v>
      </c>
      <c r="C22" s="490">
        <f>B22-B21</f>
        <v>2.2600000000000016</v>
      </c>
      <c r="D22" s="422"/>
      <c r="E22" s="417"/>
      <c r="F22" s="632" t="str">
        <f>"
"&amp;_КВ3&amp;"
Напротив "&amp;getMpWoName(_КВ2)</f>
        <v xml:space="preserve">
КВ-3 Духовщина Выход
Напротив КВ-2</v>
      </c>
      <c r="G22" s="633"/>
      <c r="H22" s="634"/>
      <c r="J22" s="416" t="s">
        <v>690</v>
      </c>
    </row>
  </sheetData>
  <mergeCells count="26">
    <mergeCell ref="F13:H13"/>
    <mergeCell ref="F14:H14"/>
    <mergeCell ref="F22:H22"/>
    <mergeCell ref="F15:H15"/>
    <mergeCell ref="F16:H16"/>
    <mergeCell ref="F17:H17"/>
    <mergeCell ref="F18:H18"/>
    <mergeCell ref="F19:H19"/>
    <mergeCell ref="F21:H21"/>
    <mergeCell ref="F20:H20"/>
    <mergeCell ref="F12:H12"/>
    <mergeCell ref="A1:C4"/>
    <mergeCell ref="D1:E1"/>
    <mergeCell ref="F1:F2"/>
    <mergeCell ref="G1:G2"/>
    <mergeCell ref="H1:H2"/>
    <mergeCell ref="D2:E2"/>
    <mergeCell ref="D3:D4"/>
    <mergeCell ref="E3:E4"/>
    <mergeCell ref="F3:F4"/>
    <mergeCell ref="G3:G4"/>
    <mergeCell ref="H3:H4"/>
    <mergeCell ref="D9:E9"/>
    <mergeCell ref="F9:H9"/>
    <mergeCell ref="F10:H10"/>
    <mergeCell ref="F11:H11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92D050"/>
  </sheetPr>
  <dimension ref="A1:K13"/>
  <sheetViews>
    <sheetView view="pageBreakPreview" topLeftCell="A10" zoomScale="85" zoomScaleNormal="70" zoomScaleSheetLayoutView="85" zoomScalePageLayoutView="40" workbookViewId="0">
      <selection activeCell="F13" sqref="F13:H13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6" width="10.85546875" style="92" customWidth="1"/>
    <col min="7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1" ht="17.45" customHeight="1" x14ac:dyDescent="0.25">
      <c r="A1" s="611"/>
      <c r="B1" s="611"/>
      <c r="C1" s="611"/>
      <c r="D1" s="612" t="str">
        <f>_КВ3</f>
        <v>КВ-3 Духовщина Выход</v>
      </c>
      <c r="E1" s="613"/>
      <c r="F1" s="605" t="s">
        <v>464</v>
      </c>
      <c r="G1" s="607">
        <f>_КВ4Расстояние</f>
        <v>41</v>
      </c>
      <c r="H1" s="605" t="s">
        <v>205</v>
      </c>
      <c r="J1" s="162" t="s">
        <v>206</v>
      </c>
    </row>
    <row r="2" spans="1:11" ht="17.45" customHeight="1" x14ac:dyDescent="0.25">
      <c r="A2" s="611"/>
      <c r="B2" s="611"/>
      <c r="C2" s="611"/>
      <c r="D2" s="614" t="str">
        <f>_КВ4</f>
        <v>КВ-4 М1</v>
      </c>
      <c r="E2" s="615"/>
      <c r="F2" s="606"/>
      <c r="G2" s="608"/>
      <c r="H2" s="606"/>
    </row>
    <row r="3" spans="1:11" ht="17.45" customHeight="1" x14ac:dyDescent="0.25">
      <c r="A3" s="611"/>
      <c r="B3" s="611"/>
      <c r="C3" s="611"/>
      <c r="D3" s="605" t="s">
        <v>465</v>
      </c>
      <c r="E3" s="616">
        <f>_КВ4Время</f>
        <v>2.43055559694767E-2</v>
      </c>
      <c r="F3" s="605" t="s">
        <v>466</v>
      </c>
      <c r="G3" s="607">
        <f>_КВ4Скорость</f>
        <v>70.285713088755728</v>
      </c>
      <c r="H3" s="609"/>
    </row>
    <row r="4" spans="1:11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11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1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1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1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1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11" ht="129.94999999999999" customHeight="1" x14ac:dyDescent="0.25">
      <c r="A10" s="327">
        <f>'Сектор 3'!A22+1</f>
        <v>34</v>
      </c>
      <c r="B10" s="412">
        <v>0</v>
      </c>
      <c r="C10" s="412">
        <v>0</v>
      </c>
      <c r="D10" s="422"/>
      <c r="E10" s="417"/>
      <c r="F10" s="623" t="str">
        <f>"
"&amp;_КВ3</f>
        <v xml:space="preserve">
КВ-3 Духовщина Выход</v>
      </c>
      <c r="G10" s="624"/>
      <c r="H10" s="625"/>
      <c r="J10" s="326" t="s">
        <v>479</v>
      </c>
      <c r="K10" s="92" t="s">
        <v>544</v>
      </c>
    </row>
    <row r="11" spans="1:11" ht="129.94999999999999" customHeight="1" x14ac:dyDescent="0.25">
      <c r="A11" s="327">
        <f>'Сектор 4'!A10+1</f>
        <v>35</v>
      </c>
      <c r="B11" s="412">
        <v>20.440000000000001</v>
      </c>
      <c r="C11" s="412">
        <f>B11-B10</f>
        <v>20.440000000000001</v>
      </c>
      <c r="D11" s="422"/>
      <c r="E11" s="417"/>
      <c r="F11" s="577" t="s">
        <v>533</v>
      </c>
      <c r="G11" s="578"/>
      <c r="H11" s="579"/>
      <c r="J11" s="326"/>
    </row>
    <row r="12" spans="1:11" ht="129.94999999999999" customHeight="1" x14ac:dyDescent="0.25">
      <c r="A12" s="327">
        <f>'Сектор 4'!A11+1</f>
        <v>36</v>
      </c>
      <c r="B12" s="412">
        <v>40.85</v>
      </c>
      <c r="C12" s="412">
        <f>B12-B11</f>
        <v>20.41</v>
      </c>
      <c r="D12" s="422"/>
      <c r="E12" s="417"/>
      <c r="F12" s="577"/>
      <c r="G12" s="578"/>
      <c r="H12" s="579"/>
      <c r="J12" s="326"/>
    </row>
    <row r="13" spans="1:11" ht="129.94999999999999" customHeight="1" x14ac:dyDescent="0.25">
      <c r="A13" s="327">
        <f>'Сектор 4'!A12+1</f>
        <v>37</v>
      </c>
      <c r="B13" s="412">
        <v>41</v>
      </c>
      <c r="C13" s="412">
        <f>B13-B12</f>
        <v>0.14999999999999858</v>
      </c>
      <c r="D13" s="422"/>
      <c r="E13" s="417"/>
      <c r="F13" s="626" t="str">
        <f>"
"&amp;_КВ4&amp;"
Парковка на 381 км М1 в сторону Минска"</f>
        <v xml:space="preserve">
КВ-4 М1
Парковка на 381 км М1 в сторону Минска</v>
      </c>
      <c r="G13" s="627"/>
      <c r="H13" s="628"/>
      <c r="J13" s="326" t="s">
        <v>689</v>
      </c>
      <c r="K13" s="92" t="s">
        <v>546</v>
      </c>
    </row>
  </sheetData>
  <mergeCells count="17">
    <mergeCell ref="D9:E9"/>
    <mergeCell ref="A1:C4"/>
    <mergeCell ref="D1:E1"/>
    <mergeCell ref="F1:F2"/>
    <mergeCell ref="G1:G2"/>
    <mergeCell ref="F9:H9"/>
    <mergeCell ref="D2:E2"/>
    <mergeCell ref="D3:D4"/>
    <mergeCell ref="E3:E4"/>
    <mergeCell ref="F3:F4"/>
    <mergeCell ref="G3:G4"/>
    <mergeCell ref="F10:H10"/>
    <mergeCell ref="F11:H11"/>
    <mergeCell ref="F12:H12"/>
    <mergeCell ref="F13:H13"/>
    <mergeCell ref="H1:H2"/>
    <mergeCell ref="H3:H4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92D050"/>
  </sheetPr>
  <dimension ref="A1:N53"/>
  <sheetViews>
    <sheetView view="pageBreakPreview" topLeftCell="A50" zoomScale="85" zoomScaleNormal="70" zoomScaleSheetLayoutView="85" zoomScalePageLayoutView="40" workbookViewId="0">
      <selection activeCell="D33" sqref="D33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6" width="10.85546875" style="92" customWidth="1"/>
    <col min="7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1" ht="17.45" customHeight="1" x14ac:dyDescent="0.25">
      <c r="A1" s="611"/>
      <c r="B1" s="611"/>
      <c r="C1" s="611"/>
      <c r="D1" s="612" t="str">
        <f>_КВ4</f>
        <v>КВ-4 М1</v>
      </c>
      <c r="E1" s="613"/>
      <c r="F1" s="605" t="s">
        <v>464</v>
      </c>
      <c r="G1" s="607">
        <f>_КВ5Расстояние</f>
        <v>30.9</v>
      </c>
      <c r="H1" s="605" t="s">
        <v>205</v>
      </c>
      <c r="J1" s="162" t="s">
        <v>206</v>
      </c>
    </row>
    <row r="2" spans="1:11" ht="17.45" customHeight="1" x14ac:dyDescent="0.25">
      <c r="A2" s="611"/>
      <c r="B2" s="611"/>
      <c r="C2" s="611"/>
      <c r="D2" s="614" t="str">
        <f>_КВ5</f>
        <v>КВ-5 Автобусный парк</v>
      </c>
      <c r="E2" s="615"/>
      <c r="F2" s="606"/>
      <c r="G2" s="608"/>
      <c r="H2" s="606"/>
    </row>
    <row r="3" spans="1:11" ht="17.45" customHeight="1" x14ac:dyDescent="0.25">
      <c r="A3" s="611"/>
      <c r="B3" s="611"/>
      <c r="C3" s="611"/>
      <c r="D3" s="605" t="s">
        <v>465</v>
      </c>
      <c r="E3" s="616">
        <f>_КВ5Время</f>
        <v>3.125E-2</v>
      </c>
      <c r="F3" s="605" t="s">
        <v>466</v>
      </c>
      <c r="G3" s="607">
        <f>_КВ5Скорость</f>
        <v>41.199999999999996</v>
      </c>
      <c r="H3" s="609"/>
    </row>
    <row r="4" spans="1:11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11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1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1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1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1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11" ht="129.94999999999999" customHeight="1" x14ac:dyDescent="0.25">
      <c r="A10" s="327">
        <f>'Сектор 4'!A13+1</f>
        <v>38</v>
      </c>
      <c r="B10" s="412">
        <v>0</v>
      </c>
      <c r="C10" s="412">
        <v>0</v>
      </c>
      <c r="D10" s="422"/>
      <c r="E10" s="417"/>
      <c r="F10" s="629" t="str">
        <f>_КВ4&amp;"
Совмещен со стартом 
"&amp;getMpWoName(_ДС3)&amp;"
Vср=70 км/ч"</f>
        <v>КВ-4 М1
Совмещен со стартом 
ДС-3 РДС
Vср=70 км/ч</v>
      </c>
      <c r="G10" s="630"/>
      <c r="H10" s="631"/>
      <c r="I10" s="92" t="s">
        <v>545</v>
      </c>
      <c r="J10" s="326" t="s">
        <v>573</v>
      </c>
      <c r="K10" s="92" t="s">
        <v>547</v>
      </c>
    </row>
    <row r="11" spans="1:11" ht="129.94999999999999" customHeight="1" x14ac:dyDescent="0.25">
      <c r="A11" s="327">
        <f>'Сектор 5'!A10+1</f>
        <v>39</v>
      </c>
      <c r="B11" s="412">
        <v>0.59</v>
      </c>
      <c r="C11" s="412">
        <f>B11-B10</f>
        <v>0.59</v>
      </c>
      <c r="D11" s="422"/>
      <c r="E11" s="417"/>
      <c r="F11" s="577"/>
      <c r="G11" s="578"/>
      <c r="H11" s="579"/>
      <c r="J11" s="326"/>
    </row>
    <row r="12" spans="1:11" ht="129.94999999999999" customHeight="1" x14ac:dyDescent="0.25">
      <c r="A12" s="327">
        <f>'Сектор 5'!A11+1</f>
        <v>40</v>
      </c>
      <c r="B12" s="412">
        <v>2.38</v>
      </c>
      <c r="C12" s="412">
        <f>B12-B11</f>
        <v>1.79</v>
      </c>
      <c r="D12" s="422"/>
      <c r="E12" s="417"/>
      <c r="F12" s="577"/>
      <c r="G12" s="578"/>
      <c r="H12" s="579"/>
      <c r="J12" s="326"/>
    </row>
    <row r="13" spans="1:11" ht="129.94999999999999" customHeight="1" x14ac:dyDescent="0.25">
      <c r="A13" s="327">
        <f>'Сектор 5'!A12+1</f>
        <v>41</v>
      </c>
      <c r="B13" s="412">
        <v>3.16</v>
      </c>
      <c r="C13" s="412">
        <f>B13-B12</f>
        <v>0.78000000000000025</v>
      </c>
      <c r="D13" s="422"/>
      <c r="E13" s="417"/>
      <c r="F13" s="577"/>
      <c r="G13" s="578"/>
      <c r="H13" s="579"/>
      <c r="J13" s="326"/>
    </row>
    <row r="14" spans="1:11" ht="129.94999999999999" customHeight="1" x14ac:dyDescent="0.25">
      <c r="A14" s="327">
        <f>'Сектор 5'!A13+1</f>
        <v>42</v>
      </c>
      <c r="B14" s="490">
        <v>4.04</v>
      </c>
      <c r="C14" s="498">
        <f>B14-B13</f>
        <v>0.87999999999999989</v>
      </c>
      <c r="D14" s="422"/>
      <c r="E14" s="417"/>
      <c r="F14" s="577" t="s">
        <v>510</v>
      </c>
      <c r="G14" s="578"/>
      <c r="H14" s="579"/>
      <c r="J14" s="326" t="s">
        <v>851</v>
      </c>
    </row>
    <row r="15" spans="1:11" ht="129.94999999999999" customHeight="1" x14ac:dyDescent="0.25">
      <c r="A15" s="327">
        <f>'Сектор 5'!A14+1</f>
        <v>43</v>
      </c>
      <c r="B15" s="490">
        <v>4.0999999999999996</v>
      </c>
      <c r="C15" s="498">
        <f>B15-B14</f>
        <v>5.9999999999999609E-2</v>
      </c>
      <c r="D15" s="422"/>
      <c r="E15" s="417"/>
      <c r="F15" s="577"/>
      <c r="G15" s="578"/>
      <c r="H15" s="579"/>
      <c r="J15" s="326" t="s">
        <v>852</v>
      </c>
    </row>
    <row r="16" spans="1:11" s="492" customFormat="1" ht="129.94999999999999" customHeight="1" x14ac:dyDescent="0.25">
      <c r="A16" s="489"/>
      <c r="B16" s="490">
        <v>6.15</v>
      </c>
      <c r="C16" s="490"/>
      <c r="D16" s="491"/>
      <c r="E16" s="505"/>
      <c r="F16" s="595" t="str">
        <f>J16</f>
        <v>скр, ПДД=70 Знак "70"</v>
      </c>
      <c r="G16" s="595"/>
      <c r="H16" s="595"/>
      <c r="J16" s="493" t="s">
        <v>509</v>
      </c>
    </row>
    <row r="17" spans="1:10" ht="129.94999999999999" customHeight="1" x14ac:dyDescent="0.25">
      <c r="A17" s="327">
        <f>'Сектор 5'!A15+1</f>
        <v>44</v>
      </c>
      <c r="B17" s="490">
        <v>6.52</v>
      </c>
      <c r="C17" s="490">
        <f>B17-B15</f>
        <v>2.42</v>
      </c>
      <c r="D17" s="422"/>
      <c r="E17" s="417"/>
      <c r="F17" s="577" t="s">
        <v>694</v>
      </c>
      <c r="G17" s="578"/>
      <c r="H17" s="579"/>
      <c r="J17" s="326" t="s">
        <v>695</v>
      </c>
    </row>
    <row r="18" spans="1:10" ht="129.94999999999999" customHeight="1" x14ac:dyDescent="0.25">
      <c r="A18" s="327">
        <f>'Сектор 5'!A17+1</f>
        <v>45</v>
      </c>
      <c r="B18" s="490">
        <v>6.72</v>
      </c>
      <c r="C18" s="412">
        <f>B18-B17</f>
        <v>0.20000000000000018</v>
      </c>
      <c r="D18" s="422"/>
      <c r="E18" s="417"/>
      <c r="F18" s="577" t="s">
        <v>574</v>
      </c>
      <c r="G18" s="578"/>
      <c r="H18" s="579"/>
      <c r="J18" s="326" t="s">
        <v>277</v>
      </c>
    </row>
    <row r="19" spans="1:10" s="492" customFormat="1" ht="129.94999999999999" customHeight="1" x14ac:dyDescent="0.25">
      <c r="A19" s="489"/>
      <c r="B19" s="490">
        <v>8.11</v>
      </c>
      <c r="C19" s="490"/>
      <c r="D19" s="491"/>
      <c r="E19" s="505"/>
      <c r="F19" s="595" t="str">
        <f>J19</f>
        <v>скр, ПДД=60 Печерск</v>
      </c>
      <c r="G19" s="595"/>
      <c r="H19" s="595"/>
      <c r="J19" s="493" t="s">
        <v>476</v>
      </c>
    </row>
    <row r="20" spans="1:10" ht="129.94999999999999" customHeight="1" x14ac:dyDescent="0.25">
      <c r="A20" s="327">
        <f>'Сектор 5'!A18+1</f>
        <v>46</v>
      </c>
      <c r="B20" s="490">
        <v>8.42</v>
      </c>
      <c r="C20" s="412">
        <f>B20-B18</f>
        <v>1.7000000000000002</v>
      </c>
      <c r="D20" s="332"/>
      <c r="E20" s="420"/>
      <c r="F20" s="577" t="s">
        <v>511</v>
      </c>
      <c r="G20" s="578"/>
      <c r="H20" s="579"/>
      <c r="J20" s="326" t="s">
        <v>512</v>
      </c>
    </row>
    <row r="21" spans="1:10" s="492" customFormat="1" ht="129.94999999999999" customHeight="1" x14ac:dyDescent="0.25">
      <c r="A21" s="489"/>
      <c r="B21" s="490">
        <v>8.48</v>
      </c>
      <c r="C21" s="490"/>
      <c r="D21" s="491"/>
      <c r="E21" s="505"/>
      <c r="F21" s="595" t="str">
        <f t="shared" ref="F21:F31" si="0">J21</f>
        <v>скр, ПДД=40 Знак "40"</v>
      </c>
      <c r="G21" s="595"/>
      <c r="H21" s="595"/>
      <c r="J21" s="493" t="s">
        <v>500</v>
      </c>
    </row>
    <row r="22" spans="1:10" s="492" customFormat="1" ht="129.94999999999999" customHeight="1" x14ac:dyDescent="0.25">
      <c r="A22" s="489"/>
      <c r="B22" s="490">
        <v>8.5</v>
      </c>
      <c r="C22" s="490"/>
      <c r="D22" s="491"/>
      <c r="E22" s="505"/>
      <c r="F22" s="595" t="str">
        <f t="shared" si="0"/>
        <v>скр, ПДД=20 Знак "20"</v>
      </c>
      <c r="G22" s="595"/>
      <c r="H22" s="595"/>
      <c r="J22" s="493" t="s">
        <v>501</v>
      </c>
    </row>
    <row r="23" spans="1:10" s="492" customFormat="1" ht="129.94999999999999" customHeight="1" x14ac:dyDescent="0.25">
      <c r="A23" s="489"/>
      <c r="B23" s="490">
        <v>8.57</v>
      </c>
      <c r="C23" s="490"/>
      <c r="D23" s="491"/>
      <c r="E23" s="505"/>
      <c r="F23" s="595" t="str">
        <f t="shared" si="0"/>
        <v>скр, ПДД=20 Знак "20"</v>
      </c>
      <c r="G23" s="595"/>
      <c r="H23" s="595"/>
      <c r="J23" s="493" t="s">
        <v>501</v>
      </c>
    </row>
    <row r="24" spans="1:10" s="492" customFormat="1" ht="129.94999999999999" customHeight="1" x14ac:dyDescent="0.25">
      <c r="A24" s="489"/>
      <c r="B24" s="490">
        <v>8.58</v>
      </c>
      <c r="C24" s="490"/>
      <c r="D24" s="491"/>
      <c r="E24" s="505"/>
      <c r="F24" s="595" t="str">
        <f t="shared" si="0"/>
        <v>скр, ПДД=60 Отмена 20</v>
      </c>
      <c r="G24" s="595"/>
      <c r="H24" s="595"/>
      <c r="J24" s="493" t="s">
        <v>513</v>
      </c>
    </row>
    <row r="25" spans="1:10" s="492" customFormat="1" ht="129.94999999999999" customHeight="1" x14ac:dyDescent="0.25">
      <c r="A25" s="489"/>
      <c r="B25" s="490">
        <v>8.74</v>
      </c>
      <c r="C25" s="490"/>
      <c r="D25" s="491"/>
      <c r="E25" s="505"/>
      <c r="F25" s="595" t="str">
        <f t="shared" si="0"/>
        <v>скр, ПДД=50 Знак "50"</v>
      </c>
      <c r="G25" s="595"/>
      <c r="H25" s="595"/>
      <c r="J25" s="493" t="s">
        <v>514</v>
      </c>
    </row>
    <row r="26" spans="1:10" s="492" customFormat="1" ht="129.94999999999999" customHeight="1" x14ac:dyDescent="0.25">
      <c r="A26" s="489"/>
      <c r="B26" s="490">
        <v>8.9</v>
      </c>
      <c r="C26" s="490"/>
      <c r="D26" s="491"/>
      <c r="E26" s="505"/>
      <c r="F26" s="595" t="str">
        <f t="shared" si="0"/>
        <v>скр, ПДД=60 Отмена 50</v>
      </c>
      <c r="G26" s="595"/>
      <c r="H26" s="595"/>
      <c r="J26" s="493" t="s">
        <v>515</v>
      </c>
    </row>
    <row r="27" spans="1:10" s="492" customFormat="1" ht="129.94999999999999" customHeight="1" x14ac:dyDescent="0.25">
      <c r="A27" s="489"/>
      <c r="B27" s="490">
        <v>8.91</v>
      </c>
      <c r="C27" s="490"/>
      <c r="D27" s="491"/>
      <c r="E27" s="505"/>
      <c r="F27" s="595" t="str">
        <f t="shared" ref="F27" si="1">J27</f>
        <v>скр, ПДД=50 Знак "50"</v>
      </c>
      <c r="G27" s="595"/>
      <c r="H27" s="595"/>
      <c r="J27" s="493" t="s">
        <v>514</v>
      </c>
    </row>
    <row r="28" spans="1:10" s="492" customFormat="1" ht="129.94999999999999" customHeight="1" x14ac:dyDescent="0.25">
      <c r="A28" s="489"/>
      <c r="B28" s="490">
        <v>9</v>
      </c>
      <c r="C28" s="490"/>
      <c r="D28" s="491"/>
      <c r="E28" s="505"/>
      <c r="F28" s="595" t="str">
        <f t="shared" si="0"/>
        <v>скр, ПДД=90 Печерск оконч.</v>
      </c>
      <c r="G28" s="595"/>
      <c r="H28" s="595"/>
      <c r="J28" s="493" t="s">
        <v>516</v>
      </c>
    </row>
    <row r="29" spans="1:10" s="492" customFormat="1" ht="129.94999999999999" customHeight="1" x14ac:dyDescent="0.25">
      <c r="A29" s="489"/>
      <c r="B29" s="490">
        <v>9.1</v>
      </c>
      <c r="C29" s="490"/>
      <c r="D29" s="491"/>
      <c r="E29" s="505"/>
      <c r="F29" s="595" t="str">
        <f t="shared" si="0"/>
        <v>скр, ПДД=60 Быльники</v>
      </c>
      <c r="G29" s="595"/>
      <c r="H29" s="595"/>
      <c r="J29" s="493" t="s">
        <v>517</v>
      </c>
    </row>
    <row r="30" spans="1:10" s="492" customFormat="1" ht="129.94999999999999" customHeight="1" x14ac:dyDescent="0.25">
      <c r="A30" s="489"/>
      <c r="B30" s="490">
        <v>9.2100000000000009</v>
      </c>
      <c r="C30" s="490"/>
      <c r="D30" s="491"/>
      <c r="E30" s="505"/>
      <c r="F30" s="595" t="str">
        <f t="shared" si="0"/>
        <v>скр, ПДД=50 Знак "50"</v>
      </c>
      <c r="G30" s="595"/>
      <c r="H30" s="595"/>
      <c r="J30" s="493" t="s">
        <v>514</v>
      </c>
    </row>
    <row r="31" spans="1:10" s="492" customFormat="1" ht="129.94999999999999" customHeight="1" x14ac:dyDescent="0.25">
      <c r="A31" s="489"/>
      <c r="B31" s="490">
        <v>9.3800000000000008</v>
      </c>
      <c r="C31" s="490"/>
      <c r="D31" s="491"/>
      <c r="E31" s="505"/>
      <c r="F31" s="595" t="str">
        <f t="shared" si="0"/>
        <v>скр, ПДД=60 Отмена 50</v>
      </c>
      <c r="G31" s="595"/>
      <c r="H31" s="595"/>
      <c r="J31" s="493" t="s">
        <v>515</v>
      </c>
    </row>
    <row r="32" spans="1:10" ht="129.94999999999999" customHeight="1" x14ac:dyDescent="0.25">
      <c r="A32" s="327">
        <f>'Сектор 5'!A20+1</f>
        <v>47</v>
      </c>
      <c r="B32" s="490">
        <v>9.75</v>
      </c>
      <c r="C32" s="490">
        <f>B32-B20</f>
        <v>1.33</v>
      </c>
      <c r="D32" s="422"/>
      <c r="E32" s="417"/>
      <c r="F32" s="577" t="s">
        <v>551</v>
      </c>
      <c r="G32" s="578"/>
      <c r="H32" s="579"/>
      <c r="J32" s="326" t="s">
        <v>550</v>
      </c>
    </row>
    <row r="33" spans="1:12" s="492" customFormat="1" ht="129.94999999999999" customHeight="1" x14ac:dyDescent="0.25">
      <c r="A33" s="489"/>
      <c r="B33" s="490">
        <v>10.25</v>
      </c>
      <c r="C33" s="490"/>
      <c r="D33" s="491" t="s">
        <v>548</v>
      </c>
      <c r="E33" s="505"/>
      <c r="F33" s="595" t="str">
        <f>J33</f>
        <v>скр, СФ-3 1</v>
      </c>
      <c r="G33" s="595"/>
      <c r="H33" s="595"/>
      <c r="J33" s="493" t="s">
        <v>391</v>
      </c>
    </row>
    <row r="34" spans="1:12" s="492" customFormat="1" ht="129.94999999999999" customHeight="1" x14ac:dyDescent="0.25">
      <c r="A34" s="489"/>
      <c r="B34" s="490">
        <v>10.37</v>
      </c>
      <c r="C34" s="490"/>
      <c r="D34" s="491"/>
      <c r="E34" s="505"/>
      <c r="F34" s="595" t="str">
        <f>J34</f>
        <v>скр, ПДД=90 Быльники оконч.</v>
      </c>
      <c r="G34" s="595"/>
      <c r="H34" s="595"/>
      <c r="J34" s="493" t="s">
        <v>518</v>
      </c>
    </row>
    <row r="35" spans="1:12" s="492" customFormat="1" ht="129.94999999999999" customHeight="1" x14ac:dyDescent="0.25">
      <c r="A35" s="489"/>
      <c r="B35" s="490">
        <v>10.83</v>
      </c>
      <c r="C35" s="490"/>
      <c r="D35" s="491" t="s">
        <v>549</v>
      </c>
      <c r="E35" s="505"/>
      <c r="F35" s="595" t="str">
        <f>J35</f>
        <v>скр, ДСФ-3</v>
      </c>
      <c r="G35" s="595"/>
      <c r="H35" s="595"/>
      <c r="J35" s="493" t="s">
        <v>301</v>
      </c>
      <c r="L35" s="492" t="s">
        <v>552</v>
      </c>
    </row>
    <row r="36" spans="1:12" ht="129.94999999999999" customHeight="1" x14ac:dyDescent="0.25">
      <c r="A36" s="327">
        <f>'Сектор 5'!A32+1</f>
        <v>48</v>
      </c>
      <c r="B36" s="412">
        <v>10.88</v>
      </c>
      <c r="C36" s="490">
        <f>B36-B32</f>
        <v>1.1300000000000008</v>
      </c>
      <c r="D36" s="332"/>
      <c r="E36" s="420"/>
      <c r="F36" s="577" t="s">
        <v>477</v>
      </c>
      <c r="G36" s="578"/>
      <c r="H36" s="579"/>
      <c r="J36" s="326" t="s">
        <v>478</v>
      </c>
    </row>
    <row r="37" spans="1:12" ht="129.94999999999999" customHeight="1" x14ac:dyDescent="0.25">
      <c r="A37" s="327">
        <f>'Сектор 5'!A36+1</f>
        <v>49</v>
      </c>
      <c r="B37" s="412">
        <v>11.86</v>
      </c>
      <c r="C37" s="412">
        <f>B37-B36</f>
        <v>0.97999999999999865</v>
      </c>
      <c r="D37" s="422"/>
      <c r="E37" s="417"/>
      <c r="F37" s="577" t="s">
        <v>299</v>
      </c>
      <c r="G37" s="578"/>
      <c r="H37" s="579"/>
      <c r="J37" s="326"/>
    </row>
    <row r="38" spans="1:12" ht="129.94999999999999" customHeight="1" x14ac:dyDescent="0.25">
      <c r="A38" s="327">
        <f>'Сектор 5'!A37+1</f>
        <v>50</v>
      </c>
      <c r="B38" s="412">
        <v>22.18</v>
      </c>
      <c r="C38" s="412">
        <f>B38-B37</f>
        <v>10.32</v>
      </c>
      <c r="D38" s="422"/>
      <c r="E38" s="417"/>
      <c r="F38" s="577" t="s">
        <v>693</v>
      </c>
      <c r="G38" s="578"/>
      <c r="H38" s="579"/>
      <c r="J38" s="326"/>
    </row>
    <row r="39" spans="1:12" ht="129.94999999999999" customHeight="1" x14ac:dyDescent="0.25">
      <c r="A39" s="426"/>
      <c r="B39" s="413"/>
      <c r="C39" s="413"/>
      <c r="D39" s="426"/>
      <c r="E39" s="443"/>
      <c r="F39" s="601"/>
      <c r="G39" s="601"/>
      <c r="H39" s="601"/>
      <c r="J39" s="326" t="s">
        <v>201</v>
      </c>
    </row>
    <row r="40" spans="1:12" ht="129.94999999999999" customHeight="1" x14ac:dyDescent="0.25">
      <c r="A40" s="424"/>
      <c r="B40" s="414"/>
      <c r="C40" s="414"/>
      <c r="D40" s="424"/>
      <c r="E40" s="441"/>
      <c r="F40" s="618"/>
      <c r="G40" s="618"/>
      <c r="H40" s="618"/>
      <c r="J40" s="326" t="s">
        <v>201</v>
      </c>
    </row>
    <row r="41" spans="1:12" ht="129.94999999999999" customHeight="1" x14ac:dyDescent="0.25">
      <c r="A41" s="329"/>
      <c r="B41" s="413"/>
      <c r="C41" s="413"/>
      <c r="D41" s="426"/>
      <c r="E41" s="443"/>
      <c r="F41" s="601"/>
      <c r="G41" s="601"/>
      <c r="H41" s="622"/>
      <c r="J41" s="326" t="s">
        <v>201</v>
      </c>
    </row>
    <row r="42" spans="1:12" ht="129.94999999999999" customHeight="1" x14ac:dyDescent="0.25">
      <c r="A42" s="330"/>
      <c r="B42" s="414"/>
      <c r="C42" s="414"/>
      <c r="D42" s="424"/>
      <c r="E42" s="441"/>
      <c r="F42" s="618"/>
      <c r="G42" s="618"/>
      <c r="H42" s="619"/>
      <c r="J42" s="326" t="s">
        <v>201</v>
      </c>
    </row>
    <row r="43" spans="1:12" ht="129.94999999999999" customHeight="1" x14ac:dyDescent="0.25">
      <c r="A43" s="330"/>
      <c r="B43" s="414"/>
      <c r="C43" s="414"/>
      <c r="D43" s="424"/>
      <c r="E43" s="441"/>
      <c r="F43" s="618"/>
      <c r="G43" s="618"/>
      <c r="H43" s="619"/>
      <c r="J43" s="326" t="s">
        <v>201</v>
      </c>
    </row>
    <row r="44" spans="1:12" ht="129.94999999999999" customHeight="1" x14ac:dyDescent="0.25">
      <c r="A44" s="330"/>
      <c r="B44" s="414"/>
      <c r="C44" s="414"/>
      <c r="D44" s="424"/>
      <c r="E44" s="441"/>
      <c r="F44" s="618"/>
      <c r="G44" s="618"/>
      <c r="H44" s="619"/>
      <c r="J44" s="326" t="s">
        <v>201</v>
      </c>
    </row>
    <row r="45" spans="1:12" ht="129.94999999999999" customHeight="1" x14ac:dyDescent="0.25">
      <c r="A45" s="327">
        <f>'Сектор 5'!A38+1</f>
        <v>51</v>
      </c>
      <c r="B45" s="412">
        <v>26</v>
      </c>
      <c r="C45" s="490">
        <f>B45-B38</f>
        <v>3.8200000000000003</v>
      </c>
      <c r="D45" s="422"/>
      <c r="E45" s="440"/>
      <c r="F45" s="577" t="s">
        <v>692</v>
      </c>
      <c r="G45" s="578"/>
      <c r="H45" s="579"/>
      <c r="J45" s="326" t="s">
        <v>478</v>
      </c>
    </row>
    <row r="46" spans="1:12" ht="129.94999999999999" customHeight="1" x14ac:dyDescent="0.25">
      <c r="A46" s="327">
        <f>'Сектор 5'!A45+1</f>
        <v>52</v>
      </c>
      <c r="B46" s="412">
        <v>26.34</v>
      </c>
      <c r="C46" s="412">
        <f t="shared" ref="C46:C53" si="2">B46-B45</f>
        <v>0.33999999999999986</v>
      </c>
      <c r="D46" s="422"/>
      <c r="E46" s="417"/>
      <c r="F46" s="577" t="s">
        <v>575</v>
      </c>
      <c r="G46" s="578"/>
      <c r="H46" s="579"/>
      <c r="J46" s="326"/>
    </row>
    <row r="47" spans="1:12" ht="129.94999999999999" customHeight="1" x14ac:dyDescent="0.25">
      <c r="A47" s="327">
        <f>'Сектор 5'!A46+1</f>
        <v>53</v>
      </c>
      <c r="B47" s="412">
        <v>27.12</v>
      </c>
      <c r="C47" s="412">
        <f t="shared" si="2"/>
        <v>0.78000000000000114</v>
      </c>
      <c r="D47" s="422"/>
      <c r="E47" s="417"/>
      <c r="F47" s="577"/>
      <c r="G47" s="578"/>
      <c r="H47" s="579"/>
      <c r="J47" s="326"/>
    </row>
    <row r="48" spans="1:12" ht="129.94999999999999" customHeight="1" x14ac:dyDescent="0.25">
      <c r="A48" s="327">
        <f>'Сектор 5'!A47+1</f>
        <v>54</v>
      </c>
      <c r="B48" s="412">
        <v>28.22</v>
      </c>
      <c r="C48" s="412">
        <f t="shared" si="2"/>
        <v>1.0999999999999979</v>
      </c>
      <c r="D48" s="422"/>
      <c r="E48" s="417"/>
      <c r="F48" s="577"/>
      <c r="G48" s="578"/>
      <c r="H48" s="579"/>
      <c r="J48" s="326"/>
    </row>
    <row r="49" spans="1:14" ht="129.94999999999999" customHeight="1" x14ac:dyDescent="0.25">
      <c r="A49" s="327">
        <f>'Сектор 5'!A48+1</f>
        <v>55</v>
      </c>
      <c r="B49" s="412">
        <v>28.49</v>
      </c>
      <c r="C49" s="412">
        <f t="shared" si="2"/>
        <v>0.26999999999999957</v>
      </c>
      <c r="D49" s="422"/>
      <c r="E49" s="466"/>
      <c r="F49" s="577"/>
      <c r="G49" s="578"/>
      <c r="H49" s="579"/>
      <c r="J49" s="326"/>
    </row>
    <row r="50" spans="1:14" ht="129.94999999999999" customHeight="1" x14ac:dyDescent="0.25">
      <c r="A50" s="327">
        <f>'Сектор 5'!A49+1</f>
        <v>56</v>
      </c>
      <c r="B50" s="412">
        <v>29.83</v>
      </c>
      <c r="C50" s="412">
        <f t="shared" si="2"/>
        <v>1.3399999999999999</v>
      </c>
      <c r="D50" s="422"/>
      <c r="E50" s="466"/>
      <c r="F50" s="577"/>
      <c r="G50" s="578"/>
      <c r="H50" s="579"/>
      <c r="J50" s="326"/>
    </row>
    <row r="51" spans="1:14" ht="129.94999999999999" customHeight="1" x14ac:dyDescent="0.25">
      <c r="A51" s="327">
        <f>'Сектор 5'!A50+1</f>
        <v>57</v>
      </c>
      <c r="B51" s="412">
        <v>30.47</v>
      </c>
      <c r="C51" s="412">
        <f t="shared" si="2"/>
        <v>0.64000000000000057</v>
      </c>
      <c r="D51" s="422"/>
      <c r="E51" s="417"/>
      <c r="F51" s="577"/>
      <c r="G51" s="578"/>
      <c r="H51" s="579"/>
      <c r="J51" s="326"/>
    </row>
    <row r="52" spans="1:14" ht="129.94999999999999" customHeight="1" x14ac:dyDescent="0.25">
      <c r="A52" s="327">
        <f>'Сектор 5'!A51+1</f>
        <v>58</v>
      </c>
      <c r="B52" s="412">
        <v>30.66</v>
      </c>
      <c r="C52" s="412">
        <f t="shared" si="2"/>
        <v>0.19000000000000128</v>
      </c>
      <c r="D52" s="422"/>
      <c r="E52" s="417"/>
      <c r="F52" s="577" t="s">
        <v>499</v>
      </c>
      <c r="G52" s="578"/>
      <c r="H52" s="579"/>
      <c r="J52" s="326"/>
    </row>
    <row r="53" spans="1:14" ht="129.94999999999999" customHeight="1" x14ac:dyDescent="0.25">
      <c r="A53" s="327">
        <f>'Сектор 5'!A52+1</f>
        <v>59</v>
      </c>
      <c r="B53" s="412">
        <v>30.9</v>
      </c>
      <c r="C53" s="412">
        <f t="shared" si="2"/>
        <v>0.23999999999999844</v>
      </c>
      <c r="D53" s="422"/>
      <c r="E53" s="429"/>
      <c r="F53" s="623" t="str">
        <f>"
"&amp;_КВ5&amp;"
ул. Шевченко, 77А"</f>
        <v xml:space="preserve">
КВ-5 Автобусный парк
ул. Шевченко, 77А</v>
      </c>
      <c r="G53" s="624"/>
      <c r="H53" s="625"/>
      <c r="J53" s="416" t="s">
        <v>576</v>
      </c>
      <c r="L53" s="92" t="s">
        <v>553</v>
      </c>
      <c r="N53" s="92" t="s">
        <v>554</v>
      </c>
    </row>
  </sheetData>
  <mergeCells count="57">
    <mergeCell ref="F53:H53"/>
    <mergeCell ref="F35:H35"/>
    <mergeCell ref="F36:H36"/>
    <mergeCell ref="F37:H37"/>
    <mergeCell ref="F38:H38"/>
    <mergeCell ref="F41:H41"/>
    <mergeCell ref="F45:H45"/>
    <mergeCell ref="F39:H39"/>
    <mergeCell ref="F40:H40"/>
    <mergeCell ref="F43:H43"/>
    <mergeCell ref="F46:H46"/>
    <mergeCell ref="F47:H47"/>
    <mergeCell ref="F48:H48"/>
    <mergeCell ref="F51:H51"/>
    <mergeCell ref="F52:H52"/>
    <mergeCell ref="F50:H50"/>
    <mergeCell ref="F34:H34"/>
    <mergeCell ref="F44:H44"/>
    <mergeCell ref="F42:H42"/>
    <mergeCell ref="F27:H27"/>
    <mergeCell ref="F49:H49"/>
    <mergeCell ref="F21:H21"/>
    <mergeCell ref="F33:H33"/>
    <mergeCell ref="F22:H22"/>
    <mergeCell ref="F23:H23"/>
    <mergeCell ref="F24:H24"/>
    <mergeCell ref="F25:H25"/>
    <mergeCell ref="F26:H26"/>
    <mergeCell ref="F28:H28"/>
    <mergeCell ref="F29:H29"/>
    <mergeCell ref="F30:H30"/>
    <mergeCell ref="F31:H31"/>
    <mergeCell ref="F32:H32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H3:H4"/>
    <mergeCell ref="D9:E9"/>
    <mergeCell ref="F9:H9"/>
    <mergeCell ref="F10:H10"/>
    <mergeCell ref="A1:C4"/>
    <mergeCell ref="D1:E1"/>
    <mergeCell ref="F1:F2"/>
    <mergeCell ref="G1:G2"/>
    <mergeCell ref="H1:H2"/>
    <mergeCell ref="D2:E2"/>
    <mergeCell ref="D3:D4"/>
    <mergeCell ref="E3:E4"/>
    <mergeCell ref="F3:F4"/>
    <mergeCell ref="G3:G4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92D050"/>
  </sheetPr>
  <dimension ref="A1:T23"/>
  <sheetViews>
    <sheetView view="pageBreakPreview" zoomScale="55" zoomScaleNormal="70" zoomScaleSheetLayoutView="55" zoomScalePageLayoutView="40" workbookViewId="0">
      <selection activeCell="F25" sqref="F25:H25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20" ht="17.45" customHeight="1" x14ac:dyDescent="0.25">
      <c r="A1" s="611"/>
      <c r="B1" s="611"/>
      <c r="C1" s="611"/>
      <c r="D1" s="612" t="str">
        <f>_КВ5</f>
        <v>КВ-5 Автобусный парк</v>
      </c>
      <c r="E1" s="613"/>
      <c r="F1" s="605" t="s">
        <v>464</v>
      </c>
      <c r="G1" s="607">
        <f>_КВ6Расстояние</f>
        <v>4.47</v>
      </c>
      <c r="H1" s="605" t="s">
        <v>205</v>
      </c>
      <c r="J1" s="162" t="s">
        <v>206</v>
      </c>
    </row>
    <row r="2" spans="1:20" ht="17.45" customHeight="1" x14ac:dyDescent="0.25">
      <c r="A2" s="611"/>
      <c r="B2" s="611"/>
      <c r="C2" s="611"/>
      <c r="D2" s="614" t="str">
        <f>_КВ6</f>
        <v>КВ-6 Центр</v>
      </c>
      <c r="E2" s="615"/>
      <c r="F2" s="606"/>
      <c r="G2" s="608"/>
      <c r="H2" s="606"/>
    </row>
    <row r="3" spans="1:20" ht="17.45" customHeight="1" x14ac:dyDescent="0.25">
      <c r="A3" s="611"/>
      <c r="B3" s="611"/>
      <c r="C3" s="611"/>
      <c r="D3" s="605" t="s">
        <v>465</v>
      </c>
      <c r="E3" s="616">
        <f>_КВ6Время</f>
        <v>4.1666667908430099E-2</v>
      </c>
      <c r="F3" s="605" t="s">
        <v>466</v>
      </c>
      <c r="G3" s="607">
        <f>_КВ6Скорость</f>
        <v>4.4699998667836232</v>
      </c>
      <c r="H3" s="609"/>
    </row>
    <row r="4" spans="1:20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20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20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20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20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20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20" ht="129.94999999999999" customHeight="1" x14ac:dyDescent="0.25">
      <c r="A10" s="330"/>
      <c r="B10" s="414"/>
      <c r="C10" s="414"/>
      <c r="D10" s="424"/>
      <c r="E10" s="418"/>
      <c r="F10" s="618"/>
      <c r="G10" s="618"/>
      <c r="H10" s="619"/>
      <c r="J10" s="326" t="s">
        <v>687</v>
      </c>
    </row>
    <row r="11" spans="1:20" ht="129.94999999999999" customHeight="1" x14ac:dyDescent="0.25">
      <c r="A11" s="330"/>
      <c r="B11" s="496">
        <v>0.1</v>
      </c>
      <c r="C11" s="414"/>
      <c r="D11" s="424"/>
      <c r="E11" s="418"/>
      <c r="F11" s="618"/>
      <c r="G11" s="618"/>
      <c r="H11" s="619"/>
      <c r="J11" s="326" t="s">
        <v>688</v>
      </c>
    </row>
    <row r="12" spans="1:20" ht="129.94999999999999" customHeight="1" x14ac:dyDescent="0.25">
      <c r="A12" s="330"/>
      <c r="B12" s="414"/>
      <c r="C12" s="414"/>
      <c r="D12" s="424"/>
      <c r="E12" s="418"/>
      <c r="F12" s="618"/>
      <c r="G12" s="618"/>
      <c r="H12" s="619"/>
      <c r="J12" s="326" t="s">
        <v>201</v>
      </c>
    </row>
    <row r="13" spans="1:20" ht="129.94999999999999" customHeight="1" x14ac:dyDescent="0.25">
      <c r="A13" s="330"/>
      <c r="B13" s="414"/>
      <c r="C13" s="414"/>
      <c r="D13" s="424"/>
      <c r="E13" s="418"/>
      <c r="F13" s="618"/>
      <c r="G13" s="618"/>
      <c r="H13" s="619"/>
      <c r="J13" s="326" t="s">
        <v>201</v>
      </c>
    </row>
    <row r="14" spans="1:20" ht="129.94999999999999" customHeight="1" x14ac:dyDescent="0.25">
      <c r="A14" s="331"/>
      <c r="B14" s="415"/>
      <c r="C14" s="415"/>
      <c r="D14" s="425"/>
      <c r="E14" s="419"/>
      <c r="F14" s="620"/>
      <c r="G14" s="620"/>
      <c r="H14" s="621"/>
      <c r="J14" s="326" t="s">
        <v>201</v>
      </c>
    </row>
    <row r="15" spans="1:20" ht="129.94999999999999" customHeight="1" x14ac:dyDescent="0.25">
      <c r="A15" s="327">
        <f>'Сектор 5'!A53+1</f>
        <v>60</v>
      </c>
      <c r="B15" s="412">
        <v>0</v>
      </c>
      <c r="C15" s="412">
        <v>0</v>
      </c>
      <c r="D15" s="422"/>
      <c r="E15" s="417"/>
      <c r="F15" s="577" t="s">
        <v>578</v>
      </c>
      <c r="G15" s="578"/>
      <c r="H15" s="579"/>
      <c r="J15" s="326"/>
      <c r="L15" s="92" t="s">
        <v>555</v>
      </c>
      <c r="T15" s="446"/>
    </row>
    <row r="16" spans="1:20" ht="129.94999999999999" customHeight="1" x14ac:dyDescent="0.25">
      <c r="A16" s="327">
        <f>'Сектор 6'!A15+1</f>
        <v>61</v>
      </c>
      <c r="B16" s="412">
        <v>0.18000000000000002</v>
      </c>
      <c r="C16" s="412">
        <f t="shared" ref="C16:C21" si="0">B16-B15</f>
        <v>0.18000000000000002</v>
      </c>
      <c r="D16" s="422"/>
      <c r="E16" s="417"/>
      <c r="F16" s="577" t="s">
        <v>532</v>
      </c>
      <c r="G16" s="578"/>
      <c r="H16" s="579"/>
      <c r="J16" s="326"/>
      <c r="T16" s="446"/>
    </row>
    <row r="17" spans="1:20" ht="129.94999999999999" customHeight="1" x14ac:dyDescent="0.25">
      <c r="A17" s="327">
        <f>'Сектор 6'!A16+1</f>
        <v>62</v>
      </c>
      <c r="B17" s="412">
        <v>2.5</v>
      </c>
      <c r="C17" s="412">
        <f t="shared" si="0"/>
        <v>2.3199999999999998</v>
      </c>
      <c r="D17" s="422"/>
      <c r="E17" s="417"/>
      <c r="F17" s="577" t="s">
        <v>531</v>
      </c>
      <c r="G17" s="578"/>
      <c r="H17" s="579"/>
      <c r="J17" s="326"/>
      <c r="T17" s="446"/>
    </row>
    <row r="18" spans="1:20" ht="129.94999999999999" customHeight="1" x14ac:dyDescent="0.25">
      <c r="A18" s="327">
        <f>'Сектор 6'!A17+1</f>
        <v>63</v>
      </c>
      <c r="B18" s="412">
        <v>3.2</v>
      </c>
      <c r="C18" s="412">
        <f t="shared" si="0"/>
        <v>0.70000000000000018</v>
      </c>
      <c r="D18" s="422"/>
      <c r="E18" s="417"/>
      <c r="F18" s="577" t="s">
        <v>534</v>
      </c>
      <c r="G18" s="578"/>
      <c r="H18" s="579"/>
      <c r="J18" s="326"/>
      <c r="T18" s="446"/>
    </row>
    <row r="19" spans="1:20" ht="129.94999999999999" customHeight="1" x14ac:dyDescent="0.25">
      <c r="A19" s="327">
        <f>'Сектор 6'!A18+1</f>
        <v>64</v>
      </c>
      <c r="B19" s="412">
        <v>3.37</v>
      </c>
      <c r="C19" s="412">
        <f t="shared" si="0"/>
        <v>0.16999999999999993</v>
      </c>
      <c r="D19" s="422"/>
      <c r="E19" s="417"/>
      <c r="F19" s="577" t="s">
        <v>535</v>
      </c>
      <c r="G19" s="578"/>
      <c r="H19" s="579"/>
      <c r="J19" s="326"/>
      <c r="T19" s="446"/>
    </row>
    <row r="20" spans="1:20" ht="129.94999999999999" customHeight="1" x14ac:dyDescent="0.25">
      <c r="A20" s="327">
        <f>'Сектор 6'!A19+1</f>
        <v>65</v>
      </c>
      <c r="B20" s="412">
        <v>4.4000000000000004</v>
      </c>
      <c r="C20" s="412">
        <f t="shared" si="0"/>
        <v>1.0300000000000002</v>
      </c>
      <c r="D20" s="422"/>
      <c r="E20" s="417"/>
      <c r="F20" s="577" t="s">
        <v>536</v>
      </c>
      <c r="G20" s="578"/>
      <c r="H20" s="579"/>
      <c r="J20" s="326"/>
      <c r="T20" s="446"/>
    </row>
    <row r="21" spans="1:20" ht="129.94999999999999" customHeight="1" x14ac:dyDescent="0.25">
      <c r="A21" s="327">
        <f>'Сектор 6'!A20+1</f>
        <v>66</v>
      </c>
      <c r="B21" s="412">
        <v>4.47</v>
      </c>
      <c r="C21" s="412">
        <f t="shared" si="0"/>
        <v>6.9999999999999396E-2</v>
      </c>
      <c r="D21" s="422"/>
      <c r="E21" s="417"/>
      <c r="F21" s="623" t="str">
        <f>"
"&amp;_КВ6&amp;"
ул. Энгельса, д. 18"</f>
        <v xml:space="preserve">
КВ-6 Центр
ул. Энгельса, д. 18</v>
      </c>
      <c r="G21" s="624"/>
      <c r="H21" s="625"/>
      <c r="J21" s="416" t="s">
        <v>577</v>
      </c>
      <c r="L21" s="92" t="s">
        <v>556</v>
      </c>
      <c r="T21" s="446"/>
    </row>
    <row r="22" spans="1:20" ht="129.94999999999999" customHeight="1" x14ac:dyDescent="0.25">
      <c r="A22" s="426"/>
      <c r="B22" s="413"/>
      <c r="C22" s="413"/>
      <c r="D22" s="426"/>
      <c r="E22" s="443"/>
      <c r="F22" s="601"/>
      <c r="G22" s="601"/>
      <c r="H22" s="601"/>
      <c r="J22" s="326" t="s">
        <v>201</v>
      </c>
    </row>
    <row r="23" spans="1:20" ht="129.94999999999999" customHeight="1" x14ac:dyDescent="0.25">
      <c r="A23" s="424"/>
      <c r="B23" s="414"/>
      <c r="C23" s="414"/>
      <c r="D23" s="424"/>
      <c r="E23" s="441"/>
      <c r="F23" s="618"/>
      <c r="G23" s="618"/>
      <c r="H23" s="618"/>
      <c r="J23" s="326" t="s">
        <v>201</v>
      </c>
    </row>
  </sheetData>
  <mergeCells count="27">
    <mergeCell ref="F23:H23"/>
    <mergeCell ref="F21:H21"/>
    <mergeCell ref="F22:H22"/>
    <mergeCell ref="F15:H15"/>
    <mergeCell ref="F16:H16"/>
    <mergeCell ref="F17:H17"/>
    <mergeCell ref="F18:H18"/>
    <mergeCell ref="F19:H19"/>
    <mergeCell ref="F20:H20"/>
    <mergeCell ref="F13:H13"/>
    <mergeCell ref="F14:H14"/>
    <mergeCell ref="H3:H4"/>
    <mergeCell ref="D9:E9"/>
    <mergeCell ref="F9:H9"/>
    <mergeCell ref="F10:H10"/>
    <mergeCell ref="F11:H11"/>
    <mergeCell ref="F12:H12"/>
    <mergeCell ref="A1:C4"/>
    <mergeCell ref="D1:E1"/>
    <mergeCell ref="F1:F2"/>
    <mergeCell ref="G1:G2"/>
    <mergeCell ref="H1:H2"/>
    <mergeCell ref="D2:E2"/>
    <mergeCell ref="D3:D4"/>
    <mergeCell ref="E3:E4"/>
    <mergeCell ref="F3:F4"/>
    <mergeCell ref="G3:G4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92D050"/>
  </sheetPr>
  <dimension ref="A1:J18"/>
  <sheetViews>
    <sheetView view="pageBreakPreview" zoomScale="85" zoomScaleNormal="70" zoomScaleSheetLayoutView="85" zoomScalePageLayoutView="40" workbookViewId="0">
      <selection activeCell="M17" sqref="M17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6" width="10.85546875" style="92" customWidth="1"/>
    <col min="7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0" ht="17.45" customHeight="1" x14ac:dyDescent="0.25">
      <c r="A1" s="611"/>
      <c r="B1" s="611"/>
      <c r="C1" s="611"/>
      <c r="D1" s="612" t="str">
        <f>_КВ6</f>
        <v>КВ-6 Центр</v>
      </c>
      <c r="E1" s="613"/>
      <c r="F1" s="605" t="s">
        <v>464</v>
      </c>
      <c r="G1" s="607">
        <f>_КВ7Расстояние</f>
        <v>12.96</v>
      </c>
      <c r="H1" s="605" t="s">
        <v>205</v>
      </c>
      <c r="J1" s="162" t="s">
        <v>206</v>
      </c>
    </row>
    <row r="2" spans="1:10" ht="17.45" customHeight="1" x14ac:dyDescent="0.25">
      <c r="A2" s="611"/>
      <c r="B2" s="611"/>
      <c r="C2" s="611"/>
      <c r="D2" s="614" t="str">
        <f>_КВ7</f>
        <v>КВ-7 Финиш</v>
      </c>
      <c r="E2" s="615"/>
      <c r="F2" s="606"/>
      <c r="G2" s="608"/>
      <c r="H2" s="606"/>
    </row>
    <row r="3" spans="1:10" ht="17.45" customHeight="1" x14ac:dyDescent="0.25">
      <c r="A3" s="611"/>
      <c r="B3" s="611"/>
      <c r="C3" s="611"/>
      <c r="D3" s="605" t="s">
        <v>465</v>
      </c>
      <c r="E3" s="616">
        <f>_КВ7Время</f>
        <v>2.777777798473835E-2</v>
      </c>
      <c r="F3" s="605" t="s">
        <v>466</v>
      </c>
      <c r="G3" s="607">
        <f>_КВ7Скорость</f>
        <v>19.439999855160718</v>
      </c>
      <c r="H3" s="609"/>
    </row>
    <row r="4" spans="1:10" ht="17.45" customHeight="1" x14ac:dyDescent="0.25">
      <c r="A4" s="611"/>
      <c r="B4" s="611"/>
      <c r="C4" s="611"/>
      <c r="D4" s="606"/>
      <c r="E4" s="617"/>
      <c r="F4" s="606"/>
      <c r="G4" s="608"/>
      <c r="H4" s="610"/>
    </row>
    <row r="5" spans="1:10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0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0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0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0" ht="17.45" customHeight="1" x14ac:dyDescent="0.25">
      <c r="A9" s="447" t="s">
        <v>0</v>
      </c>
      <c r="B9" s="444" t="s">
        <v>463</v>
      </c>
      <c r="C9" s="445" t="s">
        <v>2</v>
      </c>
      <c r="D9" s="596" t="s">
        <v>3</v>
      </c>
      <c r="E9" s="597"/>
      <c r="F9" s="598" t="s">
        <v>4</v>
      </c>
      <c r="G9" s="599"/>
      <c r="H9" s="600"/>
    </row>
    <row r="10" spans="1:10" ht="129.94999999999999" customHeight="1" x14ac:dyDescent="0.25">
      <c r="A10" s="330"/>
      <c r="B10" s="414"/>
      <c r="C10" s="414"/>
      <c r="D10" s="424"/>
      <c r="E10" s="430"/>
      <c r="F10" s="618"/>
      <c r="G10" s="618"/>
      <c r="H10" s="619"/>
      <c r="J10" s="326" t="s">
        <v>579</v>
      </c>
    </row>
    <row r="11" spans="1:10" ht="129.94999999999999" customHeight="1" x14ac:dyDescent="0.25">
      <c r="A11" s="330"/>
      <c r="B11" s="414"/>
      <c r="C11" s="414"/>
      <c r="D11" s="424"/>
      <c r="E11" s="430"/>
      <c r="F11" s="618"/>
      <c r="G11" s="618"/>
      <c r="H11" s="619"/>
      <c r="J11" s="326" t="s">
        <v>201</v>
      </c>
    </row>
    <row r="12" spans="1:10" ht="129.94999999999999" customHeight="1" x14ac:dyDescent="0.25">
      <c r="A12" s="330"/>
      <c r="B12" s="414"/>
      <c r="C12" s="414"/>
      <c r="D12" s="424"/>
      <c r="E12" s="430"/>
      <c r="F12" s="618"/>
      <c r="G12" s="618"/>
      <c r="H12" s="619"/>
      <c r="J12" s="326" t="s">
        <v>201</v>
      </c>
    </row>
    <row r="13" spans="1:10" ht="129.94999999999999" customHeight="1" x14ac:dyDescent="0.25">
      <c r="A13" s="330"/>
      <c r="B13" s="414"/>
      <c r="C13" s="414"/>
      <c r="D13" s="424"/>
      <c r="E13" s="430"/>
      <c r="F13" s="618"/>
      <c r="G13" s="618"/>
      <c r="H13" s="619"/>
      <c r="J13" s="326" t="s">
        <v>201</v>
      </c>
    </row>
    <row r="14" spans="1:10" ht="129.94999999999999" customHeight="1" x14ac:dyDescent="0.25">
      <c r="A14" s="331"/>
      <c r="B14" s="415"/>
      <c r="C14" s="415"/>
      <c r="D14" s="425"/>
      <c r="E14" s="431"/>
      <c r="F14" s="620"/>
      <c r="G14" s="620"/>
      <c r="H14" s="621"/>
      <c r="J14" s="326" t="s">
        <v>201</v>
      </c>
    </row>
    <row r="15" spans="1:10" s="492" customFormat="1" ht="129.94999999999999" customHeight="1" x14ac:dyDescent="0.25">
      <c r="A15" s="495"/>
      <c r="B15" s="496">
        <v>3.23</v>
      </c>
      <c r="C15" s="496"/>
      <c r="D15" s="497"/>
      <c r="E15" s="506"/>
      <c r="F15" s="635" t="str">
        <f>J15</f>
        <v>скр, ВКП-1 Воровского</v>
      </c>
      <c r="G15" s="635"/>
      <c r="H15" s="636"/>
      <c r="J15" s="493" t="s">
        <v>777</v>
      </c>
    </row>
    <row r="16" spans="1:10" s="492" customFormat="1" ht="129.94999999999999" customHeight="1" x14ac:dyDescent="0.25">
      <c r="A16" s="495"/>
      <c r="B16" s="496">
        <v>10.42</v>
      </c>
      <c r="C16" s="496"/>
      <c r="D16" s="497"/>
      <c r="E16" s="506"/>
      <c r="F16" s="635" t="str">
        <f>J16</f>
        <v>скр, ВКП-2 Ипподром</v>
      </c>
      <c r="G16" s="635"/>
      <c r="H16" s="636"/>
      <c r="J16" s="493" t="s">
        <v>778</v>
      </c>
    </row>
    <row r="17" spans="1:10" ht="260.10000000000002" customHeight="1" x14ac:dyDescent="0.25">
      <c r="A17" s="327">
        <f>'стр 22'!J25+1</f>
        <v>103</v>
      </c>
      <c r="B17" s="412">
        <v>12.96</v>
      </c>
      <c r="C17" s="490">
        <v>0</v>
      </c>
      <c r="D17" s="422"/>
      <c r="E17" s="428"/>
      <c r="F17" s="578"/>
      <c r="G17" s="578"/>
      <c r="H17" s="579"/>
      <c r="J17" s="416" t="s">
        <v>697</v>
      </c>
    </row>
    <row r="18" spans="1:10" ht="129.94999999999999" customHeight="1" x14ac:dyDescent="0.25">
      <c r="A18" s="426"/>
      <c r="B18" s="413"/>
      <c r="C18" s="413"/>
      <c r="D18" s="426"/>
      <c r="E18" s="443"/>
      <c r="F18" s="601"/>
      <c r="G18" s="601"/>
      <c r="H18" s="601"/>
      <c r="J18" s="326" t="s">
        <v>201</v>
      </c>
    </row>
  </sheetData>
  <mergeCells count="22">
    <mergeCell ref="F18:H18"/>
    <mergeCell ref="F15:H15"/>
    <mergeCell ref="F11:H11"/>
    <mergeCell ref="F12:H12"/>
    <mergeCell ref="F16:H16"/>
    <mergeCell ref="F14:H14"/>
    <mergeCell ref="F17:H17"/>
    <mergeCell ref="F13:H13"/>
    <mergeCell ref="D9:E9"/>
    <mergeCell ref="F9:H9"/>
    <mergeCell ref="F10:H10"/>
    <mergeCell ref="A1:C4"/>
    <mergeCell ref="D1:E1"/>
    <mergeCell ref="F1:F2"/>
    <mergeCell ref="G1:G2"/>
    <mergeCell ref="H1:H2"/>
    <mergeCell ref="D2:E2"/>
    <mergeCell ref="D3:D4"/>
    <mergeCell ref="E3:E4"/>
    <mergeCell ref="F3:F4"/>
    <mergeCell ref="G3:G4"/>
    <mergeCell ref="H3:H4"/>
  </mergeCells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99"/>
  </sheetPr>
  <dimension ref="A1:J189"/>
  <sheetViews>
    <sheetView view="pageBreakPreview" topLeftCell="A2" zoomScale="90" zoomScaleNormal="100" zoomScaleSheetLayoutView="90" zoomScalePageLayoutView="40" workbookViewId="0">
      <selection activeCell="L12" sqref="L12"/>
    </sheetView>
  </sheetViews>
  <sheetFormatPr defaultRowHeight="15" x14ac:dyDescent="0.25"/>
  <cols>
    <col min="1" max="1" width="10.7109375" style="91" customWidth="1"/>
    <col min="2" max="2" width="10.7109375" style="92" customWidth="1"/>
    <col min="3" max="3" width="8.7109375" style="92" customWidth="1"/>
    <col min="4" max="4" width="8.7109375" style="91" customWidth="1"/>
    <col min="5" max="5" width="17.140625" style="92" customWidth="1"/>
    <col min="6" max="6" width="8.7109375" style="92" customWidth="1"/>
    <col min="7" max="7" width="9.7109375" style="92" customWidth="1"/>
    <col min="8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0" ht="17.45" customHeight="1" x14ac:dyDescent="0.25">
      <c r="A1" s="690" t="s">
        <v>200</v>
      </c>
      <c r="B1" s="691"/>
      <c r="C1" s="90" t="str">
        <f>_КВ2</f>
        <v>КВ-2 Духовщина Вход</v>
      </c>
      <c r="D1" s="89"/>
      <c r="E1" s="89"/>
      <c r="F1" s="694" t="s">
        <v>84</v>
      </c>
      <c r="G1" s="696">
        <f>_КВ3Расстояние</f>
        <v>21.84</v>
      </c>
      <c r="H1" s="698" t="s">
        <v>205</v>
      </c>
      <c r="J1" s="162" t="s">
        <v>206</v>
      </c>
    </row>
    <row r="2" spans="1:10" ht="17.45" customHeight="1" x14ac:dyDescent="0.25">
      <c r="A2" s="692"/>
      <c r="B2" s="693"/>
      <c r="C2" s="90" t="str">
        <f>_КВ3</f>
        <v>КВ-3 Духовщина Выход</v>
      </c>
      <c r="D2" s="89"/>
      <c r="E2" s="89"/>
      <c r="F2" s="695"/>
      <c r="G2" s="697"/>
      <c r="H2" s="699"/>
    </row>
    <row r="3" spans="1:10" ht="17.45" customHeight="1" x14ac:dyDescent="0.25">
      <c r="A3" s="700" t="s">
        <v>199</v>
      </c>
      <c r="B3" s="701"/>
      <c r="C3" s="319" t="str">
        <f>getMpWoName(_ДС2)</f>
        <v>ДС-2 РДС</v>
      </c>
      <c r="D3" s="187"/>
      <c r="E3" s="187"/>
      <c r="F3" s="694" t="s">
        <v>7</v>
      </c>
      <c r="G3" s="704">
        <f>_КВ3Время</f>
        <v>2.43055559694767E-2</v>
      </c>
      <c r="H3" s="706"/>
    </row>
    <row r="4" spans="1:10" ht="17.45" customHeight="1" x14ac:dyDescent="0.25">
      <c r="A4" s="702"/>
      <c r="B4" s="703"/>
      <c r="C4" s="320" t="str">
        <f>getMpWoName(_ДС3)</f>
        <v>ДС-3 РДС</v>
      </c>
      <c r="D4" s="188"/>
      <c r="E4" s="188"/>
      <c r="F4" s="695"/>
      <c r="G4" s="705"/>
      <c r="H4" s="707"/>
    </row>
    <row r="5" spans="1:10" s="164" customFormat="1" ht="0.95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0" s="164" customFormat="1" ht="0.95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0" s="164" customFormat="1" ht="0.95" customHeight="1" x14ac:dyDescent="0.25">
      <c r="A7" s="85"/>
      <c r="B7" s="85"/>
      <c r="C7" s="85"/>
      <c r="D7" s="85"/>
      <c r="E7" s="86"/>
      <c r="F7" s="88"/>
      <c r="G7" s="88"/>
      <c r="H7" s="87"/>
      <c r="J7" s="163"/>
    </row>
    <row r="8" spans="1:10" ht="17.45" customHeight="1" x14ac:dyDescent="0.25">
      <c r="A8" s="708" t="s">
        <v>84</v>
      </c>
      <c r="B8" s="708"/>
      <c r="C8" s="709" t="s">
        <v>3</v>
      </c>
      <c r="D8" s="709"/>
      <c r="E8" s="710" t="s">
        <v>4</v>
      </c>
      <c r="F8" s="710"/>
      <c r="G8" s="710"/>
      <c r="H8" s="710" t="s">
        <v>5</v>
      </c>
    </row>
    <row r="9" spans="1:10" ht="17.45" customHeight="1" x14ac:dyDescent="0.25">
      <c r="A9" s="321" t="s">
        <v>1</v>
      </c>
      <c r="B9" s="322" t="s">
        <v>2</v>
      </c>
      <c r="C9" s="709"/>
      <c r="D9" s="709"/>
      <c r="E9" s="710"/>
      <c r="F9" s="710"/>
      <c r="G9" s="710"/>
      <c r="H9" s="710"/>
    </row>
    <row r="10" spans="1:10" ht="54.95" customHeight="1" x14ac:dyDescent="0.35">
      <c r="A10" s="643">
        <v>0</v>
      </c>
      <c r="B10" s="643">
        <v>0</v>
      </c>
      <c r="C10" s="168"/>
      <c r="D10" s="169"/>
      <c r="E10" s="650" t="str">
        <f>_КВ2</f>
        <v>КВ-2 Духовщина Вход</v>
      </c>
      <c r="F10" s="650"/>
      <c r="G10" s="650"/>
      <c r="H10" s="647">
        <f>_КВ3Расстояние-A10</f>
        <v>21.84</v>
      </c>
      <c r="J10" s="163" t="s">
        <v>279</v>
      </c>
    </row>
    <row r="11" spans="1:10" ht="54.95" customHeight="1" x14ac:dyDescent="0.25">
      <c r="A11" s="645"/>
      <c r="B11" s="645"/>
      <c r="C11" s="171" t="e">
        <f>'Сектор 1'!#REF!+1</f>
        <v>#REF!</v>
      </c>
      <c r="D11" s="170"/>
      <c r="E11" s="686" t="s">
        <v>347</v>
      </c>
      <c r="F11" s="686"/>
      <c r="G11" s="686"/>
      <c r="H11" s="648"/>
    </row>
    <row r="12" spans="1:10" ht="54.95" customHeight="1" x14ac:dyDescent="0.35">
      <c r="A12" s="643">
        <v>0.25</v>
      </c>
      <c r="B12" s="643">
        <f>A12-A10</f>
        <v>0.25</v>
      </c>
      <c r="C12" s="168"/>
      <c r="D12" s="169"/>
      <c r="E12" s="646" t="s">
        <v>318</v>
      </c>
      <c r="F12" s="646"/>
      <c r="G12" s="646"/>
      <c r="H12" s="647">
        <f>_КВ3Расстояние-A12</f>
        <v>21.59</v>
      </c>
    </row>
    <row r="13" spans="1:10" ht="54.95" customHeight="1" x14ac:dyDescent="0.25">
      <c r="A13" s="645"/>
      <c r="B13" s="645"/>
      <c r="C13" s="171" t="e">
        <f>'Легенда тип 2'!C11+1</f>
        <v>#REF!</v>
      </c>
      <c r="D13" s="170"/>
      <c r="E13" s="649"/>
      <c r="F13" s="649"/>
      <c r="G13" s="649"/>
      <c r="H13" s="648"/>
    </row>
    <row r="14" spans="1:10" ht="54.95" customHeight="1" x14ac:dyDescent="0.25">
      <c r="A14" s="643">
        <v>0.45</v>
      </c>
      <c r="B14" s="643">
        <f>A14-A12</f>
        <v>0.2</v>
      </c>
      <c r="C14" s="168"/>
      <c r="D14" s="169"/>
      <c r="E14" s="689"/>
      <c r="F14" s="689"/>
      <c r="G14" s="689"/>
      <c r="H14" s="647">
        <f>_КВ3Расстояние-A14</f>
        <v>21.39</v>
      </c>
    </row>
    <row r="15" spans="1:10" ht="54.95" customHeight="1" x14ac:dyDescent="0.25">
      <c r="A15" s="645"/>
      <c r="B15" s="645"/>
      <c r="C15" s="171" t="e">
        <f>'Легенда тип 2'!C13+1</f>
        <v>#REF!</v>
      </c>
      <c r="D15" s="170"/>
      <c r="E15" s="649"/>
      <c r="F15" s="649"/>
      <c r="G15" s="649"/>
      <c r="H15" s="648"/>
    </row>
    <row r="16" spans="1:10" ht="54.95" customHeight="1" x14ac:dyDescent="0.35">
      <c r="A16" s="643">
        <v>1.87</v>
      </c>
      <c r="B16" s="643">
        <f>A16-A14</f>
        <v>1.4200000000000002</v>
      </c>
      <c r="C16" s="168"/>
      <c r="D16" s="169"/>
      <c r="E16" s="646"/>
      <c r="F16" s="646"/>
      <c r="G16" s="646"/>
      <c r="H16" s="647">
        <f>_КВ3Расстояние-A16</f>
        <v>19.97</v>
      </c>
    </row>
    <row r="17" spans="1:10" ht="54.95" customHeight="1" x14ac:dyDescent="0.25">
      <c r="A17" s="645"/>
      <c r="B17" s="645"/>
      <c r="C17" s="171" t="e">
        <f>'Легенда тип 2'!C15+1</f>
        <v>#REF!</v>
      </c>
      <c r="D17" s="170"/>
      <c r="E17" s="649"/>
      <c r="F17" s="649"/>
      <c r="G17" s="649"/>
      <c r="H17" s="648"/>
    </row>
    <row r="18" spans="1:10" ht="54.95" customHeight="1" x14ac:dyDescent="0.35">
      <c r="A18" s="663">
        <v>6.7</v>
      </c>
      <c r="B18" s="663">
        <f>A18-A16</f>
        <v>4.83</v>
      </c>
      <c r="C18" s="168"/>
      <c r="D18" s="169"/>
      <c r="E18" s="687"/>
      <c r="F18" s="687"/>
      <c r="G18" s="687"/>
      <c r="H18" s="664">
        <f>_КВ3Расстояние-A18</f>
        <v>15.14</v>
      </c>
      <c r="J18" s="163" t="s">
        <v>218</v>
      </c>
    </row>
    <row r="19" spans="1:10" ht="54.95" customHeight="1" x14ac:dyDescent="0.25">
      <c r="A19" s="688"/>
      <c r="B19" s="688"/>
      <c r="C19" s="171" t="e">
        <f>'Легенда тип 2'!C17+1</f>
        <v>#REF!</v>
      </c>
      <c r="D19" s="170"/>
      <c r="E19" s="686" t="s">
        <v>354</v>
      </c>
      <c r="F19" s="686"/>
      <c r="G19" s="686"/>
      <c r="H19" s="648"/>
    </row>
    <row r="20" spans="1:10" ht="54.95" customHeight="1" x14ac:dyDescent="0.35">
      <c r="A20" s="663">
        <v>7.79</v>
      </c>
      <c r="B20" s="643">
        <f>A20-A18</f>
        <v>1.0899999999999999</v>
      </c>
      <c r="C20" s="168"/>
      <c r="D20" s="169"/>
      <c r="E20" s="646"/>
      <c r="F20" s="646"/>
      <c r="G20" s="646"/>
      <c r="H20" s="664">
        <f>_КВ3Расстояние-A20</f>
        <v>14.05</v>
      </c>
      <c r="J20" s="163" t="s">
        <v>277</v>
      </c>
    </row>
    <row r="21" spans="1:10" ht="54.95" customHeight="1" x14ac:dyDescent="0.25">
      <c r="A21" s="645"/>
      <c r="B21" s="688"/>
      <c r="C21" s="171" t="e">
        <f>'Легенда тип 2'!C19+1</f>
        <v>#REF!</v>
      </c>
      <c r="D21" s="170"/>
      <c r="E21" s="649"/>
      <c r="F21" s="649"/>
      <c r="G21" s="649"/>
      <c r="H21" s="648"/>
    </row>
    <row r="22" spans="1:10" ht="54.95" customHeight="1" x14ac:dyDescent="0.25">
      <c r="A22" s="663">
        <v>9.19</v>
      </c>
      <c r="B22" s="643">
        <f>A22-A20</f>
        <v>1.3999999999999995</v>
      </c>
      <c r="C22" s="168"/>
      <c r="D22" s="169"/>
      <c r="E22" s="655"/>
      <c r="F22" s="655"/>
      <c r="G22" s="655"/>
      <c r="H22" s="664">
        <f>_КВ3Расстояние-A22</f>
        <v>12.65</v>
      </c>
      <c r="J22" s="163" t="s">
        <v>277</v>
      </c>
    </row>
    <row r="23" spans="1:10" ht="54.95" customHeight="1" x14ac:dyDescent="0.25">
      <c r="A23" s="645"/>
      <c r="B23" s="645"/>
      <c r="C23" s="171" t="e">
        <f>'Легенда тип 2'!C21+1</f>
        <v>#REF!</v>
      </c>
      <c r="D23" s="170"/>
      <c r="E23" s="649"/>
      <c r="F23" s="649"/>
      <c r="G23" s="649"/>
      <c r="H23" s="648"/>
    </row>
    <row r="24" spans="1:10" ht="54.95" customHeight="1" x14ac:dyDescent="0.25">
      <c r="A24" s="663">
        <v>9.69</v>
      </c>
      <c r="B24" s="643">
        <f>A24-A22</f>
        <v>0.5</v>
      </c>
      <c r="C24" s="168"/>
      <c r="D24" s="169"/>
      <c r="E24" s="655"/>
      <c r="F24" s="655"/>
      <c r="G24" s="655"/>
      <c r="H24" s="664">
        <f>_КВ3Расстояние-A24</f>
        <v>12.15</v>
      </c>
      <c r="J24" s="163" t="s">
        <v>277</v>
      </c>
    </row>
    <row r="25" spans="1:10" ht="54.95" customHeight="1" x14ac:dyDescent="0.25">
      <c r="A25" s="645"/>
      <c r="B25" s="645"/>
      <c r="C25" s="171" t="e">
        <f>'Легенда тип 2'!C23+1</f>
        <v>#REF!</v>
      </c>
      <c r="D25" s="170"/>
      <c r="E25" s="649"/>
      <c r="F25" s="649"/>
      <c r="G25" s="649"/>
      <c r="H25" s="648"/>
    </row>
    <row r="26" spans="1:10" ht="54.95" customHeight="1" x14ac:dyDescent="0.35">
      <c r="A26" s="663">
        <v>9.9499999999999993</v>
      </c>
      <c r="B26" s="643">
        <f>A26-A24</f>
        <v>0.25999999999999979</v>
      </c>
      <c r="C26" s="168"/>
      <c r="D26" s="169"/>
      <c r="E26" s="646" t="s">
        <v>300</v>
      </c>
      <c r="F26" s="646"/>
      <c r="G26" s="646"/>
      <c r="H26" s="664">
        <f>_КВ3Расстояние-A26</f>
        <v>11.89</v>
      </c>
      <c r="J26" s="163" t="s">
        <v>277</v>
      </c>
    </row>
    <row r="27" spans="1:10" ht="54.95" customHeight="1" x14ac:dyDescent="0.25">
      <c r="A27" s="645"/>
      <c r="B27" s="645"/>
      <c r="C27" s="171" t="e">
        <f>'Легенда тип 2'!C25+1</f>
        <v>#REF!</v>
      </c>
      <c r="D27" s="170"/>
      <c r="E27" s="649"/>
      <c r="F27" s="649"/>
      <c r="G27" s="649"/>
      <c r="H27" s="648"/>
    </row>
    <row r="28" spans="1:10" ht="54.95" customHeight="1" x14ac:dyDescent="0.35">
      <c r="A28" s="663">
        <v>10.32</v>
      </c>
      <c r="B28" s="643">
        <f>A28-A26</f>
        <v>0.37000000000000099</v>
      </c>
      <c r="C28" s="168"/>
      <c r="D28" s="169"/>
      <c r="E28" s="646" t="str">
        <f>"старт"&amp;CHAR(10)&amp;_ДС2</f>
        <v>старт
ДС-2 РДС Старая Смоленская дорога</v>
      </c>
      <c r="F28" s="646"/>
      <c r="G28" s="646"/>
      <c r="H28" s="664">
        <f>_КВ3Расстояние-A28</f>
        <v>11.52</v>
      </c>
      <c r="J28" s="163" t="s">
        <v>355</v>
      </c>
    </row>
    <row r="29" spans="1:10" ht="54.95" customHeight="1" x14ac:dyDescent="0.25">
      <c r="A29" s="645"/>
      <c r="B29" s="645"/>
      <c r="C29" s="171" t="e">
        <f>'Легенда тип 2'!C27+1</f>
        <v>#REF!</v>
      </c>
      <c r="D29" s="170"/>
      <c r="E29" s="649"/>
      <c r="F29" s="649"/>
      <c r="G29" s="649"/>
      <c r="H29" s="648"/>
    </row>
    <row r="30" spans="1:10" ht="54.95" customHeight="1" x14ac:dyDescent="0.35">
      <c r="A30" s="663">
        <v>10.4</v>
      </c>
      <c r="B30" s="643">
        <f>A30-A28</f>
        <v>8.0000000000000071E-2</v>
      </c>
      <c r="C30" s="168"/>
      <c r="D30" s="169"/>
      <c r="E30" s="687" t="str">
        <f>"финиш"&amp;CHAR(10)&amp;_ДС2</f>
        <v>финиш
ДС-2 РДС Старая Смоленская дорога</v>
      </c>
      <c r="F30" s="687"/>
      <c r="G30" s="687"/>
      <c r="H30" s="664">
        <f>_КВ3Расстояние-A30</f>
        <v>11.44</v>
      </c>
      <c r="J30" s="163" t="s">
        <v>277</v>
      </c>
    </row>
    <row r="31" spans="1:10" ht="54.95" customHeight="1" x14ac:dyDescent="0.25">
      <c r="A31" s="645"/>
      <c r="B31" s="645"/>
      <c r="C31" s="171" t="e">
        <f>'Легенда тип 2'!C29+1</f>
        <v>#REF!</v>
      </c>
      <c r="D31" s="170"/>
      <c r="E31" s="686" t="s">
        <v>328</v>
      </c>
      <c r="F31" s="686"/>
      <c r="G31" s="686"/>
      <c r="H31" s="648"/>
    </row>
    <row r="32" spans="1:10" ht="54.95" customHeight="1" x14ac:dyDescent="0.35">
      <c r="A32" s="663">
        <v>10.41</v>
      </c>
      <c r="B32" s="643">
        <f>A32-A30</f>
        <v>9.9999999999997868E-3</v>
      </c>
      <c r="C32" s="168"/>
      <c r="D32" s="169"/>
      <c r="E32" s="646"/>
      <c r="F32" s="646"/>
      <c r="G32" s="646"/>
      <c r="H32" s="664">
        <f>_КВ3Расстояние-A32</f>
        <v>11.43</v>
      </c>
      <c r="J32" s="163" t="s">
        <v>277</v>
      </c>
    </row>
    <row r="33" spans="1:10" ht="54.95" customHeight="1" x14ac:dyDescent="0.25">
      <c r="A33" s="645"/>
      <c r="B33" s="645"/>
      <c r="C33" s="171" t="e">
        <f>'Легенда тип 2'!C31+1</f>
        <v>#REF!</v>
      </c>
      <c r="D33" s="170"/>
      <c r="E33" s="649"/>
      <c r="F33" s="649"/>
      <c r="G33" s="649"/>
      <c r="H33" s="648"/>
    </row>
    <row r="34" spans="1:10" ht="54.95" customHeight="1" x14ac:dyDescent="0.35">
      <c r="A34" s="643">
        <v>10.85</v>
      </c>
      <c r="B34" s="643">
        <f>A34-A32</f>
        <v>0.4399999999999995</v>
      </c>
      <c r="C34" s="168"/>
      <c r="D34" s="169"/>
      <c r="E34" s="646" t="s">
        <v>300</v>
      </c>
      <c r="F34" s="646"/>
      <c r="G34" s="646"/>
      <c r="H34" s="647">
        <f>_КВ3Расстояние-A34</f>
        <v>10.99</v>
      </c>
    </row>
    <row r="35" spans="1:10" ht="54.95" customHeight="1" x14ac:dyDescent="0.25">
      <c r="A35" s="645"/>
      <c r="B35" s="645"/>
      <c r="C35" s="171" t="e">
        <f>'Легенда тип 2'!C33+1</f>
        <v>#REF!</v>
      </c>
      <c r="D35" s="170"/>
      <c r="E35" s="649"/>
      <c r="F35" s="649"/>
      <c r="G35" s="649"/>
      <c r="H35" s="648"/>
    </row>
    <row r="36" spans="1:10" ht="54.95" customHeight="1" x14ac:dyDescent="0.35">
      <c r="A36" s="643">
        <v>11.1</v>
      </c>
      <c r="B36" s="643">
        <f>A36-A34</f>
        <v>0.25</v>
      </c>
      <c r="C36" s="168"/>
      <c r="D36" s="169"/>
      <c r="E36" s="646"/>
      <c r="F36" s="646"/>
      <c r="G36" s="646"/>
      <c r="H36" s="647">
        <f>_КВ3Расстояние-A36</f>
        <v>10.74</v>
      </c>
    </row>
    <row r="37" spans="1:10" ht="54.95" customHeight="1" x14ac:dyDescent="0.25">
      <c r="A37" s="645"/>
      <c r="B37" s="645"/>
      <c r="C37" s="171" t="e">
        <f>'Легенда тип 2'!C35+1</f>
        <v>#REF!</v>
      </c>
      <c r="D37" s="170"/>
      <c r="E37" s="649"/>
      <c r="F37" s="649"/>
      <c r="G37" s="649"/>
      <c r="H37" s="648"/>
    </row>
    <row r="38" spans="1:10" ht="54.95" customHeight="1" x14ac:dyDescent="0.35">
      <c r="A38" s="643">
        <v>13.73</v>
      </c>
      <c r="B38" s="643">
        <f>A38-A36</f>
        <v>2.6300000000000008</v>
      </c>
      <c r="C38" s="168"/>
      <c r="D38" s="169"/>
      <c r="E38" s="646"/>
      <c r="F38" s="646"/>
      <c r="G38" s="646"/>
      <c r="H38" s="647">
        <f>_КВ3Расстояние-A38</f>
        <v>8.11</v>
      </c>
    </row>
    <row r="39" spans="1:10" ht="54.95" customHeight="1" x14ac:dyDescent="0.25">
      <c r="A39" s="645"/>
      <c r="B39" s="645"/>
      <c r="C39" s="171" t="e">
        <f>'Легенда тип 2'!C37+1</f>
        <v>#REF!</v>
      </c>
      <c r="D39" s="170"/>
      <c r="E39" s="649"/>
      <c r="F39" s="649"/>
      <c r="G39" s="649"/>
      <c r="H39" s="648"/>
    </row>
    <row r="40" spans="1:10" ht="54.95" customHeight="1" x14ac:dyDescent="0.35">
      <c r="A40" s="643">
        <v>15.14</v>
      </c>
      <c r="B40" s="643">
        <f>A40-A38</f>
        <v>1.4100000000000001</v>
      </c>
      <c r="C40" s="168"/>
      <c r="D40" s="169"/>
      <c r="E40" s="687" t="s">
        <v>334</v>
      </c>
      <c r="F40" s="687"/>
      <c r="G40" s="687"/>
      <c r="H40" s="647">
        <f>_КВ3Расстояние-A40</f>
        <v>6.6999999999999993</v>
      </c>
    </row>
    <row r="41" spans="1:10" ht="54.95" customHeight="1" x14ac:dyDescent="0.25">
      <c r="A41" s="645"/>
      <c r="B41" s="645"/>
      <c r="C41" s="171" t="e">
        <f>'Легенда тип 2'!C39+1</f>
        <v>#REF!</v>
      </c>
      <c r="D41" s="170"/>
      <c r="E41" s="686" t="s">
        <v>335</v>
      </c>
      <c r="F41" s="686"/>
      <c r="G41" s="686"/>
      <c r="H41" s="648"/>
    </row>
    <row r="42" spans="1:10" ht="54.95" customHeight="1" x14ac:dyDescent="0.3">
      <c r="A42" s="643">
        <v>15.17</v>
      </c>
      <c r="B42" s="643">
        <f>A42-A40</f>
        <v>2.9999999999999361E-2</v>
      </c>
      <c r="C42" s="168"/>
      <c r="D42" s="169"/>
      <c r="E42" s="685" t="str">
        <f>"старт"&amp;CHAR(10)&amp;_ДС3</f>
        <v>старт
ДС-3 РДС Быльники</v>
      </c>
      <c r="F42" s="685"/>
      <c r="G42" s="685"/>
      <c r="H42" s="647">
        <f>_КВ3Расстояние-A42</f>
        <v>6.67</v>
      </c>
      <c r="J42" s="163" t="s">
        <v>329</v>
      </c>
    </row>
    <row r="43" spans="1:10" ht="54.95" customHeight="1" x14ac:dyDescent="0.25">
      <c r="A43" s="645"/>
      <c r="B43" s="645"/>
      <c r="C43" s="171" t="e">
        <f>'Легенда тип 2'!C41+1</f>
        <v>#REF!</v>
      </c>
      <c r="D43" s="170"/>
      <c r="E43" s="686" t="s">
        <v>127</v>
      </c>
      <c r="F43" s="686"/>
      <c r="G43" s="686"/>
      <c r="H43" s="648"/>
    </row>
    <row r="44" spans="1:10" ht="54.95" customHeight="1" x14ac:dyDescent="0.35">
      <c r="A44" s="643">
        <v>15.86</v>
      </c>
      <c r="B44" s="643">
        <f>A44-A42</f>
        <v>0.6899999999999995</v>
      </c>
      <c r="C44" s="168"/>
      <c r="D44" s="169"/>
      <c r="E44" s="665"/>
      <c r="F44" s="665"/>
      <c r="G44" s="665"/>
      <c r="H44" s="647">
        <f>_КВ3Расстояние-A44</f>
        <v>5.98</v>
      </c>
      <c r="J44" s="163" t="s">
        <v>336</v>
      </c>
    </row>
    <row r="45" spans="1:10" ht="54.95" customHeight="1" x14ac:dyDescent="0.25">
      <c r="A45" s="645"/>
      <c r="B45" s="645"/>
      <c r="C45" s="171" t="e">
        <f>'Легенда тип 2'!C43+1</f>
        <v>#REF!</v>
      </c>
      <c r="D45" s="170"/>
      <c r="E45" s="666" t="s">
        <v>299</v>
      </c>
      <c r="F45" s="666"/>
      <c r="G45" s="666"/>
      <c r="H45" s="648"/>
    </row>
    <row r="46" spans="1:10" ht="54.95" customHeight="1" x14ac:dyDescent="0.35">
      <c r="A46" s="643">
        <v>16.41</v>
      </c>
      <c r="B46" s="643">
        <f>A46-A44</f>
        <v>0.55000000000000071</v>
      </c>
      <c r="C46" s="168"/>
      <c r="D46" s="169"/>
      <c r="E46" s="684" t="s">
        <v>344</v>
      </c>
      <c r="F46" s="684"/>
      <c r="G46" s="684"/>
      <c r="H46" s="647">
        <f>_КВ3Расстояние-A46</f>
        <v>5.43</v>
      </c>
    </row>
    <row r="47" spans="1:10" ht="54.95" customHeight="1" x14ac:dyDescent="0.25">
      <c r="A47" s="645"/>
      <c r="B47" s="645"/>
      <c r="C47" s="171" t="e">
        <f>'Легенда тип 2'!C45+1</f>
        <v>#REF!</v>
      </c>
      <c r="D47" s="170"/>
      <c r="E47" s="649"/>
      <c r="F47" s="649"/>
      <c r="G47" s="649"/>
      <c r="H47" s="648"/>
    </row>
    <row r="48" spans="1:10" ht="54.95" hidden="1" customHeight="1" x14ac:dyDescent="0.35">
      <c r="A48" s="667">
        <v>16.53</v>
      </c>
      <c r="B48" s="667"/>
      <c r="C48" s="165"/>
      <c r="D48" s="166"/>
      <c r="E48" s="659"/>
      <c r="F48" s="659"/>
      <c r="G48" s="659"/>
      <c r="H48" s="669"/>
      <c r="J48" s="163" t="s">
        <v>378</v>
      </c>
    </row>
    <row r="49" spans="1:10" ht="54.95" hidden="1" customHeight="1" x14ac:dyDescent="0.25">
      <c r="A49" s="668"/>
      <c r="B49" s="668"/>
      <c r="C49" s="172"/>
      <c r="D49" s="167"/>
      <c r="E49" s="662"/>
      <c r="F49" s="662"/>
      <c r="G49" s="662"/>
      <c r="H49" s="670"/>
    </row>
    <row r="50" spans="1:10" ht="54.95" hidden="1" customHeight="1" x14ac:dyDescent="0.35">
      <c r="A50" s="667">
        <v>19.62</v>
      </c>
      <c r="B50" s="667"/>
      <c r="C50" s="165"/>
      <c r="D50" s="166"/>
      <c r="E50" s="659"/>
      <c r="F50" s="659"/>
      <c r="G50" s="659"/>
      <c r="H50" s="669"/>
      <c r="J50" s="163" t="s">
        <v>304</v>
      </c>
    </row>
    <row r="51" spans="1:10" ht="54.95" hidden="1" customHeight="1" x14ac:dyDescent="0.25">
      <c r="A51" s="668"/>
      <c r="B51" s="668"/>
      <c r="C51" s="172"/>
      <c r="D51" s="167"/>
      <c r="E51" s="662"/>
      <c r="F51" s="662"/>
      <c r="G51" s="662"/>
      <c r="H51" s="670"/>
    </row>
    <row r="52" spans="1:10" ht="54.95" customHeight="1" x14ac:dyDescent="0.35">
      <c r="A52" s="680"/>
      <c r="B52" s="681"/>
      <c r="C52" s="229"/>
      <c r="D52" s="230"/>
      <c r="E52" s="682"/>
      <c r="F52" s="682"/>
      <c r="G52" s="682"/>
      <c r="H52" s="683"/>
      <c r="J52" s="163" t="s">
        <v>201</v>
      </c>
    </row>
    <row r="53" spans="1:10" ht="54.95" customHeight="1" x14ac:dyDescent="0.25">
      <c r="A53" s="673"/>
      <c r="B53" s="675"/>
      <c r="C53" s="231"/>
      <c r="D53" s="232"/>
      <c r="E53" s="679"/>
      <c r="F53" s="679"/>
      <c r="G53" s="679"/>
      <c r="H53" s="678"/>
    </row>
    <row r="54" spans="1:10" ht="54.95" customHeight="1" x14ac:dyDescent="0.35">
      <c r="A54" s="672"/>
      <c r="B54" s="674"/>
      <c r="C54" s="233"/>
      <c r="D54" s="232"/>
      <c r="E54" s="676"/>
      <c r="F54" s="676"/>
      <c r="G54" s="676"/>
      <c r="H54" s="677"/>
      <c r="J54" s="163" t="s">
        <v>201</v>
      </c>
    </row>
    <row r="55" spans="1:10" ht="54.95" customHeight="1" x14ac:dyDescent="0.25">
      <c r="A55" s="673"/>
      <c r="B55" s="675"/>
      <c r="C55" s="231"/>
      <c r="D55" s="232"/>
      <c r="E55" s="679"/>
      <c r="F55" s="679"/>
      <c r="G55" s="679"/>
      <c r="H55" s="678"/>
    </row>
    <row r="56" spans="1:10" ht="54.95" customHeight="1" x14ac:dyDescent="0.35">
      <c r="A56" s="672"/>
      <c r="B56" s="674"/>
      <c r="C56" s="233"/>
      <c r="D56" s="232"/>
      <c r="E56" s="676"/>
      <c r="F56" s="676"/>
      <c r="G56" s="676"/>
      <c r="H56" s="677"/>
      <c r="J56" s="163" t="s">
        <v>201</v>
      </c>
    </row>
    <row r="57" spans="1:10" ht="54.95" customHeight="1" x14ac:dyDescent="0.25">
      <c r="A57" s="673"/>
      <c r="B57" s="675"/>
      <c r="C57" s="231"/>
      <c r="D57" s="232"/>
      <c r="E57" s="679"/>
      <c r="F57" s="679"/>
      <c r="G57" s="679"/>
      <c r="H57" s="678"/>
    </row>
    <row r="58" spans="1:10" ht="54.95" customHeight="1" x14ac:dyDescent="0.35">
      <c r="A58" s="643">
        <v>21.6</v>
      </c>
      <c r="B58" s="663">
        <f>A58-A46</f>
        <v>5.1900000000000013</v>
      </c>
      <c r="C58" s="168"/>
      <c r="D58" s="169"/>
      <c r="E58" s="671" t="s">
        <v>303</v>
      </c>
      <c r="F58" s="671"/>
      <c r="G58" s="671"/>
      <c r="H58" s="647">
        <f>_КВ3Расстояние-A58</f>
        <v>0.23999999999999844</v>
      </c>
      <c r="J58" s="163" t="s">
        <v>337</v>
      </c>
    </row>
    <row r="59" spans="1:10" ht="54.95" customHeight="1" x14ac:dyDescent="0.25">
      <c r="A59" s="645"/>
      <c r="B59" s="645"/>
      <c r="C59" s="171" t="e">
        <f>'Легенда тип 2'!C47+1</f>
        <v>#REF!</v>
      </c>
      <c r="D59" s="170"/>
      <c r="E59" s="666" t="s">
        <v>314</v>
      </c>
      <c r="F59" s="666"/>
      <c r="G59" s="666"/>
      <c r="H59" s="648"/>
    </row>
    <row r="60" spans="1:10" ht="54.95" hidden="1" customHeight="1" x14ac:dyDescent="0.35">
      <c r="A60" s="656">
        <v>22.94</v>
      </c>
      <c r="B60" s="656"/>
      <c r="C60" s="165"/>
      <c r="D60" s="166"/>
      <c r="E60" s="659"/>
      <c r="F60" s="659"/>
      <c r="G60" s="659"/>
      <c r="H60" s="660"/>
      <c r="J60" s="163" t="s">
        <v>305</v>
      </c>
    </row>
    <row r="61" spans="1:10" ht="54.95" hidden="1" customHeight="1" x14ac:dyDescent="0.25">
      <c r="A61" s="658"/>
      <c r="B61" s="658"/>
      <c r="C61" s="172"/>
      <c r="D61" s="167"/>
      <c r="E61" s="662"/>
      <c r="F61" s="662"/>
      <c r="G61" s="662"/>
      <c r="H61" s="661"/>
    </row>
    <row r="62" spans="1:10" ht="54.95" customHeight="1" x14ac:dyDescent="0.35">
      <c r="A62" s="643">
        <v>23.33</v>
      </c>
      <c r="B62" s="643">
        <f>A62-A58</f>
        <v>1.7299999999999969</v>
      </c>
      <c r="C62" s="168"/>
      <c r="D62" s="169"/>
      <c r="E62" s="646"/>
      <c r="F62" s="646"/>
      <c r="G62" s="646"/>
      <c r="H62" s="647">
        <f>_КВ3Расстояние-A62</f>
        <v>-1.4899999999999984</v>
      </c>
    </row>
    <row r="63" spans="1:10" ht="54.95" customHeight="1" x14ac:dyDescent="0.25">
      <c r="A63" s="645"/>
      <c r="B63" s="645"/>
      <c r="C63" s="171" t="e">
        <f>'Легенда тип 2'!C59+1</f>
        <v>#REF!</v>
      </c>
      <c r="D63" s="170"/>
      <c r="E63" s="649"/>
      <c r="F63" s="649"/>
      <c r="G63" s="649"/>
      <c r="H63" s="648"/>
    </row>
    <row r="64" spans="1:10" ht="54.95" customHeight="1" x14ac:dyDescent="0.35">
      <c r="A64" s="643">
        <v>23.6</v>
      </c>
      <c r="B64" s="643">
        <f>A64-A62</f>
        <v>0.27000000000000313</v>
      </c>
      <c r="C64" s="168"/>
      <c r="D64" s="169"/>
      <c r="E64" s="646" t="s">
        <v>330</v>
      </c>
      <c r="F64" s="646"/>
      <c r="G64" s="646"/>
      <c r="H64" s="647">
        <f>_КВ3Расстояние-A64</f>
        <v>-1.7600000000000016</v>
      </c>
      <c r="J64" s="163" t="s">
        <v>331</v>
      </c>
    </row>
    <row r="65" spans="1:10" ht="54.75" customHeight="1" x14ac:dyDescent="0.25">
      <c r="A65" s="645"/>
      <c r="B65" s="645"/>
      <c r="C65" s="171" t="e">
        <f>'Легенда тип 2'!C63+1</f>
        <v>#REF!</v>
      </c>
      <c r="D65" s="170"/>
      <c r="E65" s="649"/>
      <c r="F65" s="649"/>
      <c r="G65" s="649"/>
      <c r="H65" s="648"/>
    </row>
    <row r="66" spans="1:10" ht="54.95" customHeight="1" x14ac:dyDescent="0.35">
      <c r="A66" s="643">
        <v>23.92</v>
      </c>
      <c r="B66" s="643">
        <f>A66-A64</f>
        <v>0.32000000000000028</v>
      </c>
      <c r="C66" s="168"/>
      <c r="D66" s="169"/>
      <c r="E66" s="646"/>
      <c r="F66" s="646"/>
      <c r="G66" s="646"/>
      <c r="H66" s="647">
        <f>_КВ3Расстояние-A66</f>
        <v>-2.0800000000000018</v>
      </c>
      <c r="J66" s="163" t="s">
        <v>338</v>
      </c>
    </row>
    <row r="67" spans="1:10" ht="54.95" customHeight="1" x14ac:dyDescent="0.25">
      <c r="A67" s="645"/>
      <c r="B67" s="645"/>
      <c r="C67" s="171" t="e">
        <f>'Легенда тип 2'!C65+1</f>
        <v>#REF!</v>
      </c>
      <c r="D67" s="170"/>
      <c r="E67" s="666" t="s">
        <v>314</v>
      </c>
      <c r="F67" s="666"/>
      <c r="G67" s="666"/>
      <c r="H67" s="648"/>
    </row>
    <row r="68" spans="1:10" ht="54.95" hidden="1" customHeight="1" x14ac:dyDescent="0.35">
      <c r="A68" s="656">
        <v>24.3</v>
      </c>
      <c r="B68" s="656"/>
      <c r="C68" s="165"/>
      <c r="D68" s="166"/>
      <c r="E68" s="659"/>
      <c r="F68" s="659"/>
      <c r="G68" s="659"/>
      <c r="H68" s="660"/>
      <c r="J68" s="163" t="s">
        <v>306</v>
      </c>
    </row>
    <row r="69" spans="1:10" ht="54.95" hidden="1" customHeight="1" x14ac:dyDescent="0.25">
      <c r="A69" s="658"/>
      <c r="B69" s="658"/>
      <c r="C69" s="172"/>
      <c r="D69" s="167"/>
      <c r="E69" s="662"/>
      <c r="F69" s="662"/>
      <c r="G69" s="662"/>
      <c r="H69" s="661"/>
    </row>
    <row r="70" spans="1:10" ht="54.95" customHeight="1" x14ac:dyDescent="0.35">
      <c r="A70" s="663">
        <v>24.59</v>
      </c>
      <c r="B70" s="663">
        <f>A70-A66</f>
        <v>0.66999999999999815</v>
      </c>
      <c r="C70" s="168"/>
      <c r="D70" s="169"/>
      <c r="E70" s="646"/>
      <c r="F70" s="646"/>
      <c r="G70" s="646"/>
      <c r="H70" s="664">
        <f>_КВ3Расстояние-A70</f>
        <v>-2.75</v>
      </c>
      <c r="J70" s="163" t="s">
        <v>218</v>
      </c>
    </row>
    <row r="71" spans="1:10" ht="54.95" customHeight="1" x14ac:dyDescent="0.25">
      <c r="A71" s="645"/>
      <c r="B71" s="645"/>
      <c r="C71" s="171" t="e">
        <f>'Легенда тип 2'!C67+1</f>
        <v>#REF!</v>
      </c>
      <c r="D71" s="170"/>
      <c r="E71" s="649"/>
      <c r="F71" s="649"/>
      <c r="G71" s="649"/>
      <c r="H71" s="648"/>
    </row>
    <row r="72" spans="1:10" ht="54.95" customHeight="1" x14ac:dyDescent="0.35">
      <c r="A72" s="663">
        <v>24.87</v>
      </c>
      <c r="B72" s="663">
        <f>A72-A70</f>
        <v>0.28000000000000114</v>
      </c>
      <c r="C72" s="168"/>
      <c r="D72" s="169"/>
      <c r="E72" s="646"/>
      <c r="F72" s="646"/>
      <c r="G72" s="646"/>
      <c r="H72" s="664">
        <f>_КВ3Расстояние-A72</f>
        <v>-3.0300000000000011</v>
      </c>
      <c r="J72" s="163" t="s">
        <v>218</v>
      </c>
    </row>
    <row r="73" spans="1:10" ht="54.95" customHeight="1" x14ac:dyDescent="0.25">
      <c r="A73" s="645"/>
      <c r="B73" s="645"/>
      <c r="C73" s="171" t="e">
        <f>'Легенда тип 2'!C71+1</f>
        <v>#REF!</v>
      </c>
      <c r="D73" s="170"/>
      <c r="E73" s="649"/>
      <c r="F73" s="649"/>
      <c r="G73" s="649"/>
      <c r="H73" s="648"/>
    </row>
    <row r="74" spans="1:10" ht="54.95" hidden="1" customHeight="1" x14ac:dyDescent="0.35">
      <c r="A74" s="656">
        <v>25.06</v>
      </c>
      <c r="B74" s="656"/>
      <c r="C74" s="165"/>
      <c r="D74" s="166"/>
      <c r="E74" s="659"/>
      <c r="F74" s="659"/>
      <c r="G74" s="659"/>
      <c r="H74" s="660"/>
      <c r="J74" s="163" t="s">
        <v>307</v>
      </c>
    </row>
    <row r="75" spans="1:10" ht="54.95" hidden="1" customHeight="1" x14ac:dyDescent="0.25">
      <c r="A75" s="658"/>
      <c r="B75" s="658"/>
      <c r="C75" s="172"/>
      <c r="D75" s="167"/>
      <c r="E75" s="662"/>
      <c r="F75" s="662"/>
      <c r="G75" s="662"/>
      <c r="H75" s="661"/>
    </row>
    <row r="76" spans="1:10" ht="54.95" customHeight="1" x14ac:dyDescent="0.35">
      <c r="A76" s="663">
        <v>26.21</v>
      </c>
      <c r="B76" s="663">
        <f>A76-A72</f>
        <v>1.3399999999999999</v>
      </c>
      <c r="C76" s="168"/>
      <c r="D76" s="169"/>
      <c r="E76" s="646"/>
      <c r="F76" s="646"/>
      <c r="G76" s="646"/>
      <c r="H76" s="664">
        <f>_КВ3Расстояние-A76</f>
        <v>-4.370000000000001</v>
      </c>
      <c r="J76" s="163" t="s">
        <v>218</v>
      </c>
    </row>
    <row r="77" spans="1:10" ht="54.95" customHeight="1" x14ac:dyDescent="0.25">
      <c r="A77" s="645"/>
      <c r="B77" s="645"/>
      <c r="C77" s="171" t="e">
        <f>'Легенда тип 2'!C73+1</f>
        <v>#REF!</v>
      </c>
      <c r="D77" s="170"/>
      <c r="E77" s="649"/>
      <c r="F77" s="649"/>
      <c r="G77" s="649"/>
      <c r="H77" s="648"/>
    </row>
    <row r="78" spans="1:10" ht="54.95" customHeight="1" x14ac:dyDescent="0.35">
      <c r="A78" s="663">
        <v>26.4</v>
      </c>
      <c r="B78" s="663">
        <f>A78-A76</f>
        <v>0.18999999999999773</v>
      </c>
      <c r="C78" s="168"/>
      <c r="D78" s="169"/>
      <c r="E78" s="646"/>
      <c r="F78" s="646"/>
      <c r="G78" s="646"/>
      <c r="H78" s="664">
        <f>_КВ3Расстояние-A78</f>
        <v>-4.5599999999999987</v>
      </c>
      <c r="J78" s="163" t="s">
        <v>218</v>
      </c>
    </row>
    <row r="79" spans="1:10" ht="54.95" customHeight="1" x14ac:dyDescent="0.25">
      <c r="A79" s="645"/>
      <c r="B79" s="645"/>
      <c r="C79" s="171" t="e">
        <f>'Легенда тип 2'!C77+1</f>
        <v>#REF!</v>
      </c>
      <c r="D79" s="170"/>
      <c r="E79" s="649"/>
      <c r="F79" s="649"/>
      <c r="G79" s="649"/>
      <c r="H79" s="648"/>
    </row>
    <row r="80" spans="1:10" ht="54.95" hidden="1" customHeight="1" x14ac:dyDescent="0.35">
      <c r="A80" s="667">
        <v>27.4</v>
      </c>
      <c r="B80" s="667"/>
      <c r="C80" s="165"/>
      <c r="D80" s="166"/>
      <c r="E80" s="659"/>
      <c r="F80" s="659"/>
      <c r="G80" s="659"/>
      <c r="H80" s="669"/>
      <c r="J80" s="163" t="s">
        <v>391</v>
      </c>
    </row>
    <row r="81" spans="1:10" ht="54.95" hidden="1" customHeight="1" x14ac:dyDescent="0.25">
      <c r="A81" s="668"/>
      <c r="B81" s="668"/>
      <c r="C81" s="172"/>
      <c r="D81" s="167"/>
      <c r="E81" s="662"/>
      <c r="F81" s="662"/>
      <c r="G81" s="662"/>
      <c r="H81" s="670"/>
    </row>
    <row r="82" spans="1:10" ht="54.95" hidden="1" customHeight="1" x14ac:dyDescent="0.35">
      <c r="A82" s="656">
        <v>27.450000000000003</v>
      </c>
      <c r="B82" s="656"/>
      <c r="C82" s="165"/>
      <c r="D82" s="166"/>
      <c r="E82" s="659"/>
      <c r="F82" s="659"/>
      <c r="G82" s="659"/>
      <c r="H82" s="660"/>
      <c r="J82" s="163" t="s">
        <v>308</v>
      </c>
    </row>
    <row r="83" spans="1:10" ht="54.95" hidden="1" customHeight="1" x14ac:dyDescent="0.25">
      <c r="A83" s="658"/>
      <c r="B83" s="658"/>
      <c r="C83" s="172"/>
      <c r="D83" s="167"/>
      <c r="E83" s="662"/>
      <c r="F83" s="662"/>
      <c r="G83" s="662"/>
      <c r="H83" s="661"/>
    </row>
    <row r="84" spans="1:10" ht="54.95" hidden="1" customHeight="1" x14ac:dyDescent="0.35">
      <c r="A84" s="656">
        <v>28.09</v>
      </c>
      <c r="B84" s="656"/>
      <c r="C84" s="165"/>
      <c r="D84" s="166"/>
      <c r="E84" s="659"/>
      <c r="F84" s="659"/>
      <c r="G84" s="659"/>
      <c r="H84" s="660"/>
      <c r="J84" s="163" t="s">
        <v>309</v>
      </c>
    </row>
    <row r="85" spans="1:10" ht="54.95" hidden="1" customHeight="1" x14ac:dyDescent="0.25">
      <c r="A85" s="658"/>
      <c r="B85" s="658"/>
      <c r="C85" s="172"/>
      <c r="D85" s="167"/>
      <c r="E85" s="662"/>
      <c r="F85" s="662"/>
      <c r="G85" s="662"/>
      <c r="H85" s="661"/>
    </row>
    <row r="86" spans="1:10" ht="54.95" customHeight="1" x14ac:dyDescent="0.35">
      <c r="A86" s="663">
        <v>26.71</v>
      </c>
      <c r="B86" s="663">
        <f>A86-A78</f>
        <v>0.31000000000000227</v>
      </c>
      <c r="C86" s="168"/>
      <c r="D86" s="169"/>
      <c r="E86" s="646"/>
      <c r="F86" s="646"/>
      <c r="G86" s="646"/>
      <c r="H86" s="664">
        <f>_КВ3Расстояние-A86</f>
        <v>-4.870000000000001</v>
      </c>
      <c r="J86" s="163" t="s">
        <v>218</v>
      </c>
    </row>
    <row r="87" spans="1:10" ht="54.95" customHeight="1" x14ac:dyDescent="0.25">
      <c r="A87" s="645"/>
      <c r="B87" s="645"/>
      <c r="C87" s="171" t="e">
        <f>'Легенда тип 2'!C79+1</f>
        <v>#REF!</v>
      </c>
      <c r="D87" s="170"/>
      <c r="E87" s="649"/>
      <c r="F87" s="649"/>
      <c r="G87" s="649"/>
      <c r="H87" s="648"/>
    </row>
    <row r="88" spans="1:10" ht="54.95" customHeight="1" x14ac:dyDescent="0.35">
      <c r="A88" s="663">
        <v>28.11</v>
      </c>
      <c r="B88" s="663">
        <f>A88-A86</f>
        <v>1.3999999999999986</v>
      </c>
      <c r="C88" s="168"/>
      <c r="D88" s="169"/>
      <c r="E88" s="646"/>
      <c r="F88" s="646"/>
      <c r="G88" s="646"/>
      <c r="H88" s="664">
        <f>_КВ3Расстояние-A88</f>
        <v>-6.27</v>
      </c>
      <c r="J88" s="163" t="s">
        <v>218</v>
      </c>
    </row>
    <row r="89" spans="1:10" ht="54.95" customHeight="1" x14ac:dyDescent="0.25">
      <c r="A89" s="645"/>
      <c r="B89" s="645"/>
      <c r="C89" s="171" t="e">
        <f>'Легенда тип 2'!C87+1</f>
        <v>#REF!</v>
      </c>
      <c r="D89" s="170"/>
      <c r="E89" s="649"/>
      <c r="F89" s="649"/>
      <c r="G89" s="649"/>
      <c r="H89" s="648"/>
    </row>
    <row r="90" spans="1:10" ht="54.95" hidden="1" customHeight="1" x14ac:dyDescent="0.35">
      <c r="A90" s="656">
        <v>28.25</v>
      </c>
      <c r="B90" s="656"/>
      <c r="C90" s="165"/>
      <c r="D90" s="166"/>
      <c r="E90" s="659"/>
      <c r="F90" s="659"/>
      <c r="G90" s="659"/>
      <c r="H90" s="660"/>
      <c r="J90" s="163" t="s">
        <v>308</v>
      </c>
    </row>
    <row r="91" spans="1:10" ht="54.95" hidden="1" customHeight="1" x14ac:dyDescent="0.25">
      <c r="A91" s="657"/>
      <c r="B91" s="658"/>
      <c r="C91" s="172"/>
      <c r="D91" s="167"/>
      <c r="E91" s="662"/>
      <c r="F91" s="662"/>
      <c r="G91" s="662"/>
      <c r="H91" s="661"/>
    </row>
    <row r="92" spans="1:10" ht="54.95" hidden="1" customHeight="1" x14ac:dyDescent="0.35">
      <c r="A92" s="656">
        <v>28.88</v>
      </c>
      <c r="B92" s="656"/>
      <c r="C92" s="165"/>
      <c r="D92" s="166"/>
      <c r="E92" s="659"/>
      <c r="F92" s="659"/>
      <c r="G92" s="659"/>
      <c r="H92" s="660"/>
      <c r="J92" s="163" t="s">
        <v>309</v>
      </c>
    </row>
    <row r="93" spans="1:10" ht="54.95" hidden="1" customHeight="1" x14ac:dyDescent="0.25">
      <c r="A93" s="657"/>
      <c r="B93" s="658"/>
      <c r="C93" s="172"/>
      <c r="D93" s="167"/>
      <c r="E93" s="662"/>
      <c r="F93" s="662"/>
      <c r="G93" s="662"/>
      <c r="H93" s="661"/>
    </row>
    <row r="94" spans="1:10" ht="54.95" hidden="1" customHeight="1" x14ac:dyDescent="0.35">
      <c r="A94" s="656">
        <v>31.310000000000002</v>
      </c>
      <c r="B94" s="656"/>
      <c r="C94" s="165"/>
      <c r="D94" s="166"/>
      <c r="E94" s="659"/>
      <c r="F94" s="659"/>
      <c r="G94" s="659"/>
      <c r="H94" s="660"/>
      <c r="J94" s="163" t="s">
        <v>306</v>
      </c>
    </row>
    <row r="95" spans="1:10" ht="54.95" hidden="1" customHeight="1" x14ac:dyDescent="0.25">
      <c r="A95" s="657"/>
      <c r="B95" s="658"/>
      <c r="C95" s="172"/>
      <c r="D95" s="167"/>
      <c r="E95" s="662"/>
      <c r="F95" s="662"/>
      <c r="G95" s="662"/>
      <c r="H95" s="661"/>
    </row>
    <row r="96" spans="1:10" ht="54.95" hidden="1" customHeight="1" x14ac:dyDescent="0.35">
      <c r="A96" s="656">
        <v>31.990000000000002</v>
      </c>
      <c r="B96" s="656"/>
      <c r="C96" s="165"/>
      <c r="D96" s="166"/>
      <c r="E96" s="659"/>
      <c r="F96" s="659"/>
      <c r="G96" s="659"/>
      <c r="H96" s="660"/>
      <c r="J96" s="163" t="s">
        <v>307</v>
      </c>
    </row>
    <row r="97" spans="1:10" ht="54.95" hidden="1" customHeight="1" x14ac:dyDescent="0.25">
      <c r="A97" s="657"/>
      <c r="B97" s="658"/>
      <c r="C97" s="172"/>
      <c r="D97" s="167"/>
      <c r="E97" s="662"/>
      <c r="F97" s="662"/>
      <c r="G97" s="662"/>
      <c r="H97" s="661"/>
    </row>
    <row r="98" spans="1:10" ht="54.95" hidden="1" customHeight="1" x14ac:dyDescent="0.35">
      <c r="A98" s="656">
        <v>32.4</v>
      </c>
      <c r="B98" s="656"/>
      <c r="C98" s="165"/>
      <c r="D98" s="166"/>
      <c r="E98" s="659"/>
      <c r="F98" s="659"/>
      <c r="G98" s="659"/>
      <c r="H98" s="660"/>
      <c r="J98" s="163" t="s">
        <v>305</v>
      </c>
    </row>
    <row r="99" spans="1:10" ht="54.95" hidden="1" customHeight="1" x14ac:dyDescent="0.25">
      <c r="A99" s="657"/>
      <c r="B99" s="658"/>
      <c r="C99" s="172"/>
      <c r="D99" s="167"/>
      <c r="E99" s="662"/>
      <c r="F99" s="662"/>
      <c r="G99" s="662"/>
      <c r="H99" s="661"/>
    </row>
    <row r="100" spans="1:10" ht="54.95" customHeight="1" x14ac:dyDescent="0.35">
      <c r="A100" s="663">
        <v>32.43</v>
      </c>
      <c r="B100" s="663">
        <f>A100-A88</f>
        <v>4.32</v>
      </c>
      <c r="C100" s="168"/>
      <c r="D100" s="169"/>
      <c r="E100" s="646"/>
      <c r="F100" s="646"/>
      <c r="G100" s="646"/>
      <c r="H100" s="664">
        <f>_КВ3Расстояние-A100</f>
        <v>-10.59</v>
      </c>
      <c r="J100" s="163" t="s">
        <v>218</v>
      </c>
    </row>
    <row r="101" spans="1:10" ht="54.95" customHeight="1" x14ac:dyDescent="0.25">
      <c r="A101" s="644"/>
      <c r="B101" s="645"/>
      <c r="C101" s="171" t="e">
        <f>'Легенда тип 2'!C89+1</f>
        <v>#REF!</v>
      </c>
      <c r="D101" s="170"/>
      <c r="E101" s="649"/>
      <c r="F101" s="649"/>
      <c r="G101" s="649"/>
      <c r="H101" s="648"/>
    </row>
    <row r="102" spans="1:10" ht="54.95" customHeight="1" x14ac:dyDescent="0.35">
      <c r="A102" s="663">
        <v>33.39</v>
      </c>
      <c r="B102" s="663">
        <f>A102-A100</f>
        <v>0.96000000000000085</v>
      </c>
      <c r="C102" s="168"/>
      <c r="D102" s="169"/>
      <c r="E102" s="646"/>
      <c r="F102" s="646"/>
      <c r="G102" s="646"/>
      <c r="H102" s="664">
        <f>_КВ3Расстояние-A102</f>
        <v>-11.55</v>
      </c>
      <c r="J102" s="163" t="s">
        <v>339</v>
      </c>
    </row>
    <row r="103" spans="1:10" ht="54.95" customHeight="1" x14ac:dyDescent="0.25">
      <c r="A103" s="644"/>
      <c r="B103" s="645"/>
      <c r="C103" s="171" t="e">
        <f>'Легенда тип 2'!C101+1</f>
        <v>#REF!</v>
      </c>
      <c r="D103" s="170"/>
      <c r="E103" s="649"/>
      <c r="F103" s="649"/>
      <c r="G103" s="649"/>
      <c r="H103" s="648"/>
    </row>
    <row r="104" spans="1:10" ht="54.95" customHeight="1" x14ac:dyDescent="0.35">
      <c r="A104" s="663">
        <v>35.15</v>
      </c>
      <c r="B104" s="643">
        <f>A104-A102</f>
        <v>1.759999999999998</v>
      </c>
      <c r="C104" s="168"/>
      <c r="D104" s="169"/>
      <c r="E104" s="646"/>
      <c r="F104" s="646"/>
      <c r="G104" s="646"/>
      <c r="H104" s="664">
        <f>_КВ3Расстояние-A104</f>
        <v>-13.309999999999999</v>
      </c>
      <c r="J104" s="163" t="s">
        <v>277</v>
      </c>
    </row>
    <row r="105" spans="1:10" ht="54.95" customHeight="1" x14ac:dyDescent="0.25">
      <c r="A105" s="644"/>
      <c r="B105" s="645"/>
      <c r="C105" s="171" t="e">
        <f>'Легенда тип 2'!C103+1</f>
        <v>#REF!</v>
      </c>
      <c r="D105" s="170"/>
      <c r="E105" s="649"/>
      <c r="F105" s="649"/>
      <c r="G105" s="649"/>
      <c r="H105" s="648"/>
    </row>
    <row r="106" spans="1:10" ht="54.95" customHeight="1" x14ac:dyDescent="0.35">
      <c r="A106" s="643">
        <v>35.82</v>
      </c>
      <c r="B106" s="643">
        <f>A106-A104</f>
        <v>0.67000000000000171</v>
      </c>
      <c r="C106" s="168"/>
      <c r="D106" s="169"/>
      <c r="E106" s="646"/>
      <c r="F106" s="646"/>
      <c r="G106" s="646"/>
      <c r="H106" s="647">
        <f>_КВ3Расстояние-A106</f>
        <v>-13.98</v>
      </c>
    </row>
    <row r="107" spans="1:10" ht="54.95" customHeight="1" x14ac:dyDescent="0.25">
      <c r="A107" s="644"/>
      <c r="B107" s="645"/>
      <c r="C107" s="171" t="e">
        <f>'Легенда тип 2'!C105+1</f>
        <v>#REF!</v>
      </c>
      <c r="D107" s="170"/>
      <c r="E107" s="649"/>
      <c r="F107" s="649"/>
      <c r="G107" s="649"/>
      <c r="H107" s="648"/>
    </row>
    <row r="108" spans="1:10" ht="54.95" customHeight="1" x14ac:dyDescent="0.35">
      <c r="A108" s="643">
        <v>36.659999999999997</v>
      </c>
      <c r="B108" s="643">
        <f>A108-A106</f>
        <v>0.83999999999999631</v>
      </c>
      <c r="C108" s="168"/>
      <c r="D108" s="169"/>
      <c r="E108" s="646"/>
      <c r="F108" s="646"/>
      <c r="G108" s="646"/>
      <c r="H108" s="647">
        <f>_КВ3Расстояние-A108</f>
        <v>-14.819999999999997</v>
      </c>
    </row>
    <row r="109" spans="1:10" ht="54.95" customHeight="1" x14ac:dyDescent="0.25">
      <c r="A109" s="644"/>
      <c r="B109" s="645"/>
      <c r="C109" s="171" t="e">
        <f>'Легенда тип 2'!C107+1</f>
        <v>#REF!</v>
      </c>
      <c r="D109" s="170"/>
      <c r="E109" s="649"/>
      <c r="F109" s="649"/>
      <c r="G109" s="649"/>
      <c r="H109" s="648"/>
    </row>
    <row r="110" spans="1:10" ht="54.95" hidden="1" customHeight="1" x14ac:dyDescent="0.35">
      <c r="A110" s="656">
        <v>39.659999999999997</v>
      </c>
      <c r="B110" s="656"/>
      <c r="C110" s="165"/>
      <c r="D110" s="166"/>
      <c r="E110" s="659"/>
      <c r="F110" s="659"/>
      <c r="G110" s="659"/>
      <c r="H110" s="660"/>
      <c r="J110" s="163" t="s">
        <v>305</v>
      </c>
    </row>
    <row r="111" spans="1:10" ht="54.95" hidden="1" customHeight="1" x14ac:dyDescent="0.25">
      <c r="A111" s="657"/>
      <c r="B111" s="658"/>
      <c r="C111" s="172"/>
      <c r="D111" s="167"/>
      <c r="E111" s="662"/>
      <c r="F111" s="662"/>
      <c r="G111" s="662"/>
      <c r="H111" s="661"/>
    </row>
    <row r="112" spans="1:10" ht="54.95" customHeight="1" x14ac:dyDescent="0.35">
      <c r="A112" s="643">
        <v>40.31</v>
      </c>
      <c r="B112" s="643">
        <f>A112-A108</f>
        <v>3.6500000000000057</v>
      </c>
      <c r="C112" s="168"/>
      <c r="D112" s="169"/>
      <c r="E112" s="646" t="s">
        <v>330</v>
      </c>
      <c r="F112" s="646"/>
      <c r="G112" s="646"/>
      <c r="H112" s="647">
        <f>_КВ3Расстояние-A112</f>
        <v>-18.470000000000002</v>
      </c>
      <c r="J112" s="163" t="s">
        <v>331</v>
      </c>
    </row>
    <row r="113" spans="1:10" ht="54.95" customHeight="1" x14ac:dyDescent="0.25">
      <c r="A113" s="644"/>
      <c r="B113" s="645"/>
      <c r="C113" s="171" t="e">
        <f>'Легенда тип 2'!C109+1</f>
        <v>#REF!</v>
      </c>
      <c r="D113" s="170"/>
      <c r="E113" s="649"/>
      <c r="F113" s="649"/>
      <c r="G113" s="649"/>
      <c r="H113" s="648"/>
    </row>
    <row r="114" spans="1:10" ht="54.95" customHeight="1" x14ac:dyDescent="0.35">
      <c r="A114" s="643">
        <v>40.64</v>
      </c>
      <c r="B114" s="643">
        <f>A114-A112</f>
        <v>0.32999999999999829</v>
      </c>
      <c r="C114" s="168"/>
      <c r="D114" s="169"/>
      <c r="E114" s="646"/>
      <c r="F114" s="646"/>
      <c r="G114" s="646"/>
      <c r="H114" s="647">
        <f>_КВ3Расстояние-A114</f>
        <v>-18.8</v>
      </c>
      <c r="J114" s="163" t="s">
        <v>338</v>
      </c>
    </row>
    <row r="115" spans="1:10" ht="54.95" customHeight="1" x14ac:dyDescent="0.25">
      <c r="A115" s="644"/>
      <c r="B115" s="645"/>
      <c r="C115" s="171" t="e">
        <f>'Легенда тип 2'!C113+1</f>
        <v>#REF!</v>
      </c>
      <c r="D115" s="170"/>
      <c r="E115" s="666" t="s">
        <v>314</v>
      </c>
      <c r="F115" s="666"/>
      <c r="G115" s="666"/>
      <c r="H115" s="648"/>
    </row>
    <row r="116" spans="1:10" ht="54.95" hidden="1" customHeight="1" x14ac:dyDescent="0.35">
      <c r="A116" s="656">
        <v>41.02</v>
      </c>
      <c r="B116" s="656"/>
      <c r="C116" s="165"/>
      <c r="D116" s="166"/>
      <c r="E116" s="659"/>
      <c r="F116" s="659"/>
      <c r="G116" s="659"/>
      <c r="H116" s="660"/>
      <c r="J116" s="163" t="s">
        <v>306</v>
      </c>
    </row>
    <row r="117" spans="1:10" ht="54.95" hidden="1" customHeight="1" x14ac:dyDescent="0.25">
      <c r="A117" s="657"/>
      <c r="B117" s="658"/>
      <c r="C117" s="172"/>
      <c r="D117" s="167"/>
      <c r="E117" s="662"/>
      <c r="F117" s="662"/>
      <c r="G117" s="662"/>
      <c r="H117" s="661"/>
    </row>
    <row r="118" spans="1:10" ht="54.95" hidden="1" customHeight="1" x14ac:dyDescent="0.35">
      <c r="A118" s="656">
        <v>41.78</v>
      </c>
      <c r="B118" s="656"/>
      <c r="C118" s="165"/>
      <c r="D118" s="166"/>
      <c r="E118" s="659"/>
      <c r="F118" s="659"/>
      <c r="G118" s="659"/>
      <c r="H118" s="660"/>
      <c r="J118" s="163" t="s">
        <v>307</v>
      </c>
    </row>
    <row r="119" spans="1:10" ht="54.95" hidden="1" customHeight="1" x14ac:dyDescent="0.25">
      <c r="A119" s="657"/>
      <c r="B119" s="658"/>
      <c r="C119" s="172"/>
      <c r="D119" s="167"/>
      <c r="E119" s="662"/>
      <c r="F119" s="662"/>
      <c r="G119" s="662"/>
      <c r="H119" s="661"/>
    </row>
    <row r="120" spans="1:10" ht="54.95" customHeight="1" x14ac:dyDescent="0.35">
      <c r="A120" s="663">
        <v>43.19</v>
      </c>
      <c r="B120" s="663">
        <f>A120-A114</f>
        <v>2.5499999999999972</v>
      </c>
      <c r="C120" s="168"/>
      <c r="D120" s="169"/>
      <c r="E120" s="646"/>
      <c r="F120" s="646"/>
      <c r="G120" s="646"/>
      <c r="H120" s="664">
        <f>_КВ3Расстояние-A120</f>
        <v>-21.349999999999998</v>
      </c>
      <c r="J120" s="163" t="s">
        <v>218</v>
      </c>
    </row>
    <row r="121" spans="1:10" ht="54.95" customHeight="1" x14ac:dyDescent="0.25">
      <c r="A121" s="645"/>
      <c r="B121" s="645"/>
      <c r="C121" s="171" t="e">
        <f>'Легенда тип 2'!C115+1</f>
        <v>#REF!</v>
      </c>
      <c r="D121" s="170"/>
      <c r="E121" s="649"/>
      <c r="F121" s="649"/>
      <c r="G121" s="649"/>
      <c r="H121" s="648"/>
    </row>
    <row r="122" spans="1:10" ht="54.95" hidden="1" customHeight="1" x14ac:dyDescent="0.35">
      <c r="A122" s="656">
        <v>44.12</v>
      </c>
      <c r="B122" s="656"/>
      <c r="C122" s="165"/>
      <c r="D122" s="166"/>
      <c r="E122" s="659"/>
      <c r="F122" s="659"/>
      <c r="G122" s="659"/>
      <c r="H122" s="660"/>
      <c r="J122" s="163" t="s">
        <v>390</v>
      </c>
    </row>
    <row r="123" spans="1:10" ht="54.95" hidden="1" customHeight="1" x14ac:dyDescent="0.25">
      <c r="A123" s="657"/>
      <c r="B123" s="658"/>
      <c r="C123" s="172"/>
      <c r="D123" s="167"/>
      <c r="E123" s="662"/>
      <c r="F123" s="662"/>
      <c r="G123" s="662"/>
      <c r="H123" s="661"/>
    </row>
    <row r="124" spans="1:10" ht="54.95" hidden="1" customHeight="1" x14ac:dyDescent="0.35">
      <c r="A124" s="656">
        <v>44.17</v>
      </c>
      <c r="B124" s="656"/>
      <c r="C124" s="165"/>
      <c r="D124" s="166"/>
      <c r="E124" s="659"/>
      <c r="F124" s="659"/>
      <c r="G124" s="659"/>
      <c r="H124" s="660"/>
      <c r="J124" s="163" t="s">
        <v>308</v>
      </c>
    </row>
    <row r="125" spans="1:10" ht="54.95" hidden="1" customHeight="1" x14ac:dyDescent="0.25">
      <c r="A125" s="657"/>
      <c r="B125" s="658"/>
      <c r="C125" s="172"/>
      <c r="D125" s="167"/>
      <c r="E125" s="662"/>
      <c r="F125" s="662"/>
      <c r="G125" s="662"/>
      <c r="H125" s="661"/>
    </row>
    <row r="126" spans="1:10" ht="54.95" hidden="1" customHeight="1" x14ac:dyDescent="0.35">
      <c r="A126" s="656">
        <v>44.81</v>
      </c>
      <c r="B126" s="656"/>
      <c r="C126" s="165"/>
      <c r="D126" s="166"/>
      <c r="E126" s="659"/>
      <c r="F126" s="659"/>
      <c r="G126" s="659"/>
      <c r="H126" s="660"/>
      <c r="J126" s="163" t="s">
        <v>309</v>
      </c>
    </row>
    <row r="127" spans="1:10" ht="54.95" hidden="1" customHeight="1" x14ac:dyDescent="0.25">
      <c r="A127" s="657"/>
      <c r="B127" s="658"/>
      <c r="C127" s="172"/>
      <c r="D127" s="167"/>
      <c r="E127" s="662"/>
      <c r="F127" s="662"/>
      <c r="G127" s="662"/>
      <c r="H127" s="661"/>
    </row>
    <row r="128" spans="1:10" ht="54.95" hidden="1" customHeight="1" x14ac:dyDescent="0.35">
      <c r="A128" s="656">
        <v>45.03</v>
      </c>
      <c r="B128" s="656"/>
      <c r="C128" s="165"/>
      <c r="D128" s="166"/>
      <c r="E128" s="659"/>
      <c r="F128" s="659"/>
      <c r="G128" s="659"/>
      <c r="H128" s="660"/>
      <c r="J128" s="163" t="s">
        <v>310</v>
      </c>
    </row>
    <row r="129" spans="1:10" ht="54.95" hidden="1" customHeight="1" x14ac:dyDescent="0.25">
      <c r="A129" s="657"/>
      <c r="B129" s="658"/>
      <c r="C129" s="172"/>
      <c r="D129" s="167"/>
      <c r="E129" s="662"/>
      <c r="F129" s="662"/>
      <c r="G129" s="662"/>
      <c r="H129" s="661"/>
    </row>
    <row r="130" spans="1:10" ht="54.95" hidden="1" customHeight="1" x14ac:dyDescent="0.35">
      <c r="A130" s="656">
        <v>45.7</v>
      </c>
      <c r="B130" s="656"/>
      <c r="C130" s="165"/>
      <c r="D130" s="166"/>
      <c r="E130" s="659"/>
      <c r="F130" s="659"/>
      <c r="G130" s="659"/>
      <c r="H130" s="660"/>
      <c r="J130" s="163" t="s">
        <v>311</v>
      </c>
    </row>
    <row r="131" spans="1:10" ht="54.95" hidden="1" customHeight="1" x14ac:dyDescent="0.25">
      <c r="A131" s="657"/>
      <c r="B131" s="658"/>
      <c r="C131" s="172"/>
      <c r="D131" s="167"/>
      <c r="E131" s="662"/>
      <c r="F131" s="662"/>
      <c r="G131" s="662"/>
      <c r="H131" s="661"/>
    </row>
    <row r="132" spans="1:10" ht="54.95" customHeight="1" x14ac:dyDescent="0.35">
      <c r="A132" s="663">
        <v>49.44</v>
      </c>
      <c r="B132" s="663">
        <f>A132-A120</f>
        <v>6.25</v>
      </c>
      <c r="C132" s="168"/>
      <c r="D132" s="169"/>
      <c r="E132" s="646"/>
      <c r="F132" s="646"/>
      <c r="G132" s="646"/>
      <c r="H132" s="664">
        <f>_КВ3Расстояние-A132</f>
        <v>-27.599999999999998</v>
      </c>
      <c r="J132" s="163" t="s">
        <v>218</v>
      </c>
    </row>
    <row r="133" spans="1:10" ht="54.95" customHeight="1" x14ac:dyDescent="0.25">
      <c r="A133" s="645"/>
      <c r="B133" s="645"/>
      <c r="C133" s="171" t="e">
        <f>'Легенда тип 2'!C121+1</f>
        <v>#REF!</v>
      </c>
      <c r="D133" s="170"/>
      <c r="E133" s="649"/>
      <c r="F133" s="649"/>
      <c r="G133" s="649"/>
      <c r="H133" s="648"/>
    </row>
    <row r="134" spans="1:10" ht="54.95" customHeight="1" x14ac:dyDescent="0.35">
      <c r="A134" s="663">
        <v>49.86</v>
      </c>
      <c r="B134" s="663">
        <f>A134-A132</f>
        <v>0.42000000000000171</v>
      </c>
      <c r="C134" s="168"/>
      <c r="D134" s="169"/>
      <c r="E134" s="646" t="s">
        <v>376</v>
      </c>
      <c r="F134" s="646"/>
      <c r="G134" s="646"/>
      <c r="H134" s="664">
        <f>_КВ3Расстояние-A134</f>
        <v>-28.02</v>
      </c>
      <c r="J134" s="163" t="s">
        <v>377</v>
      </c>
    </row>
    <row r="135" spans="1:10" ht="54.95" customHeight="1" x14ac:dyDescent="0.25">
      <c r="A135" s="644"/>
      <c r="B135" s="645"/>
      <c r="C135" s="171" t="e">
        <f>'Легенда тип 2'!C133+1</f>
        <v>#REF!</v>
      </c>
      <c r="D135" s="170"/>
      <c r="E135" s="649"/>
      <c r="F135" s="649"/>
      <c r="G135" s="649"/>
      <c r="H135" s="648"/>
    </row>
    <row r="136" spans="1:10" ht="54.95" customHeight="1" x14ac:dyDescent="0.35">
      <c r="A136" s="663">
        <v>50</v>
      </c>
      <c r="B136" s="663">
        <f>A136-A134</f>
        <v>0.14000000000000057</v>
      </c>
      <c r="C136" s="168"/>
      <c r="D136" s="169"/>
      <c r="E136" s="646"/>
      <c r="F136" s="646"/>
      <c r="G136" s="646"/>
      <c r="H136" s="664">
        <f>_КВ3Расстояние-A136</f>
        <v>-28.16</v>
      </c>
      <c r="J136" s="163" t="s">
        <v>218</v>
      </c>
    </row>
    <row r="137" spans="1:10" ht="54.95" customHeight="1" x14ac:dyDescent="0.25">
      <c r="A137" s="644"/>
      <c r="B137" s="645"/>
      <c r="C137" s="171" t="e">
        <f>'Легенда тип 2'!C135+1</f>
        <v>#REF!</v>
      </c>
      <c r="D137" s="170"/>
      <c r="E137" s="649"/>
      <c r="F137" s="649"/>
      <c r="G137" s="649"/>
      <c r="H137" s="648"/>
    </row>
    <row r="138" spans="1:10" ht="54.95" hidden="1" customHeight="1" x14ac:dyDescent="0.35">
      <c r="A138" s="656">
        <v>50.93</v>
      </c>
      <c r="B138" s="656"/>
      <c r="C138" s="165"/>
      <c r="D138" s="166"/>
      <c r="E138" s="659"/>
      <c r="F138" s="659"/>
      <c r="G138" s="659"/>
      <c r="H138" s="660"/>
      <c r="J138" s="163" t="s">
        <v>319</v>
      </c>
    </row>
    <row r="139" spans="1:10" ht="54.95" hidden="1" customHeight="1" x14ac:dyDescent="0.25">
      <c r="A139" s="657"/>
      <c r="B139" s="658"/>
      <c r="C139" s="172"/>
      <c r="D139" s="167"/>
      <c r="E139" s="662"/>
      <c r="F139" s="662"/>
      <c r="G139" s="662"/>
      <c r="H139" s="661"/>
    </row>
    <row r="140" spans="1:10" ht="54.95" customHeight="1" x14ac:dyDescent="0.35">
      <c r="A140" s="663">
        <v>51.11</v>
      </c>
      <c r="B140" s="663">
        <f>A140-A136</f>
        <v>1.1099999999999994</v>
      </c>
      <c r="C140" s="168"/>
      <c r="D140" s="169"/>
      <c r="E140" s="646" t="s">
        <v>333</v>
      </c>
      <c r="F140" s="646"/>
      <c r="G140" s="646"/>
      <c r="H140" s="664">
        <f>_КВ3Расстояние-A140</f>
        <v>-29.27</v>
      </c>
      <c r="J140" s="163" t="s">
        <v>218</v>
      </c>
    </row>
    <row r="141" spans="1:10" ht="54.95" customHeight="1" x14ac:dyDescent="0.25">
      <c r="A141" s="644"/>
      <c r="B141" s="645"/>
      <c r="C141" s="171" t="e">
        <f>'Легенда тип 2'!C137+1</f>
        <v>#REF!</v>
      </c>
      <c r="D141" s="170"/>
      <c r="E141" s="649"/>
      <c r="F141" s="649"/>
      <c r="G141" s="649"/>
      <c r="H141" s="648"/>
    </row>
    <row r="142" spans="1:10" ht="54.95" customHeight="1" x14ac:dyDescent="0.35">
      <c r="A142" s="663">
        <v>51.16</v>
      </c>
      <c r="B142" s="663">
        <f>A142-A140</f>
        <v>4.9999999999997158E-2</v>
      </c>
      <c r="C142" s="168"/>
      <c r="D142" s="169"/>
      <c r="E142" s="646"/>
      <c r="F142" s="646"/>
      <c r="G142" s="646"/>
      <c r="H142" s="664">
        <f>_КВ3Расстояние-A142</f>
        <v>-29.319999999999997</v>
      </c>
      <c r="J142" s="163" t="s">
        <v>218</v>
      </c>
    </row>
    <row r="143" spans="1:10" ht="54.95" customHeight="1" x14ac:dyDescent="0.25">
      <c r="A143" s="644"/>
      <c r="B143" s="645"/>
      <c r="C143" s="171" t="e">
        <f>'Легенда тип 2'!C141+1</f>
        <v>#REF!</v>
      </c>
      <c r="D143" s="170"/>
      <c r="E143" s="649"/>
      <c r="F143" s="649"/>
      <c r="G143" s="649"/>
      <c r="H143" s="648"/>
    </row>
    <row r="144" spans="1:10" ht="54.95" customHeight="1" x14ac:dyDescent="0.35">
      <c r="A144" s="663">
        <v>51.2</v>
      </c>
      <c r="B144" s="663">
        <f>A144-A142</f>
        <v>4.0000000000006253E-2</v>
      </c>
      <c r="C144" s="168"/>
      <c r="D144" s="169"/>
      <c r="E144" s="646" t="s">
        <v>312</v>
      </c>
      <c r="F144" s="646"/>
      <c r="G144" s="646"/>
      <c r="H144" s="664">
        <f>_КВ3Расстояние-A144</f>
        <v>-29.360000000000003</v>
      </c>
      <c r="J144" s="163" t="s">
        <v>313</v>
      </c>
    </row>
    <row r="145" spans="1:10" ht="54.95" customHeight="1" x14ac:dyDescent="0.25">
      <c r="A145" s="644"/>
      <c r="B145" s="645"/>
      <c r="C145" s="171" t="e">
        <f>'Легенда тип 2'!C143+1</f>
        <v>#REF!</v>
      </c>
      <c r="D145" s="170"/>
      <c r="E145" s="649"/>
      <c r="F145" s="649"/>
      <c r="G145" s="649"/>
      <c r="H145" s="648"/>
    </row>
    <row r="146" spans="1:10" ht="54.95" customHeight="1" x14ac:dyDescent="0.35">
      <c r="A146" s="663">
        <v>51.27</v>
      </c>
      <c r="B146" s="643">
        <f>A146-A144</f>
        <v>7.0000000000000284E-2</v>
      </c>
      <c r="C146" s="168"/>
      <c r="D146" s="169"/>
      <c r="E146" s="646"/>
      <c r="F146" s="646"/>
      <c r="G146" s="646"/>
      <c r="H146" s="664">
        <f>_КВ3Расстояние-A146</f>
        <v>-29.430000000000003</v>
      </c>
      <c r="J146" s="163" t="s">
        <v>277</v>
      </c>
    </row>
    <row r="147" spans="1:10" ht="54.95" customHeight="1" x14ac:dyDescent="0.25">
      <c r="A147" s="644"/>
      <c r="B147" s="645"/>
      <c r="C147" s="171" t="e">
        <f>'Легенда тип 2'!C145+1</f>
        <v>#REF!</v>
      </c>
      <c r="D147" s="170"/>
      <c r="E147" s="649"/>
      <c r="F147" s="649"/>
      <c r="G147" s="649"/>
      <c r="H147" s="648"/>
    </row>
    <row r="148" spans="1:10" ht="54.95" hidden="1" customHeight="1" x14ac:dyDescent="0.35">
      <c r="A148" s="656">
        <v>51.33</v>
      </c>
      <c r="B148" s="656"/>
      <c r="C148" s="165"/>
      <c r="D148" s="166"/>
      <c r="E148" s="659"/>
      <c r="F148" s="659"/>
      <c r="G148" s="659"/>
      <c r="H148" s="660"/>
      <c r="J148" s="163" t="s">
        <v>343</v>
      </c>
    </row>
    <row r="149" spans="1:10" ht="54.95" hidden="1" customHeight="1" x14ac:dyDescent="0.25">
      <c r="A149" s="657"/>
      <c r="B149" s="658"/>
      <c r="C149" s="172"/>
      <c r="D149" s="167"/>
      <c r="E149" s="662"/>
      <c r="F149" s="662"/>
      <c r="G149" s="662"/>
      <c r="H149" s="661"/>
    </row>
    <row r="150" spans="1:10" ht="54.95" customHeight="1" x14ac:dyDescent="0.35">
      <c r="A150" s="663">
        <v>51.38</v>
      </c>
      <c r="B150" s="663">
        <f>A150-A146</f>
        <v>0.10999999999999943</v>
      </c>
      <c r="C150" s="168"/>
      <c r="D150" s="169"/>
      <c r="E150" s="646"/>
      <c r="F150" s="646"/>
      <c r="G150" s="646"/>
      <c r="H150" s="664">
        <f>_КВ3Расстояние-A150</f>
        <v>-29.540000000000003</v>
      </c>
      <c r="J150" s="163" t="s">
        <v>218</v>
      </c>
    </row>
    <row r="151" spans="1:10" ht="54.95" customHeight="1" x14ac:dyDescent="0.25">
      <c r="A151" s="644"/>
      <c r="B151" s="645"/>
      <c r="C151" s="171" t="e">
        <f>'Легенда тип 2'!C147+1</f>
        <v>#REF!</v>
      </c>
      <c r="D151" s="170"/>
      <c r="E151" s="649"/>
      <c r="F151" s="649"/>
      <c r="G151" s="649"/>
      <c r="H151" s="648"/>
    </row>
    <row r="152" spans="1:10" ht="54.95" customHeight="1" x14ac:dyDescent="0.35">
      <c r="A152" s="643">
        <v>51.69</v>
      </c>
      <c r="B152" s="663">
        <f>A152-A150</f>
        <v>0.30999999999999517</v>
      </c>
      <c r="C152" s="168"/>
      <c r="D152" s="169"/>
      <c r="E152" s="665"/>
      <c r="F152" s="665"/>
      <c r="G152" s="665"/>
      <c r="H152" s="647">
        <f>_КВ3Расстояние-A152</f>
        <v>-29.849999999999998</v>
      </c>
      <c r="J152" s="163" t="s">
        <v>340</v>
      </c>
    </row>
    <row r="153" spans="1:10" ht="54.95" customHeight="1" x14ac:dyDescent="0.25">
      <c r="A153" s="644"/>
      <c r="B153" s="645"/>
      <c r="C153" s="171" t="e">
        <f>'Легенда тип 2'!C151+1</f>
        <v>#REF!</v>
      </c>
      <c r="D153" s="170"/>
      <c r="E153" s="666" t="s">
        <v>314</v>
      </c>
      <c r="F153" s="666"/>
      <c r="G153" s="666"/>
      <c r="H153" s="648"/>
    </row>
    <row r="154" spans="1:10" ht="54.95" customHeight="1" x14ac:dyDescent="0.35">
      <c r="A154" s="643">
        <v>53.059999999999995</v>
      </c>
      <c r="B154" s="643">
        <f>A154-A152</f>
        <v>1.3699999999999974</v>
      </c>
      <c r="C154" s="168"/>
      <c r="D154" s="169"/>
      <c r="E154" s="646"/>
      <c r="F154" s="646"/>
      <c r="G154" s="646"/>
      <c r="H154" s="647">
        <f>_КВ3Расстояние-A154</f>
        <v>-31.219999999999995</v>
      </c>
    </row>
    <row r="155" spans="1:10" ht="54.95" customHeight="1" x14ac:dyDescent="0.25">
      <c r="A155" s="644"/>
      <c r="B155" s="645"/>
      <c r="C155" s="171" t="e">
        <f>'Легенда тип 2'!C153+1</f>
        <v>#REF!</v>
      </c>
      <c r="D155" s="170"/>
      <c r="E155" s="649"/>
      <c r="F155" s="649"/>
      <c r="G155" s="649"/>
      <c r="H155" s="648"/>
    </row>
    <row r="156" spans="1:10" ht="54.95" hidden="1" customHeight="1" x14ac:dyDescent="0.35">
      <c r="A156" s="656">
        <v>57.61</v>
      </c>
      <c r="B156" s="656"/>
      <c r="C156" s="165"/>
      <c r="D156" s="166"/>
      <c r="E156" s="659"/>
      <c r="F156" s="659"/>
      <c r="G156" s="659"/>
      <c r="H156" s="660"/>
      <c r="J156" s="163" t="s">
        <v>310</v>
      </c>
    </row>
    <row r="157" spans="1:10" ht="54.95" hidden="1" customHeight="1" x14ac:dyDescent="0.25">
      <c r="A157" s="657"/>
      <c r="B157" s="658"/>
      <c r="C157" s="172"/>
      <c r="D157" s="167"/>
      <c r="E157" s="662"/>
      <c r="F157" s="662"/>
      <c r="G157" s="662"/>
      <c r="H157" s="661"/>
    </row>
    <row r="158" spans="1:10" ht="54.95" hidden="1" customHeight="1" x14ac:dyDescent="0.35">
      <c r="A158" s="656">
        <v>58.28</v>
      </c>
      <c r="B158" s="656"/>
      <c r="C158" s="165"/>
      <c r="D158" s="166"/>
      <c r="E158" s="659"/>
      <c r="F158" s="659"/>
      <c r="G158" s="659"/>
      <c r="H158" s="660"/>
      <c r="J158" s="163" t="s">
        <v>311</v>
      </c>
    </row>
    <row r="159" spans="1:10" ht="54.95" hidden="1" customHeight="1" x14ac:dyDescent="0.25">
      <c r="A159" s="657"/>
      <c r="B159" s="658"/>
      <c r="C159" s="172"/>
      <c r="D159" s="167"/>
      <c r="E159" s="662"/>
      <c r="F159" s="662"/>
      <c r="G159" s="662"/>
      <c r="H159" s="661"/>
    </row>
    <row r="160" spans="1:10" ht="54.95" hidden="1" customHeight="1" x14ac:dyDescent="0.35">
      <c r="A160" s="656">
        <v>58.51</v>
      </c>
      <c r="B160" s="656"/>
      <c r="C160" s="165"/>
      <c r="D160" s="166"/>
      <c r="E160" s="659"/>
      <c r="F160" s="659"/>
      <c r="G160" s="659"/>
      <c r="H160" s="660"/>
      <c r="J160" s="163" t="s">
        <v>308</v>
      </c>
    </row>
    <row r="161" spans="1:10" ht="54.95" hidden="1" customHeight="1" x14ac:dyDescent="0.25">
      <c r="A161" s="657"/>
      <c r="B161" s="658"/>
      <c r="C161" s="172"/>
      <c r="D161" s="167"/>
      <c r="E161" s="662"/>
      <c r="F161" s="662"/>
      <c r="G161" s="662"/>
      <c r="H161" s="661"/>
    </row>
    <row r="162" spans="1:10" ht="54.95" customHeight="1" x14ac:dyDescent="0.35">
      <c r="A162" s="643">
        <v>59.14</v>
      </c>
      <c r="B162" s="643">
        <f>A162-A154</f>
        <v>6.0800000000000054</v>
      </c>
      <c r="C162" s="168"/>
      <c r="D162" s="169"/>
      <c r="E162" s="646"/>
      <c r="F162" s="646"/>
      <c r="G162" s="646"/>
      <c r="H162" s="647">
        <f>_КВ3Расстояние-A162</f>
        <v>-37.299999999999997</v>
      </c>
      <c r="J162" s="163" t="s">
        <v>341</v>
      </c>
    </row>
    <row r="163" spans="1:10" ht="54.95" customHeight="1" x14ac:dyDescent="0.25">
      <c r="A163" s="644"/>
      <c r="B163" s="645"/>
      <c r="C163" s="171" t="e">
        <f>'Легенда тип 2'!C155+1</f>
        <v>#REF!</v>
      </c>
      <c r="D163" s="170"/>
      <c r="E163" s="649"/>
      <c r="F163" s="649"/>
      <c r="G163" s="649"/>
      <c r="H163" s="648"/>
    </row>
    <row r="164" spans="1:10" ht="54.95" customHeight="1" x14ac:dyDescent="0.35">
      <c r="A164" s="643">
        <v>60.22</v>
      </c>
      <c r="B164" s="643">
        <f>A164-A162</f>
        <v>1.0799999999999983</v>
      </c>
      <c r="C164" s="168"/>
      <c r="D164" s="169"/>
      <c r="E164" s="646"/>
      <c r="F164" s="646"/>
      <c r="G164" s="646"/>
      <c r="H164" s="647">
        <f>_КВ3Расстояние-A164</f>
        <v>-38.379999999999995</v>
      </c>
    </row>
    <row r="165" spans="1:10" ht="54.95" customHeight="1" x14ac:dyDescent="0.25">
      <c r="A165" s="644"/>
      <c r="B165" s="645"/>
      <c r="C165" s="171" t="e">
        <f>'Легенда тип 2'!C163+1</f>
        <v>#REF!</v>
      </c>
      <c r="D165" s="170"/>
      <c r="E165" s="649"/>
      <c r="F165" s="649"/>
      <c r="G165" s="649"/>
      <c r="H165" s="648"/>
    </row>
    <row r="166" spans="1:10" ht="54.95" hidden="1" customHeight="1" x14ac:dyDescent="0.35">
      <c r="A166" s="656">
        <v>60.58</v>
      </c>
      <c r="B166" s="656"/>
      <c r="C166" s="165"/>
      <c r="D166" s="166"/>
      <c r="E166" s="659" t="s">
        <v>320</v>
      </c>
      <c r="F166" s="659"/>
      <c r="G166" s="659"/>
      <c r="H166" s="660"/>
      <c r="J166" s="163" t="s">
        <v>301</v>
      </c>
    </row>
    <row r="167" spans="1:10" ht="54.95" hidden="1" customHeight="1" x14ac:dyDescent="0.25">
      <c r="A167" s="657"/>
      <c r="B167" s="658"/>
      <c r="C167" s="172"/>
      <c r="D167" s="167"/>
      <c r="E167" s="662"/>
      <c r="F167" s="662"/>
      <c r="G167" s="662"/>
      <c r="H167" s="661"/>
    </row>
    <row r="168" spans="1:10" ht="54.95" customHeight="1" x14ac:dyDescent="0.35">
      <c r="A168" s="643">
        <v>61.449999999999996</v>
      </c>
      <c r="B168" s="643">
        <f>A168-A164</f>
        <v>1.2299999999999969</v>
      </c>
      <c r="C168" s="168"/>
      <c r="D168" s="169"/>
      <c r="E168" s="646"/>
      <c r="F168" s="646"/>
      <c r="G168" s="646"/>
      <c r="H168" s="647">
        <f>_КВ3Расстояние-A168</f>
        <v>-39.61</v>
      </c>
    </row>
    <row r="169" spans="1:10" ht="54.95" customHeight="1" x14ac:dyDescent="0.25">
      <c r="A169" s="644"/>
      <c r="B169" s="645"/>
      <c r="C169" s="171" t="e">
        <f>'Легенда тип 2'!C165+1</f>
        <v>#REF!</v>
      </c>
      <c r="D169" s="170"/>
      <c r="E169" s="649"/>
      <c r="F169" s="649"/>
      <c r="G169" s="649"/>
      <c r="H169" s="648"/>
    </row>
    <row r="170" spans="1:10" ht="54.95" customHeight="1" x14ac:dyDescent="0.35">
      <c r="A170" s="643">
        <v>62.51</v>
      </c>
      <c r="B170" s="643">
        <f>A170-A168</f>
        <v>1.0600000000000023</v>
      </c>
      <c r="C170" s="168"/>
      <c r="D170" s="169"/>
      <c r="E170" s="646"/>
      <c r="F170" s="646"/>
      <c r="G170" s="646"/>
      <c r="H170" s="647">
        <f>_КВ3Расстояние-A170</f>
        <v>-40.67</v>
      </c>
    </row>
    <row r="171" spans="1:10" ht="54.95" customHeight="1" x14ac:dyDescent="0.25">
      <c r="A171" s="644"/>
      <c r="B171" s="645"/>
      <c r="C171" s="171" t="e">
        <f>'Легенда тип 2'!C169+1</f>
        <v>#REF!</v>
      </c>
      <c r="D171" s="170"/>
      <c r="E171" s="649"/>
      <c r="F171" s="649"/>
      <c r="G171" s="649"/>
      <c r="H171" s="648"/>
    </row>
    <row r="172" spans="1:10" ht="54.95" customHeight="1" x14ac:dyDescent="0.35">
      <c r="A172" s="643">
        <v>64.31</v>
      </c>
      <c r="B172" s="643">
        <f>A172-A170</f>
        <v>1.8000000000000043</v>
      </c>
      <c r="C172" s="168"/>
      <c r="D172" s="169"/>
      <c r="E172" s="646"/>
      <c r="F172" s="646"/>
      <c r="G172" s="646"/>
      <c r="H172" s="647">
        <f>_КВ3Расстояние-A172</f>
        <v>-42.47</v>
      </c>
    </row>
    <row r="173" spans="1:10" ht="54.95" customHeight="1" x14ac:dyDescent="0.25">
      <c r="A173" s="644"/>
      <c r="B173" s="645"/>
      <c r="C173" s="171" t="e">
        <f>'Легенда тип 2'!C171+1</f>
        <v>#REF!</v>
      </c>
      <c r="D173" s="170"/>
      <c r="E173" s="649"/>
      <c r="F173" s="649"/>
      <c r="G173" s="649"/>
      <c r="H173" s="648"/>
    </row>
    <row r="174" spans="1:10" ht="54.95" customHeight="1" x14ac:dyDescent="0.35">
      <c r="A174" s="643">
        <v>77.61</v>
      </c>
      <c r="B174" s="643">
        <f>A174-A172</f>
        <v>13.299999999999997</v>
      </c>
      <c r="C174" s="168"/>
      <c r="D174" s="169"/>
      <c r="E174" s="646" t="s">
        <v>349</v>
      </c>
      <c r="F174" s="646"/>
      <c r="G174" s="646"/>
      <c r="H174" s="647">
        <f>_КВ3Расстояние-A174</f>
        <v>-55.769999999999996</v>
      </c>
    </row>
    <row r="175" spans="1:10" ht="54.95" customHeight="1" x14ac:dyDescent="0.25">
      <c r="A175" s="644"/>
      <c r="B175" s="645"/>
      <c r="C175" s="171" t="e">
        <f>'Легенда тип 2'!C173+1</f>
        <v>#REF!</v>
      </c>
      <c r="D175" s="170"/>
      <c r="E175" s="649"/>
      <c r="F175" s="649"/>
      <c r="G175" s="649"/>
      <c r="H175" s="648"/>
    </row>
    <row r="176" spans="1:10" ht="54.95" customHeight="1" x14ac:dyDescent="0.25">
      <c r="A176" s="643">
        <v>78.290000000000006</v>
      </c>
      <c r="B176" s="643">
        <f>A176-A174</f>
        <v>0.68000000000000682</v>
      </c>
      <c r="C176" s="168"/>
      <c r="D176" s="169"/>
      <c r="E176" s="655"/>
      <c r="F176" s="655"/>
      <c r="G176" s="655"/>
      <c r="H176" s="647">
        <f>_КВ3Расстояние-A176</f>
        <v>-56.45</v>
      </c>
    </row>
    <row r="177" spans="1:10" ht="54.95" customHeight="1" x14ac:dyDescent="0.25">
      <c r="A177" s="644"/>
      <c r="B177" s="645"/>
      <c r="C177" s="171" t="e">
        <f>'Легенда тип 2'!C175+1</f>
        <v>#REF!</v>
      </c>
      <c r="D177" s="170"/>
      <c r="E177" s="649"/>
      <c r="F177" s="649"/>
      <c r="G177" s="649"/>
      <c r="H177" s="648"/>
    </row>
    <row r="178" spans="1:10" ht="54.95" customHeight="1" x14ac:dyDescent="0.35">
      <c r="A178" s="643">
        <v>78.55</v>
      </c>
      <c r="B178" s="643">
        <f>A178-A176</f>
        <v>0.25999999999999091</v>
      </c>
      <c r="C178" s="168"/>
      <c r="D178" s="169"/>
      <c r="E178" s="646" t="s">
        <v>300</v>
      </c>
      <c r="F178" s="646"/>
      <c r="G178" s="646"/>
      <c r="H178" s="647">
        <f>_КВ3Расстояние-A178</f>
        <v>-56.709999999999994</v>
      </c>
    </row>
    <row r="179" spans="1:10" ht="54.95" customHeight="1" x14ac:dyDescent="0.25">
      <c r="A179" s="644"/>
      <c r="B179" s="645"/>
      <c r="C179" s="171" t="e">
        <f>'Легенда тип 2'!C177+1</f>
        <v>#REF!</v>
      </c>
      <c r="D179" s="170"/>
      <c r="E179" s="649"/>
      <c r="F179" s="649"/>
      <c r="G179" s="649"/>
      <c r="H179" s="648"/>
    </row>
    <row r="180" spans="1:10" ht="54.95" customHeight="1" x14ac:dyDescent="0.35">
      <c r="A180" s="643">
        <v>78.77</v>
      </c>
      <c r="B180" s="643">
        <f>A180-A178</f>
        <v>0.21999999999999886</v>
      </c>
      <c r="C180" s="168"/>
      <c r="D180" s="169"/>
      <c r="E180" s="646"/>
      <c r="F180" s="646"/>
      <c r="G180" s="646"/>
      <c r="H180" s="647">
        <f>_КВ3Расстояние-A180</f>
        <v>-56.929999999999993</v>
      </c>
    </row>
    <row r="181" spans="1:10" ht="54.95" customHeight="1" x14ac:dyDescent="0.25">
      <c r="A181" s="644"/>
      <c r="B181" s="645"/>
      <c r="C181" s="171" t="e">
        <f>'Легенда тип 2'!C179+1</f>
        <v>#REF!</v>
      </c>
      <c r="D181" s="170"/>
      <c r="E181" s="649"/>
      <c r="F181" s="649"/>
      <c r="G181" s="649"/>
      <c r="H181" s="648"/>
    </row>
    <row r="182" spans="1:10" ht="54.95" customHeight="1" x14ac:dyDescent="0.35">
      <c r="A182" s="643">
        <v>78.8</v>
      </c>
      <c r="B182" s="643">
        <f>A182-A180</f>
        <v>3.0000000000001137E-2</v>
      </c>
      <c r="C182" s="168"/>
      <c r="D182" s="169"/>
      <c r="E182" s="650" t="str">
        <f>_КВ3</f>
        <v>КВ-3 Духовщина Выход</v>
      </c>
      <c r="F182" s="650"/>
      <c r="G182" s="650"/>
      <c r="H182" s="647">
        <f>_КВ3Расстояние-A182</f>
        <v>-56.959999999999994</v>
      </c>
      <c r="J182" s="163" t="s">
        <v>332</v>
      </c>
    </row>
    <row r="183" spans="1:10" ht="54.95" customHeight="1" x14ac:dyDescent="0.25">
      <c r="A183" s="644"/>
      <c r="B183" s="645"/>
      <c r="C183" s="171" t="e">
        <f>'Легенда тип 2'!C181+1</f>
        <v>#REF!</v>
      </c>
      <c r="D183" s="170"/>
      <c r="E183" s="651" t="s">
        <v>348</v>
      </c>
      <c r="F183" s="651"/>
      <c r="G183" s="651"/>
      <c r="H183" s="648"/>
    </row>
    <row r="184" spans="1:10" ht="110.1" customHeight="1" x14ac:dyDescent="0.25">
      <c r="A184" s="652" t="s">
        <v>342</v>
      </c>
      <c r="B184" s="653"/>
      <c r="C184" s="653"/>
      <c r="D184" s="653"/>
      <c r="E184" s="653"/>
      <c r="F184" s="653"/>
      <c r="G184" s="653"/>
      <c r="H184" s="654"/>
    </row>
    <row r="185" spans="1:10" ht="110.1" customHeight="1" x14ac:dyDescent="0.25">
      <c r="A185" s="637"/>
      <c r="B185" s="638"/>
      <c r="C185" s="638"/>
      <c r="D185" s="638"/>
      <c r="E185" s="638"/>
      <c r="F185" s="638"/>
      <c r="G185" s="638"/>
      <c r="H185" s="639"/>
    </row>
    <row r="186" spans="1:10" ht="110.1" customHeight="1" x14ac:dyDescent="0.25">
      <c r="A186" s="637"/>
      <c r="B186" s="638"/>
      <c r="C186" s="638"/>
      <c r="D186" s="638"/>
      <c r="E186" s="638"/>
      <c r="F186" s="638"/>
      <c r="G186" s="638"/>
      <c r="H186" s="639"/>
    </row>
    <row r="187" spans="1:10" ht="110.1" customHeight="1" x14ac:dyDescent="0.25">
      <c r="A187" s="637"/>
      <c r="B187" s="638"/>
      <c r="C187" s="638"/>
      <c r="D187" s="638"/>
      <c r="E187" s="638"/>
      <c r="F187" s="638"/>
      <c r="G187" s="638"/>
      <c r="H187" s="639"/>
    </row>
    <row r="188" spans="1:10" ht="110.1" customHeight="1" x14ac:dyDescent="0.25">
      <c r="A188" s="637"/>
      <c r="B188" s="638"/>
      <c r="C188" s="638"/>
      <c r="D188" s="638"/>
      <c r="E188" s="638"/>
      <c r="F188" s="638"/>
      <c r="G188" s="638"/>
      <c r="H188" s="639"/>
    </row>
    <row r="189" spans="1:10" ht="110.1" customHeight="1" x14ac:dyDescent="0.25">
      <c r="A189" s="640"/>
      <c r="B189" s="641"/>
      <c r="C189" s="641"/>
      <c r="D189" s="641"/>
      <c r="E189" s="641"/>
      <c r="F189" s="641"/>
      <c r="G189" s="641"/>
      <c r="H189" s="642"/>
    </row>
  </sheetData>
  <mergeCells count="453">
    <mergeCell ref="A1:B2"/>
    <mergeCell ref="F1:F2"/>
    <mergeCell ref="G1:G2"/>
    <mergeCell ref="H1:H2"/>
    <mergeCell ref="A3:B4"/>
    <mergeCell ref="F3:F4"/>
    <mergeCell ref="G3:G4"/>
    <mergeCell ref="H3:H4"/>
    <mergeCell ref="A8:B8"/>
    <mergeCell ref="C8:D9"/>
    <mergeCell ref="E8:G9"/>
    <mergeCell ref="H8:H9"/>
    <mergeCell ref="A10:A11"/>
    <mergeCell ref="B10:B11"/>
    <mergeCell ref="E10:G10"/>
    <mergeCell ref="H10:H11"/>
    <mergeCell ref="E11:G11"/>
    <mergeCell ref="A12:A13"/>
    <mergeCell ref="B12:B13"/>
    <mergeCell ref="E12:G12"/>
    <mergeCell ref="H12:H13"/>
    <mergeCell ref="E13:G13"/>
    <mergeCell ref="A14:A15"/>
    <mergeCell ref="B14:B15"/>
    <mergeCell ref="E14:G14"/>
    <mergeCell ref="H14:H15"/>
    <mergeCell ref="E15:G15"/>
    <mergeCell ref="A16:A17"/>
    <mergeCell ref="B16:B17"/>
    <mergeCell ref="E16:G16"/>
    <mergeCell ref="H16:H17"/>
    <mergeCell ref="E17:G17"/>
    <mergeCell ref="A18:A19"/>
    <mergeCell ref="B18:B19"/>
    <mergeCell ref="E18:G18"/>
    <mergeCell ref="H18:H19"/>
    <mergeCell ref="E19:G19"/>
    <mergeCell ref="A20:A21"/>
    <mergeCell ref="B20:B21"/>
    <mergeCell ref="E20:G20"/>
    <mergeCell ref="H20:H21"/>
    <mergeCell ref="E21:G21"/>
    <mergeCell ref="A22:A23"/>
    <mergeCell ref="B22:B23"/>
    <mergeCell ref="E22:G22"/>
    <mergeCell ref="H22:H23"/>
    <mergeCell ref="E23:G23"/>
    <mergeCell ref="A24:A25"/>
    <mergeCell ref="B24:B25"/>
    <mergeCell ref="E24:G24"/>
    <mergeCell ref="H24:H25"/>
    <mergeCell ref="E25:G25"/>
    <mergeCell ref="A26:A27"/>
    <mergeCell ref="B26:B27"/>
    <mergeCell ref="E26:G26"/>
    <mergeCell ref="H26:H27"/>
    <mergeCell ref="E27:G27"/>
    <mergeCell ref="A28:A29"/>
    <mergeCell ref="B28:B29"/>
    <mergeCell ref="E28:G28"/>
    <mergeCell ref="H28:H29"/>
    <mergeCell ref="E29:G29"/>
    <mergeCell ref="A30:A31"/>
    <mergeCell ref="B30:B31"/>
    <mergeCell ref="E30:G30"/>
    <mergeCell ref="H30:H31"/>
    <mergeCell ref="E31:G31"/>
    <mergeCell ref="A32:A33"/>
    <mergeCell ref="B32:B33"/>
    <mergeCell ref="E32:G32"/>
    <mergeCell ref="H32:H33"/>
    <mergeCell ref="E33:G33"/>
    <mergeCell ref="A34:A35"/>
    <mergeCell ref="B34:B35"/>
    <mergeCell ref="E34:G34"/>
    <mergeCell ref="H34:H35"/>
    <mergeCell ref="E35:G35"/>
    <mergeCell ref="A36:A37"/>
    <mergeCell ref="B36:B37"/>
    <mergeCell ref="E36:G36"/>
    <mergeCell ref="H36:H37"/>
    <mergeCell ref="E37:G37"/>
    <mergeCell ref="A38:A39"/>
    <mergeCell ref="B38:B39"/>
    <mergeCell ref="E38:G38"/>
    <mergeCell ref="H38:H39"/>
    <mergeCell ref="E39:G39"/>
    <mergeCell ref="A40:A41"/>
    <mergeCell ref="B40:B41"/>
    <mergeCell ref="E40:G40"/>
    <mergeCell ref="H40:H41"/>
    <mergeCell ref="E41:G41"/>
    <mergeCell ref="A42:A43"/>
    <mergeCell ref="B42:B43"/>
    <mergeCell ref="E42:G42"/>
    <mergeCell ref="H42:H43"/>
    <mergeCell ref="E43:G43"/>
    <mergeCell ref="A44:A45"/>
    <mergeCell ref="B44:B45"/>
    <mergeCell ref="E44:G44"/>
    <mergeCell ref="H44:H45"/>
    <mergeCell ref="E45:G45"/>
    <mergeCell ref="A46:A47"/>
    <mergeCell ref="B46:B47"/>
    <mergeCell ref="E46:G46"/>
    <mergeCell ref="H46:H47"/>
    <mergeCell ref="E47:G47"/>
    <mergeCell ref="A48:A49"/>
    <mergeCell ref="B48:B49"/>
    <mergeCell ref="E48:G48"/>
    <mergeCell ref="H48:H49"/>
    <mergeCell ref="E49:G49"/>
    <mergeCell ref="A50:A51"/>
    <mergeCell ref="B50:B51"/>
    <mergeCell ref="E50:G50"/>
    <mergeCell ref="H50:H51"/>
    <mergeCell ref="E51:G51"/>
    <mergeCell ref="A52:A53"/>
    <mergeCell ref="B52:B53"/>
    <mergeCell ref="E52:G52"/>
    <mergeCell ref="H52:H53"/>
    <mergeCell ref="E53:G53"/>
    <mergeCell ref="A54:A55"/>
    <mergeCell ref="B54:B55"/>
    <mergeCell ref="E54:G54"/>
    <mergeCell ref="H54:H55"/>
    <mergeCell ref="E55:G55"/>
    <mergeCell ref="A56:A57"/>
    <mergeCell ref="B56:B57"/>
    <mergeCell ref="E56:G56"/>
    <mergeCell ref="H56:H57"/>
    <mergeCell ref="E57:G57"/>
    <mergeCell ref="A58:A59"/>
    <mergeCell ref="B58:B59"/>
    <mergeCell ref="E58:G58"/>
    <mergeCell ref="H58:H59"/>
    <mergeCell ref="E59:G59"/>
    <mergeCell ref="A60:A61"/>
    <mergeCell ref="B60:B61"/>
    <mergeCell ref="E60:G60"/>
    <mergeCell ref="H60:H61"/>
    <mergeCell ref="E61:G61"/>
    <mergeCell ref="A62:A63"/>
    <mergeCell ref="B62:B63"/>
    <mergeCell ref="E62:G62"/>
    <mergeCell ref="H62:H63"/>
    <mergeCell ref="E63:G63"/>
    <mergeCell ref="A64:A65"/>
    <mergeCell ref="B64:B65"/>
    <mergeCell ref="E64:G64"/>
    <mergeCell ref="H64:H65"/>
    <mergeCell ref="E65:G65"/>
    <mergeCell ref="A66:A67"/>
    <mergeCell ref="B66:B67"/>
    <mergeCell ref="E66:G66"/>
    <mergeCell ref="H66:H67"/>
    <mergeCell ref="E67:G67"/>
    <mergeCell ref="A68:A69"/>
    <mergeCell ref="B68:B69"/>
    <mergeCell ref="E68:G68"/>
    <mergeCell ref="H68:H69"/>
    <mergeCell ref="E69:G69"/>
    <mergeCell ref="A70:A71"/>
    <mergeCell ref="B70:B71"/>
    <mergeCell ref="E70:G70"/>
    <mergeCell ref="H70:H71"/>
    <mergeCell ref="E71:G71"/>
    <mergeCell ref="A72:A73"/>
    <mergeCell ref="B72:B73"/>
    <mergeCell ref="E72:G72"/>
    <mergeCell ref="H72:H73"/>
    <mergeCell ref="E73:G73"/>
    <mergeCell ref="A74:A75"/>
    <mergeCell ref="B74:B75"/>
    <mergeCell ref="E74:G74"/>
    <mergeCell ref="H74:H75"/>
    <mergeCell ref="E75:G75"/>
    <mergeCell ref="A76:A77"/>
    <mergeCell ref="B76:B77"/>
    <mergeCell ref="E76:G76"/>
    <mergeCell ref="H76:H77"/>
    <mergeCell ref="E77:G77"/>
    <mergeCell ref="A78:A79"/>
    <mergeCell ref="B78:B79"/>
    <mergeCell ref="E78:G78"/>
    <mergeCell ref="H78:H79"/>
    <mergeCell ref="E79:G79"/>
    <mergeCell ref="A80:A81"/>
    <mergeCell ref="B80:B81"/>
    <mergeCell ref="E80:G80"/>
    <mergeCell ref="H80:H81"/>
    <mergeCell ref="E81:G81"/>
    <mergeCell ref="A82:A83"/>
    <mergeCell ref="B82:B83"/>
    <mergeCell ref="E82:G82"/>
    <mergeCell ref="H82:H83"/>
    <mergeCell ref="E83:G83"/>
    <mergeCell ref="A84:A85"/>
    <mergeCell ref="B84:B85"/>
    <mergeCell ref="E84:G84"/>
    <mergeCell ref="H84:H85"/>
    <mergeCell ref="E85:G85"/>
    <mergeCell ref="A86:A87"/>
    <mergeCell ref="B86:B87"/>
    <mergeCell ref="E86:G86"/>
    <mergeCell ref="H86:H87"/>
    <mergeCell ref="E87:G87"/>
    <mergeCell ref="A88:A89"/>
    <mergeCell ref="B88:B89"/>
    <mergeCell ref="E88:G88"/>
    <mergeCell ref="H88:H89"/>
    <mergeCell ref="E89:G89"/>
    <mergeCell ref="A90:A91"/>
    <mergeCell ref="B90:B91"/>
    <mergeCell ref="E90:G90"/>
    <mergeCell ref="H90:H91"/>
    <mergeCell ref="E91:G91"/>
    <mergeCell ref="A92:A93"/>
    <mergeCell ref="B92:B93"/>
    <mergeCell ref="E92:G92"/>
    <mergeCell ref="H92:H93"/>
    <mergeCell ref="E93:G93"/>
    <mergeCell ref="A94:A95"/>
    <mergeCell ref="B94:B95"/>
    <mergeCell ref="E94:G94"/>
    <mergeCell ref="H94:H95"/>
    <mergeCell ref="E95:G95"/>
    <mergeCell ref="A96:A97"/>
    <mergeCell ref="B96:B97"/>
    <mergeCell ref="E96:G96"/>
    <mergeCell ref="H96:H97"/>
    <mergeCell ref="E97:G97"/>
    <mergeCell ref="A98:A99"/>
    <mergeCell ref="B98:B99"/>
    <mergeCell ref="E98:G98"/>
    <mergeCell ref="H98:H99"/>
    <mergeCell ref="E99:G99"/>
    <mergeCell ref="A100:A101"/>
    <mergeCell ref="B100:B101"/>
    <mergeCell ref="E100:G100"/>
    <mergeCell ref="H100:H101"/>
    <mergeCell ref="E101:G101"/>
    <mergeCell ref="A102:A103"/>
    <mergeCell ref="B102:B103"/>
    <mergeCell ref="E102:G102"/>
    <mergeCell ref="H102:H103"/>
    <mergeCell ref="E103:G103"/>
    <mergeCell ref="A104:A105"/>
    <mergeCell ref="B104:B105"/>
    <mergeCell ref="E104:G104"/>
    <mergeCell ref="H104:H105"/>
    <mergeCell ref="E105:G105"/>
    <mergeCell ref="A106:A107"/>
    <mergeCell ref="B106:B107"/>
    <mergeCell ref="E106:G106"/>
    <mergeCell ref="H106:H107"/>
    <mergeCell ref="E107:G107"/>
    <mergeCell ref="A108:A109"/>
    <mergeCell ref="B108:B109"/>
    <mergeCell ref="E108:G108"/>
    <mergeCell ref="H108:H109"/>
    <mergeCell ref="E109:G109"/>
    <mergeCell ref="A110:A111"/>
    <mergeCell ref="B110:B111"/>
    <mergeCell ref="E110:G110"/>
    <mergeCell ref="H110:H111"/>
    <mergeCell ref="E111:G111"/>
    <mergeCell ref="A112:A113"/>
    <mergeCell ref="B112:B113"/>
    <mergeCell ref="E112:G112"/>
    <mergeCell ref="H112:H113"/>
    <mergeCell ref="E113:G113"/>
    <mergeCell ref="A114:A115"/>
    <mergeCell ref="B114:B115"/>
    <mergeCell ref="E114:G114"/>
    <mergeCell ref="H114:H115"/>
    <mergeCell ref="E115:G115"/>
    <mergeCell ref="A116:A117"/>
    <mergeCell ref="B116:B117"/>
    <mergeCell ref="E116:G116"/>
    <mergeCell ref="H116:H117"/>
    <mergeCell ref="E117:G117"/>
    <mergeCell ref="A118:A119"/>
    <mergeCell ref="B118:B119"/>
    <mergeCell ref="E118:G118"/>
    <mergeCell ref="H118:H119"/>
    <mergeCell ref="E119:G119"/>
    <mergeCell ref="A120:A121"/>
    <mergeCell ref="B120:B121"/>
    <mergeCell ref="E120:G120"/>
    <mergeCell ref="H120:H121"/>
    <mergeCell ref="E121:G121"/>
    <mergeCell ref="A122:A123"/>
    <mergeCell ref="B122:B123"/>
    <mergeCell ref="E122:G122"/>
    <mergeCell ref="H122:H123"/>
    <mergeCell ref="E123:G123"/>
    <mergeCell ref="A124:A125"/>
    <mergeCell ref="B124:B125"/>
    <mergeCell ref="E124:G124"/>
    <mergeCell ref="H124:H125"/>
    <mergeCell ref="E125:G125"/>
    <mergeCell ref="A126:A127"/>
    <mergeCell ref="B126:B127"/>
    <mergeCell ref="E126:G126"/>
    <mergeCell ref="H126:H127"/>
    <mergeCell ref="E127:G127"/>
    <mergeCell ref="A128:A129"/>
    <mergeCell ref="B128:B129"/>
    <mergeCell ref="E128:G128"/>
    <mergeCell ref="H128:H129"/>
    <mergeCell ref="E129:G129"/>
    <mergeCell ref="A130:A131"/>
    <mergeCell ref="B130:B131"/>
    <mergeCell ref="E130:G130"/>
    <mergeCell ref="H130:H131"/>
    <mergeCell ref="E131:G131"/>
    <mergeCell ref="A132:A133"/>
    <mergeCell ref="B132:B133"/>
    <mergeCell ref="E132:G132"/>
    <mergeCell ref="H132:H133"/>
    <mergeCell ref="E133:G133"/>
    <mergeCell ref="A134:A135"/>
    <mergeCell ref="B134:B135"/>
    <mergeCell ref="E134:G134"/>
    <mergeCell ref="H134:H135"/>
    <mergeCell ref="E135:G135"/>
    <mergeCell ref="A136:A137"/>
    <mergeCell ref="B136:B137"/>
    <mergeCell ref="E136:G136"/>
    <mergeCell ref="H136:H137"/>
    <mergeCell ref="E137:G137"/>
    <mergeCell ref="A138:A139"/>
    <mergeCell ref="B138:B139"/>
    <mergeCell ref="E138:G138"/>
    <mergeCell ref="H138:H139"/>
    <mergeCell ref="E139:G139"/>
    <mergeCell ref="A140:A141"/>
    <mergeCell ref="B140:B141"/>
    <mergeCell ref="E140:G140"/>
    <mergeCell ref="H140:H141"/>
    <mergeCell ref="E141:G141"/>
    <mergeCell ref="A142:A143"/>
    <mergeCell ref="B142:B143"/>
    <mergeCell ref="E142:G142"/>
    <mergeCell ref="H142:H143"/>
    <mergeCell ref="E143:G143"/>
    <mergeCell ref="A144:A145"/>
    <mergeCell ref="B144:B145"/>
    <mergeCell ref="E144:G144"/>
    <mergeCell ref="H144:H145"/>
    <mergeCell ref="E145:G145"/>
    <mergeCell ref="A146:A147"/>
    <mergeCell ref="B146:B147"/>
    <mergeCell ref="E146:G146"/>
    <mergeCell ref="H146:H147"/>
    <mergeCell ref="E147:G147"/>
    <mergeCell ref="A148:A149"/>
    <mergeCell ref="B148:B149"/>
    <mergeCell ref="E148:G148"/>
    <mergeCell ref="H148:H149"/>
    <mergeCell ref="E149:G149"/>
    <mergeCell ref="A150:A151"/>
    <mergeCell ref="B150:B151"/>
    <mergeCell ref="E150:G150"/>
    <mergeCell ref="H150:H151"/>
    <mergeCell ref="E151:G151"/>
    <mergeCell ref="A152:A153"/>
    <mergeCell ref="B152:B153"/>
    <mergeCell ref="E152:G152"/>
    <mergeCell ref="H152:H153"/>
    <mergeCell ref="E153:G153"/>
    <mergeCell ref="A154:A155"/>
    <mergeCell ref="B154:B155"/>
    <mergeCell ref="E154:G154"/>
    <mergeCell ref="H154:H155"/>
    <mergeCell ref="E155:G155"/>
    <mergeCell ref="A156:A157"/>
    <mergeCell ref="B156:B157"/>
    <mergeCell ref="E156:G156"/>
    <mergeCell ref="H156:H157"/>
    <mergeCell ref="E157:G157"/>
    <mergeCell ref="A158:A159"/>
    <mergeCell ref="B158:B159"/>
    <mergeCell ref="E158:G158"/>
    <mergeCell ref="H158:H159"/>
    <mergeCell ref="E159:G159"/>
    <mergeCell ref="A160:A161"/>
    <mergeCell ref="B160:B161"/>
    <mergeCell ref="E160:G160"/>
    <mergeCell ref="H160:H161"/>
    <mergeCell ref="E161:G161"/>
    <mergeCell ref="A162:A163"/>
    <mergeCell ref="B162:B163"/>
    <mergeCell ref="E162:G162"/>
    <mergeCell ref="H162:H163"/>
    <mergeCell ref="E163:G163"/>
    <mergeCell ref="A164:A165"/>
    <mergeCell ref="B164:B165"/>
    <mergeCell ref="E164:G164"/>
    <mergeCell ref="H164:H165"/>
    <mergeCell ref="E165:G165"/>
    <mergeCell ref="A166:A167"/>
    <mergeCell ref="B166:B167"/>
    <mergeCell ref="E166:G166"/>
    <mergeCell ref="H166:H167"/>
    <mergeCell ref="E167:G167"/>
    <mergeCell ref="A168:A169"/>
    <mergeCell ref="B168:B169"/>
    <mergeCell ref="E168:G168"/>
    <mergeCell ref="H168:H169"/>
    <mergeCell ref="E169:G169"/>
    <mergeCell ref="A170:A171"/>
    <mergeCell ref="B170:B171"/>
    <mergeCell ref="E170:G170"/>
    <mergeCell ref="H170:H171"/>
    <mergeCell ref="E171:G171"/>
    <mergeCell ref="A172:A173"/>
    <mergeCell ref="B172:B173"/>
    <mergeCell ref="E172:G172"/>
    <mergeCell ref="H172:H173"/>
    <mergeCell ref="E173:G173"/>
    <mergeCell ref="A174:A175"/>
    <mergeCell ref="B174:B175"/>
    <mergeCell ref="E174:G174"/>
    <mergeCell ref="H174:H175"/>
    <mergeCell ref="E175:G175"/>
    <mergeCell ref="A176:A177"/>
    <mergeCell ref="B176:B177"/>
    <mergeCell ref="E176:G176"/>
    <mergeCell ref="H176:H177"/>
    <mergeCell ref="E177:G177"/>
    <mergeCell ref="A178:A179"/>
    <mergeCell ref="B178:B179"/>
    <mergeCell ref="E178:G178"/>
    <mergeCell ref="H178:H179"/>
    <mergeCell ref="E179:G179"/>
    <mergeCell ref="A184:H184"/>
    <mergeCell ref="A185:H185"/>
    <mergeCell ref="A186:H186"/>
    <mergeCell ref="A187:H187"/>
    <mergeCell ref="A188:H188"/>
    <mergeCell ref="A189:H189"/>
    <mergeCell ref="A180:A181"/>
    <mergeCell ref="B180:B181"/>
    <mergeCell ref="E180:G180"/>
    <mergeCell ref="H180:H181"/>
    <mergeCell ref="E181:G181"/>
    <mergeCell ref="A182:A183"/>
    <mergeCell ref="B182:B183"/>
    <mergeCell ref="E182:G182"/>
    <mergeCell ref="H182:H183"/>
    <mergeCell ref="E183:G183"/>
  </mergeCells>
  <conditionalFormatting sqref="J182:J183 J1:J33 J42:J43 J190:J1048576">
    <cfRule type="containsText" dxfId="101" priority="90" operator="containsText" text="скр">
      <formula>NOT(ISERROR(SEARCH("скр",J1)))</formula>
    </cfRule>
  </conditionalFormatting>
  <conditionalFormatting sqref="J80:J81">
    <cfRule type="containsText" dxfId="100" priority="89" operator="containsText" text="скр">
      <formula>NOT(ISERROR(SEARCH("скр",J80)))</formula>
    </cfRule>
  </conditionalFormatting>
  <conditionalFormatting sqref="J34:J35">
    <cfRule type="containsText" dxfId="99" priority="88" operator="containsText" text="скр">
      <formula>NOT(ISERROR(SEARCH("скр",J34)))</formula>
    </cfRule>
  </conditionalFormatting>
  <conditionalFormatting sqref="J36:J37">
    <cfRule type="containsText" dxfId="98" priority="87" operator="containsText" text="скр">
      <formula>NOT(ISERROR(SEARCH("скр",J36)))</formula>
    </cfRule>
  </conditionalFormatting>
  <conditionalFormatting sqref="J44:J45">
    <cfRule type="containsText" dxfId="97" priority="86" operator="containsText" text="скр">
      <formula>NOT(ISERROR(SEARCH("скр",J44)))</formula>
    </cfRule>
  </conditionalFormatting>
  <conditionalFormatting sqref="J54:J55">
    <cfRule type="containsText" dxfId="96" priority="85" operator="containsText" text="скр">
      <formula>NOT(ISERROR(SEARCH("скр",J54)))</formula>
    </cfRule>
  </conditionalFormatting>
  <conditionalFormatting sqref="J52:J53">
    <cfRule type="containsText" dxfId="95" priority="84" operator="containsText" text="скр">
      <formula>NOT(ISERROR(SEARCH("скр",J52)))</formula>
    </cfRule>
  </conditionalFormatting>
  <conditionalFormatting sqref="J46:J47">
    <cfRule type="containsText" dxfId="94" priority="83" operator="containsText" text="скр">
      <formula>NOT(ISERROR(SEARCH("скр",J46)))</formula>
    </cfRule>
  </conditionalFormatting>
  <conditionalFormatting sqref="J56:J57">
    <cfRule type="containsText" dxfId="93" priority="82" operator="containsText" text="скр">
      <formula>NOT(ISERROR(SEARCH("скр",J56)))</formula>
    </cfRule>
  </conditionalFormatting>
  <conditionalFormatting sqref="J58:J59">
    <cfRule type="containsText" dxfId="92" priority="81" operator="containsText" text="скр">
      <formula>NOT(ISERROR(SEARCH("скр",J58)))</formula>
    </cfRule>
  </conditionalFormatting>
  <conditionalFormatting sqref="J62:J63">
    <cfRule type="containsText" dxfId="91" priority="80" operator="containsText" text="скр">
      <formula>NOT(ISERROR(SEARCH("скр",J62)))</formula>
    </cfRule>
  </conditionalFormatting>
  <conditionalFormatting sqref="J73">
    <cfRule type="containsText" dxfId="90" priority="79" operator="containsText" text="скр">
      <formula>NOT(ISERROR(SEARCH("скр",J73)))</formula>
    </cfRule>
  </conditionalFormatting>
  <conditionalFormatting sqref="J77">
    <cfRule type="containsText" dxfId="89" priority="78" operator="containsText" text="скр">
      <formula>NOT(ISERROR(SEARCH("скр",J77)))</formula>
    </cfRule>
  </conditionalFormatting>
  <conditionalFormatting sqref="J89">
    <cfRule type="containsText" dxfId="88" priority="77" operator="containsText" text="скр">
      <formula>NOT(ISERROR(SEARCH("скр",J89)))</formula>
    </cfRule>
  </conditionalFormatting>
  <conditionalFormatting sqref="J48:J49">
    <cfRule type="containsText" dxfId="87" priority="76" operator="containsText" text="скр">
      <formula>NOT(ISERROR(SEARCH("скр",J48)))</formula>
    </cfRule>
  </conditionalFormatting>
  <conditionalFormatting sqref="J51">
    <cfRule type="containsText" dxfId="86" priority="75" operator="containsText" text="скр">
      <formula>NOT(ISERROR(SEARCH("скр",J51)))</formula>
    </cfRule>
  </conditionalFormatting>
  <conditionalFormatting sqref="J50">
    <cfRule type="containsText" dxfId="85" priority="74" operator="containsText" text="скр">
      <formula>NOT(ISERROR(SEARCH("скр",J50)))</formula>
    </cfRule>
  </conditionalFormatting>
  <conditionalFormatting sqref="J72">
    <cfRule type="containsText" dxfId="84" priority="73" operator="containsText" text="скр">
      <formula>NOT(ISERROR(SEARCH("скр",J72)))</formula>
    </cfRule>
  </conditionalFormatting>
  <conditionalFormatting sqref="J76">
    <cfRule type="containsText" dxfId="83" priority="72" operator="containsText" text="скр">
      <formula>NOT(ISERROR(SEARCH("скр",J76)))</formula>
    </cfRule>
  </conditionalFormatting>
  <conditionalFormatting sqref="J88">
    <cfRule type="containsText" dxfId="82" priority="71" operator="containsText" text="скр">
      <formula>NOT(ISERROR(SEARCH("скр",J88)))</formula>
    </cfRule>
  </conditionalFormatting>
  <conditionalFormatting sqref="J60:J61">
    <cfRule type="containsText" dxfId="81" priority="70" operator="containsText" text="скр">
      <formula>NOT(ISERROR(SEARCH("скр",J60)))</formula>
    </cfRule>
  </conditionalFormatting>
  <conditionalFormatting sqref="J66:J67">
    <cfRule type="containsText" dxfId="80" priority="69" operator="containsText" text="скр">
      <formula>NOT(ISERROR(SEARCH("скр",J66)))</formula>
    </cfRule>
  </conditionalFormatting>
  <conditionalFormatting sqref="J68:J69">
    <cfRule type="containsText" dxfId="79" priority="68" operator="containsText" text="скр">
      <formula>NOT(ISERROR(SEARCH("скр",J68)))</formula>
    </cfRule>
  </conditionalFormatting>
  <conditionalFormatting sqref="J74:J75">
    <cfRule type="containsText" dxfId="78" priority="67" operator="containsText" text="скр">
      <formula>NOT(ISERROR(SEARCH("скр",J74)))</formula>
    </cfRule>
  </conditionalFormatting>
  <conditionalFormatting sqref="J82:J83">
    <cfRule type="containsText" dxfId="77" priority="66" operator="containsText" text="скр">
      <formula>NOT(ISERROR(SEARCH("скр",J82)))</formula>
    </cfRule>
  </conditionalFormatting>
  <conditionalFormatting sqref="J84:J85">
    <cfRule type="containsText" dxfId="76" priority="65" operator="containsText" text="скр">
      <formula>NOT(ISERROR(SEARCH("скр",J84)))</formula>
    </cfRule>
  </conditionalFormatting>
  <conditionalFormatting sqref="J166:J167">
    <cfRule type="containsText" dxfId="75" priority="64" operator="containsText" text="скр">
      <formula>NOT(ISERROR(SEARCH("скр",J166)))</formula>
    </cfRule>
  </conditionalFormatting>
  <conditionalFormatting sqref="J134:J135">
    <cfRule type="containsText" dxfId="74" priority="63" operator="containsText" text="скр">
      <formula>NOT(ISERROR(SEARCH("скр",J134)))</formula>
    </cfRule>
  </conditionalFormatting>
  <conditionalFormatting sqref="J137">
    <cfRule type="containsText" dxfId="73" priority="62" operator="containsText" text="скр">
      <formula>NOT(ISERROR(SEARCH("скр",J137)))</formula>
    </cfRule>
  </conditionalFormatting>
  <conditionalFormatting sqref="J136">
    <cfRule type="containsText" dxfId="72" priority="61" operator="containsText" text="скр">
      <formula>NOT(ISERROR(SEARCH("скр",J136)))</formula>
    </cfRule>
  </conditionalFormatting>
  <conditionalFormatting sqref="J141">
    <cfRule type="containsText" dxfId="71" priority="60" operator="containsText" text="скр">
      <formula>NOT(ISERROR(SEARCH("скр",J141)))</formula>
    </cfRule>
  </conditionalFormatting>
  <conditionalFormatting sqref="J140">
    <cfRule type="containsText" dxfId="70" priority="59" operator="containsText" text="скр">
      <formula>NOT(ISERROR(SEARCH("скр",J140)))</formula>
    </cfRule>
  </conditionalFormatting>
  <conditionalFormatting sqref="J143">
    <cfRule type="containsText" dxfId="69" priority="58" operator="containsText" text="скр">
      <formula>NOT(ISERROR(SEARCH("скр",J143)))</formula>
    </cfRule>
  </conditionalFormatting>
  <conditionalFormatting sqref="J142">
    <cfRule type="containsText" dxfId="68" priority="57" operator="containsText" text="скр">
      <formula>NOT(ISERROR(SEARCH("скр",J142)))</formula>
    </cfRule>
  </conditionalFormatting>
  <conditionalFormatting sqref="J145">
    <cfRule type="containsText" dxfId="67" priority="56" operator="containsText" text="скр">
      <formula>NOT(ISERROR(SEARCH("скр",J145)))</formula>
    </cfRule>
  </conditionalFormatting>
  <conditionalFormatting sqref="J144">
    <cfRule type="containsText" dxfId="66" priority="55" operator="containsText" text="скр">
      <formula>NOT(ISERROR(SEARCH("скр",J144)))</formula>
    </cfRule>
  </conditionalFormatting>
  <conditionalFormatting sqref="J147">
    <cfRule type="containsText" dxfId="65" priority="54" operator="containsText" text="скр">
      <formula>NOT(ISERROR(SEARCH("скр",J147)))</formula>
    </cfRule>
  </conditionalFormatting>
  <conditionalFormatting sqref="J146">
    <cfRule type="containsText" dxfId="64" priority="53" operator="containsText" text="скр">
      <formula>NOT(ISERROR(SEARCH("скр",J146)))</formula>
    </cfRule>
  </conditionalFormatting>
  <conditionalFormatting sqref="J151">
    <cfRule type="containsText" dxfId="63" priority="52" operator="containsText" text="скр">
      <formula>NOT(ISERROR(SEARCH("скр",J151)))</formula>
    </cfRule>
  </conditionalFormatting>
  <conditionalFormatting sqref="J150">
    <cfRule type="containsText" dxfId="62" priority="51" operator="containsText" text="скр">
      <formula>NOT(ISERROR(SEARCH("скр",J150)))</formula>
    </cfRule>
  </conditionalFormatting>
  <conditionalFormatting sqref="J152:J153">
    <cfRule type="containsText" dxfId="61" priority="50" operator="containsText" text="скр">
      <formula>NOT(ISERROR(SEARCH("скр",J152)))</formula>
    </cfRule>
  </conditionalFormatting>
  <conditionalFormatting sqref="J155">
    <cfRule type="containsText" dxfId="60" priority="49" operator="containsText" text="скр">
      <formula>NOT(ISERROR(SEARCH("скр",J155)))</formula>
    </cfRule>
  </conditionalFormatting>
  <conditionalFormatting sqref="J154">
    <cfRule type="containsText" dxfId="59" priority="48" operator="containsText" text="скр">
      <formula>NOT(ISERROR(SEARCH("скр",J154)))</formula>
    </cfRule>
  </conditionalFormatting>
  <conditionalFormatting sqref="J175">
    <cfRule type="containsText" dxfId="58" priority="47" operator="containsText" text="скр">
      <formula>NOT(ISERROR(SEARCH("скр",J175)))</formula>
    </cfRule>
  </conditionalFormatting>
  <conditionalFormatting sqref="J174">
    <cfRule type="containsText" dxfId="57" priority="46" operator="containsText" text="скр">
      <formula>NOT(ISERROR(SEARCH("скр",J174)))</formula>
    </cfRule>
  </conditionalFormatting>
  <conditionalFormatting sqref="J176:J181">
    <cfRule type="containsText" dxfId="56" priority="45" operator="containsText" text="скр">
      <formula>NOT(ISERROR(SEARCH("скр",J176)))</formula>
    </cfRule>
  </conditionalFormatting>
  <conditionalFormatting sqref="J156:J157">
    <cfRule type="containsText" dxfId="55" priority="44" operator="containsText" text="скр">
      <formula>NOT(ISERROR(SEARCH("скр",J156)))</formula>
    </cfRule>
  </conditionalFormatting>
  <conditionalFormatting sqref="J158:J159">
    <cfRule type="containsText" dxfId="54" priority="43" operator="containsText" text="скр">
      <formula>NOT(ISERROR(SEARCH("скр",J158)))</formula>
    </cfRule>
  </conditionalFormatting>
  <conditionalFormatting sqref="J160:J161">
    <cfRule type="containsText" dxfId="53" priority="42" operator="containsText" text="скр">
      <formula>NOT(ISERROR(SEARCH("скр",J160)))</formula>
    </cfRule>
  </conditionalFormatting>
  <conditionalFormatting sqref="J90:J91">
    <cfRule type="containsText" dxfId="52" priority="41" operator="containsText" text="скр">
      <formula>NOT(ISERROR(SEARCH("скр",J90)))</formula>
    </cfRule>
  </conditionalFormatting>
  <conditionalFormatting sqref="J122:J123">
    <cfRule type="containsText" dxfId="51" priority="40" operator="containsText" text="скр">
      <formula>NOT(ISERROR(SEARCH("скр",J122)))</formula>
    </cfRule>
  </conditionalFormatting>
  <conditionalFormatting sqref="J162:J163">
    <cfRule type="containsText" dxfId="50" priority="39" operator="containsText" text="скр">
      <formula>NOT(ISERROR(SEARCH("скр",J162)))</formula>
    </cfRule>
  </conditionalFormatting>
  <conditionalFormatting sqref="J164:J165">
    <cfRule type="containsText" dxfId="49" priority="38" operator="containsText" text="скр">
      <formula>NOT(ISERROR(SEARCH("скр",J164)))</formula>
    </cfRule>
  </conditionalFormatting>
  <conditionalFormatting sqref="J170:J171">
    <cfRule type="containsText" dxfId="48" priority="37" operator="containsText" text="скр">
      <formula>NOT(ISERROR(SEARCH("скр",J170)))</formula>
    </cfRule>
  </conditionalFormatting>
  <conditionalFormatting sqref="J169">
    <cfRule type="containsText" dxfId="47" priority="36" operator="containsText" text="скр">
      <formula>NOT(ISERROR(SEARCH("скр",J169)))</formula>
    </cfRule>
  </conditionalFormatting>
  <conditionalFormatting sqref="J168">
    <cfRule type="containsText" dxfId="46" priority="35" operator="containsText" text="скр">
      <formula>NOT(ISERROR(SEARCH("скр",J168)))</formula>
    </cfRule>
  </conditionalFormatting>
  <conditionalFormatting sqref="J172:J173">
    <cfRule type="containsText" dxfId="45" priority="34" operator="containsText" text="скр">
      <formula>NOT(ISERROR(SEARCH("скр",J172)))</formula>
    </cfRule>
  </conditionalFormatting>
  <conditionalFormatting sqref="J92:J93">
    <cfRule type="containsText" dxfId="44" priority="33" operator="containsText" text="скр">
      <formula>NOT(ISERROR(SEARCH("скр",J92)))</formula>
    </cfRule>
  </conditionalFormatting>
  <conditionalFormatting sqref="J94:J95">
    <cfRule type="containsText" dxfId="43" priority="32" operator="containsText" text="скр">
      <formula>NOT(ISERROR(SEARCH("скр",J94)))</formula>
    </cfRule>
  </conditionalFormatting>
  <conditionalFormatting sqref="J96:J97">
    <cfRule type="containsText" dxfId="42" priority="31" operator="containsText" text="скр">
      <formula>NOT(ISERROR(SEARCH("скр",J96)))</formula>
    </cfRule>
  </conditionalFormatting>
  <conditionalFormatting sqref="J98:J99">
    <cfRule type="containsText" dxfId="41" priority="30" operator="containsText" text="скр">
      <formula>NOT(ISERROR(SEARCH("скр",J98)))</formula>
    </cfRule>
  </conditionalFormatting>
  <conditionalFormatting sqref="J102:J103">
    <cfRule type="containsText" dxfId="40" priority="29" operator="containsText" text="скр">
      <formula>NOT(ISERROR(SEARCH("скр",J102)))</formula>
    </cfRule>
  </conditionalFormatting>
  <conditionalFormatting sqref="J110:J111">
    <cfRule type="containsText" dxfId="39" priority="28" operator="containsText" text="скр">
      <formula>NOT(ISERROR(SEARCH("скр",J110)))</formula>
    </cfRule>
  </conditionalFormatting>
  <conditionalFormatting sqref="J114:J115">
    <cfRule type="containsText" dxfId="38" priority="27" operator="containsText" text="скр">
      <formula>NOT(ISERROR(SEARCH("скр",J114)))</formula>
    </cfRule>
  </conditionalFormatting>
  <conditionalFormatting sqref="J116:J117">
    <cfRule type="containsText" dxfId="37" priority="26" operator="containsText" text="скр">
      <formula>NOT(ISERROR(SEARCH("скр",J116)))</formula>
    </cfRule>
  </conditionalFormatting>
  <conditionalFormatting sqref="J118:J119">
    <cfRule type="containsText" dxfId="36" priority="25" operator="containsText" text="скр">
      <formula>NOT(ISERROR(SEARCH("скр",J118)))</formula>
    </cfRule>
  </conditionalFormatting>
  <conditionalFormatting sqref="J124:J125">
    <cfRule type="containsText" dxfId="35" priority="24" operator="containsText" text="скр">
      <formula>NOT(ISERROR(SEARCH("скр",J124)))</formula>
    </cfRule>
  </conditionalFormatting>
  <conditionalFormatting sqref="J126:J127">
    <cfRule type="containsText" dxfId="34" priority="23" operator="containsText" text="скр">
      <formula>NOT(ISERROR(SEARCH("скр",J126)))</formula>
    </cfRule>
  </conditionalFormatting>
  <conditionalFormatting sqref="J128:J129">
    <cfRule type="containsText" dxfId="33" priority="22" operator="containsText" text="скр">
      <formula>NOT(ISERROR(SEARCH("скр",J128)))</formula>
    </cfRule>
  </conditionalFormatting>
  <conditionalFormatting sqref="J130:J131">
    <cfRule type="containsText" dxfId="32" priority="21" operator="containsText" text="скр">
      <formula>NOT(ISERROR(SEARCH("скр",J130)))</formula>
    </cfRule>
  </conditionalFormatting>
  <conditionalFormatting sqref="J138:J139">
    <cfRule type="containsText" dxfId="31" priority="20" operator="containsText" text="скр">
      <formula>NOT(ISERROR(SEARCH("скр",J138)))</formula>
    </cfRule>
  </conditionalFormatting>
  <conditionalFormatting sqref="J100:J101">
    <cfRule type="containsText" dxfId="30" priority="19" operator="containsText" text="скр">
      <formula>NOT(ISERROR(SEARCH("скр",J100)))</formula>
    </cfRule>
  </conditionalFormatting>
  <conditionalFormatting sqref="J38:J39">
    <cfRule type="containsText" dxfId="29" priority="18" operator="containsText" text="скр">
      <formula>NOT(ISERROR(SEARCH("скр",J38)))</formula>
    </cfRule>
  </conditionalFormatting>
  <conditionalFormatting sqref="J71">
    <cfRule type="containsText" dxfId="28" priority="17" operator="containsText" text="скр">
      <formula>NOT(ISERROR(SEARCH("скр",J71)))</formula>
    </cfRule>
  </conditionalFormatting>
  <conditionalFormatting sqref="J70">
    <cfRule type="containsText" dxfId="27" priority="16" operator="containsText" text="скр">
      <formula>NOT(ISERROR(SEARCH("скр",J70)))</formula>
    </cfRule>
  </conditionalFormatting>
  <conditionalFormatting sqref="J79">
    <cfRule type="containsText" dxfId="26" priority="15" operator="containsText" text="скр">
      <formula>NOT(ISERROR(SEARCH("скр",J79)))</formula>
    </cfRule>
  </conditionalFormatting>
  <conditionalFormatting sqref="J78">
    <cfRule type="containsText" dxfId="25" priority="14" operator="containsText" text="скр">
      <formula>NOT(ISERROR(SEARCH("скр",J78)))</formula>
    </cfRule>
  </conditionalFormatting>
  <conditionalFormatting sqref="J40:J41">
    <cfRule type="containsText" dxfId="24" priority="13" operator="containsText" text="скр">
      <formula>NOT(ISERROR(SEARCH("скр",J40)))</formula>
    </cfRule>
  </conditionalFormatting>
  <conditionalFormatting sqref="J121">
    <cfRule type="containsText" dxfId="23" priority="12" operator="containsText" text="скр">
      <formula>NOT(ISERROR(SEARCH("скр",J121)))</formula>
    </cfRule>
  </conditionalFormatting>
  <conditionalFormatting sqref="J120">
    <cfRule type="containsText" dxfId="22" priority="11" operator="containsText" text="скр">
      <formula>NOT(ISERROR(SEARCH("скр",J120)))</formula>
    </cfRule>
  </conditionalFormatting>
  <conditionalFormatting sqref="J133">
    <cfRule type="containsText" dxfId="21" priority="10" operator="containsText" text="скр">
      <formula>NOT(ISERROR(SEARCH("скр",J133)))</formula>
    </cfRule>
  </conditionalFormatting>
  <conditionalFormatting sqref="J132">
    <cfRule type="containsText" dxfId="20" priority="9" operator="containsText" text="скр">
      <formula>NOT(ISERROR(SEARCH("скр",J132)))</formula>
    </cfRule>
  </conditionalFormatting>
  <conditionalFormatting sqref="J184">
    <cfRule type="containsText" dxfId="19" priority="8" operator="containsText" text="скр">
      <formula>NOT(ISERROR(SEARCH("скр",J184)))</formula>
    </cfRule>
  </conditionalFormatting>
  <conditionalFormatting sqref="J148:J149">
    <cfRule type="containsText" dxfId="18" priority="7" operator="containsText" text="скр">
      <formula>NOT(ISERROR(SEARCH("скр",J148)))</formula>
    </cfRule>
  </conditionalFormatting>
  <conditionalFormatting sqref="J86">
    <cfRule type="containsText" dxfId="17" priority="6" operator="containsText" text="скр">
      <formula>NOT(ISERROR(SEARCH("скр",J86)))</formula>
    </cfRule>
  </conditionalFormatting>
  <conditionalFormatting sqref="J87">
    <cfRule type="containsText" dxfId="16" priority="5" operator="containsText" text="скр">
      <formula>NOT(ISERROR(SEARCH("скр",J87)))</formula>
    </cfRule>
  </conditionalFormatting>
  <conditionalFormatting sqref="J185:J186">
    <cfRule type="containsText" dxfId="15" priority="4" operator="containsText" text="скр">
      <formula>NOT(ISERROR(SEARCH("скр",J185)))</formula>
    </cfRule>
  </conditionalFormatting>
  <conditionalFormatting sqref="J187">
    <cfRule type="containsText" dxfId="14" priority="3" operator="containsText" text="скр">
      <formula>NOT(ISERROR(SEARCH("скр",J187)))</formula>
    </cfRule>
  </conditionalFormatting>
  <conditionalFormatting sqref="J188">
    <cfRule type="containsText" dxfId="13" priority="2" operator="containsText" text="скр">
      <formula>NOT(ISERROR(SEARCH("скр",J188)))</formula>
    </cfRule>
  </conditionalFormatting>
  <conditionalFormatting sqref="J189">
    <cfRule type="containsText" dxfId="12" priority="1" operator="containsText" text="скр">
      <formula>NOT(ISERROR(SEARCH("скр",J189)))</formula>
    </cfRule>
  </conditionalFormatting>
  <pageMargins left="0.98425196850393704" right="0.59055118110236227" top="0.59055118110236227" bottom="0.59055118110236227" header="1.1811023622047245" footer="0"/>
  <pageSetup paperSize="9" firstPageNumber="3" fitToHeight="0" orientation="portrait" r:id="rId1"/>
  <headerFooter>
    <oddHeader xml:space="preserve">&amp;R&amp;"-,полужирный"&amp;14&amp;P           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5" operator="containsText" text="скр" id="{13B9A592-BB5E-4CAB-80A0-1E027E3C5FA9}">
            <xm:f>NOT(ISERROR(SEARCH("скр",'Сектор 1'!#REF!)))</xm:f>
            <x14:dxf>
              <font>
                <b/>
                <i/>
              </font>
            </x14:dxf>
          </x14:cfRule>
          <xm:sqref>J65</xm:sqref>
        </x14:conditionalFormatting>
        <x14:conditionalFormatting xmlns:xm="http://schemas.microsoft.com/office/excel/2006/main">
          <x14:cfRule type="containsText" priority="96" operator="containsText" text="скр" id="{90F9229C-8021-4DE7-97D9-E59C13DCE2E5}">
            <xm:f>NOT(ISERROR(SEARCH("скр",'Сектор 1'!#REF!)))</xm:f>
            <x14:dxf>
              <font>
                <b/>
                <i/>
              </font>
            </x14:dxf>
          </x14:cfRule>
          <xm:sqref>J113</xm:sqref>
        </x14:conditionalFormatting>
        <x14:conditionalFormatting xmlns:xm="http://schemas.microsoft.com/office/excel/2006/main">
          <x14:cfRule type="containsText" priority="97" operator="containsText" text="скр" id="{EBB1B886-82A7-4ACB-8237-E719854D7B10}">
            <xm:f>NOT(ISERROR(SEARCH("скр",'Сектор 1'!#REF!)))</xm:f>
            <x14:dxf>
              <font>
                <b/>
                <i/>
              </font>
            </x14:dxf>
          </x14:cfRule>
          <xm:sqref>J109</xm:sqref>
        </x14:conditionalFormatting>
        <x14:conditionalFormatting xmlns:xm="http://schemas.microsoft.com/office/excel/2006/main">
          <x14:cfRule type="containsText" priority="98" operator="containsText" text="скр" id="{2E21786C-125D-45B2-B3A6-54D86BC8554F}">
            <xm:f>NOT(ISERROR(SEARCH("скр",'Сектор 1'!#REF!)))</xm:f>
            <x14:dxf>
              <font>
                <b/>
                <i/>
              </font>
            </x14:dxf>
          </x14:cfRule>
          <xm:sqref>J107 J105</xm:sqref>
        </x14:conditionalFormatting>
        <x14:conditionalFormatting xmlns:xm="http://schemas.microsoft.com/office/excel/2006/main">
          <x14:cfRule type="containsText" priority="225" operator="containsText" text="скр" id="{E0ED760C-57DC-4FE0-B629-80B5D65B6ABD}">
            <xm:f>NOT(ISERROR(SEARCH("скр",'Сектор 1'!#REF!)))</xm:f>
            <x14:dxf>
              <font>
                <b/>
                <i/>
              </font>
            </x14:dxf>
          </x14:cfRule>
          <xm:sqref>J64</xm:sqref>
        </x14:conditionalFormatting>
        <x14:conditionalFormatting xmlns:xm="http://schemas.microsoft.com/office/excel/2006/main">
          <x14:cfRule type="containsText" priority="226" operator="containsText" text="скр" id="{100E94BC-3507-41D1-B298-2423D94FFA5B}">
            <xm:f>NOT(ISERROR(SEARCH("скр",'Сектор 1'!#REF!)))</xm:f>
            <x14:dxf>
              <font>
                <b/>
                <i/>
              </font>
            </x14:dxf>
          </x14:cfRule>
          <xm:sqref>J112</xm:sqref>
        </x14:conditionalFormatting>
        <x14:conditionalFormatting xmlns:xm="http://schemas.microsoft.com/office/excel/2006/main">
          <x14:cfRule type="containsText" priority="227" operator="containsText" text="скр" id="{5FB735CF-2E73-4058-A1B5-65548BA91E03}">
            <xm:f>NOT(ISERROR(SEARCH("скр",'Сектор 1'!#REF!)))</xm:f>
            <x14:dxf>
              <font>
                <b/>
                <i/>
              </font>
            </x14:dxf>
          </x14:cfRule>
          <xm:sqref>J104</xm:sqref>
        </x14:conditionalFormatting>
        <x14:conditionalFormatting xmlns:xm="http://schemas.microsoft.com/office/excel/2006/main">
          <x14:cfRule type="containsText" priority="228" operator="containsText" text="скр" id="{38AE5617-C3CC-4F2E-84B0-F742F42C0EFE}">
            <xm:f>NOT(ISERROR(SEARCH("скр",'Сектор 1'!#REF!)))</xm:f>
            <x14:dxf>
              <font>
                <b/>
                <i/>
              </font>
            </x14:dxf>
          </x14:cfRule>
          <xm:sqref>J108</xm:sqref>
        </x14:conditionalFormatting>
        <x14:conditionalFormatting xmlns:xm="http://schemas.microsoft.com/office/excel/2006/main">
          <x14:cfRule type="containsText" priority="229" operator="containsText" text="скр" id="{0B9FA690-B3D9-4302-8169-881962ED4965}">
            <xm:f>NOT(ISERROR(SEARCH("скр",'Сектор 1'!#REF!)))</xm:f>
            <x14:dxf>
              <font>
                <b/>
                <i/>
              </font>
            </x14:dxf>
          </x14:cfRule>
          <xm:sqref>J106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99"/>
  </sheetPr>
  <dimension ref="A1:J15"/>
  <sheetViews>
    <sheetView view="pageBreakPreview" topLeftCell="A11" zoomScaleNormal="70" zoomScaleSheetLayoutView="100" zoomScalePageLayoutView="40" workbookViewId="0">
      <selection activeCell="D72" sqref="D72"/>
    </sheetView>
  </sheetViews>
  <sheetFormatPr defaultRowHeight="15" x14ac:dyDescent="0.25"/>
  <cols>
    <col min="1" max="1" width="5.7109375" style="91" customWidth="1"/>
    <col min="2" max="3" width="9.7109375" style="92" customWidth="1"/>
    <col min="4" max="4" width="13.7109375" style="91" customWidth="1"/>
    <col min="5" max="5" width="13.7109375" style="92" customWidth="1"/>
    <col min="6" max="8" width="10.7109375" style="92" customWidth="1"/>
    <col min="9" max="9" width="9.140625" style="92"/>
    <col min="10" max="10" width="36.5703125" style="163" customWidth="1"/>
    <col min="11" max="11" width="8" style="92" customWidth="1"/>
    <col min="12" max="16384" width="9.140625" style="92"/>
  </cols>
  <sheetData>
    <row r="1" spans="1:10" ht="17.45" customHeight="1" x14ac:dyDescent="0.25">
      <c r="A1" s="611"/>
      <c r="B1" s="611"/>
      <c r="C1" s="611"/>
      <c r="D1" s="711" t="s">
        <v>345</v>
      </c>
      <c r="E1" s="712"/>
      <c r="F1" s="605" t="s">
        <v>472</v>
      </c>
      <c r="G1" s="607">
        <f>B15</f>
        <v>3.4</v>
      </c>
      <c r="H1" s="605" t="s">
        <v>205</v>
      </c>
      <c r="J1" s="162" t="s">
        <v>206</v>
      </c>
    </row>
    <row r="2" spans="1:10" ht="17.45" customHeight="1" x14ac:dyDescent="0.25">
      <c r="A2" s="611"/>
      <c r="B2" s="611"/>
      <c r="C2" s="611"/>
      <c r="D2" s="713"/>
      <c r="E2" s="714"/>
      <c r="F2" s="717"/>
      <c r="G2" s="718"/>
      <c r="H2" s="606"/>
    </row>
    <row r="3" spans="1:10" ht="17.45" customHeight="1" x14ac:dyDescent="0.25">
      <c r="A3" s="611"/>
      <c r="B3" s="611"/>
      <c r="C3" s="611"/>
      <c r="D3" s="713"/>
      <c r="E3" s="714"/>
      <c r="F3" s="717"/>
      <c r="G3" s="718"/>
      <c r="H3" s="609"/>
    </row>
    <row r="4" spans="1:10" ht="17.45" customHeight="1" x14ac:dyDescent="0.25">
      <c r="A4" s="611"/>
      <c r="B4" s="611"/>
      <c r="C4" s="611"/>
      <c r="D4" s="715"/>
      <c r="E4" s="716"/>
      <c r="F4" s="606"/>
      <c r="G4" s="608"/>
      <c r="H4" s="610"/>
    </row>
    <row r="5" spans="1:10" s="164" customFormat="1" ht="3" customHeight="1" x14ac:dyDescent="0.25">
      <c r="A5" s="77"/>
      <c r="B5" s="77"/>
      <c r="C5" s="77"/>
      <c r="D5" s="77"/>
      <c r="E5" s="78"/>
      <c r="F5" s="80"/>
      <c r="G5" s="80"/>
      <c r="H5" s="79"/>
      <c r="J5" s="163"/>
    </row>
    <row r="6" spans="1:10" s="164" customFormat="1" ht="3" customHeight="1" x14ac:dyDescent="0.25">
      <c r="A6" s="81"/>
      <c r="B6" s="81"/>
      <c r="C6" s="81"/>
      <c r="D6" s="81"/>
      <c r="E6" s="82"/>
      <c r="F6" s="84"/>
      <c r="G6" s="84"/>
      <c r="H6" s="83"/>
      <c r="J6" s="163"/>
    </row>
    <row r="7" spans="1:10" s="164" customFormat="1" ht="3" customHeight="1" x14ac:dyDescent="0.25">
      <c r="A7" s="81"/>
      <c r="B7" s="81"/>
      <c r="C7" s="81"/>
      <c r="D7" s="81"/>
      <c r="E7" s="82"/>
      <c r="F7" s="84"/>
      <c r="G7" s="84"/>
      <c r="H7" s="83"/>
      <c r="J7" s="163"/>
    </row>
    <row r="8" spans="1:10" s="164" customFormat="1" ht="3" customHeight="1" x14ac:dyDescent="0.25">
      <c r="A8" s="85"/>
      <c r="B8" s="85"/>
      <c r="C8" s="85"/>
      <c r="D8" s="85"/>
      <c r="E8" s="86"/>
      <c r="F8" s="88"/>
      <c r="G8" s="88"/>
      <c r="H8" s="87"/>
      <c r="J8" s="163"/>
    </row>
    <row r="9" spans="1:10" ht="17.45" customHeight="1" x14ac:dyDescent="0.25">
      <c r="A9" s="323" t="s">
        <v>0</v>
      </c>
      <c r="B9" s="324" t="s">
        <v>463</v>
      </c>
      <c r="C9" s="325" t="s">
        <v>2</v>
      </c>
      <c r="D9" s="596" t="s">
        <v>3</v>
      </c>
      <c r="E9" s="597"/>
      <c r="F9" s="598" t="s">
        <v>4</v>
      </c>
      <c r="G9" s="599"/>
      <c r="H9" s="600"/>
    </row>
    <row r="10" spans="1:10" ht="129.94999999999999" customHeight="1" x14ac:dyDescent="0.25">
      <c r="A10" s="327">
        <f>1</f>
        <v>1</v>
      </c>
      <c r="B10" s="328">
        <v>0</v>
      </c>
      <c r="C10" s="328">
        <v>0</v>
      </c>
      <c r="D10" s="332"/>
      <c r="E10" s="333"/>
      <c r="F10" s="577" t="s">
        <v>473</v>
      </c>
      <c r="G10" s="578"/>
      <c r="H10" s="579"/>
      <c r="J10" s="326"/>
    </row>
    <row r="11" spans="1:10" ht="129.94999999999999" customHeight="1" x14ac:dyDescent="0.25">
      <c r="A11" s="327">
        <f>тарировочный!A10+1</f>
        <v>2</v>
      </c>
      <c r="B11" s="328">
        <v>0.16</v>
      </c>
      <c r="C11" s="328">
        <f>B11-B10</f>
        <v>0.16</v>
      </c>
      <c r="D11" s="332"/>
      <c r="E11" s="334"/>
      <c r="F11" s="577" t="s">
        <v>467</v>
      </c>
      <c r="G11" s="578"/>
      <c r="H11" s="579"/>
      <c r="J11" s="326"/>
    </row>
    <row r="12" spans="1:10" ht="129.94999999999999" customHeight="1" x14ac:dyDescent="0.25">
      <c r="A12" s="327">
        <f>тарировочный!A11+1</f>
        <v>3</v>
      </c>
      <c r="B12" s="328">
        <v>0.7</v>
      </c>
      <c r="C12" s="328">
        <f>B12-B11</f>
        <v>0.53999999999999992</v>
      </c>
      <c r="D12" s="332"/>
      <c r="E12" s="333"/>
      <c r="F12" s="577" t="s">
        <v>346</v>
      </c>
      <c r="G12" s="578"/>
      <c r="H12" s="579"/>
      <c r="J12" s="326"/>
    </row>
    <row r="13" spans="1:10" ht="129.94999999999999" customHeight="1" x14ac:dyDescent="0.25">
      <c r="A13" s="327">
        <f>тарировочный!A12+1</f>
        <v>4</v>
      </c>
      <c r="B13" s="328">
        <v>1.96</v>
      </c>
      <c r="C13" s="328">
        <f>B13-B12</f>
        <v>1.26</v>
      </c>
      <c r="D13" s="332"/>
      <c r="E13" s="333"/>
      <c r="F13" s="577" t="s">
        <v>468</v>
      </c>
      <c r="G13" s="578"/>
      <c r="H13" s="579"/>
      <c r="J13" s="326"/>
    </row>
    <row r="14" spans="1:10" ht="129.94999999999999" customHeight="1" x14ac:dyDescent="0.25">
      <c r="A14" s="327">
        <f>тарировочный!A13+1</f>
        <v>5</v>
      </c>
      <c r="B14" s="328">
        <v>2.4</v>
      </c>
      <c r="C14" s="328">
        <f>B14-B13</f>
        <v>0.43999999999999995</v>
      </c>
      <c r="D14" s="332"/>
      <c r="E14" s="334"/>
      <c r="F14" s="577" t="s">
        <v>469</v>
      </c>
      <c r="G14" s="578"/>
      <c r="H14" s="579"/>
      <c r="J14" s="326"/>
    </row>
    <row r="15" spans="1:10" ht="129.94999999999999" customHeight="1" x14ac:dyDescent="0.25">
      <c r="A15" s="327">
        <f>тарировочный!A14+1</f>
        <v>6</v>
      </c>
      <c r="B15" s="328">
        <v>3.4</v>
      </c>
      <c r="C15" s="328">
        <f>B15-B14</f>
        <v>1</v>
      </c>
      <c r="D15" s="332"/>
      <c r="E15" s="333"/>
      <c r="F15" s="577" t="s">
        <v>474</v>
      </c>
      <c r="G15" s="578"/>
      <c r="H15" s="579"/>
      <c r="J15" s="326"/>
    </row>
  </sheetData>
  <mergeCells count="14">
    <mergeCell ref="A1:C4"/>
    <mergeCell ref="H1:H2"/>
    <mergeCell ref="F15:H15"/>
    <mergeCell ref="H3:H4"/>
    <mergeCell ref="D9:E9"/>
    <mergeCell ref="F9:H9"/>
    <mergeCell ref="F10:H10"/>
    <mergeCell ref="F11:H11"/>
    <mergeCell ref="F12:H12"/>
    <mergeCell ref="F13:H13"/>
    <mergeCell ref="F14:H14"/>
    <mergeCell ref="D1:E4"/>
    <mergeCell ref="F1:F4"/>
    <mergeCell ref="G1:G4"/>
  </mergeCells>
  <conditionalFormatting sqref="J1:J10 J13:J1048576">
    <cfRule type="containsText" dxfId="2" priority="36" operator="containsText" text="скр">
      <formula>NOT(ISERROR(SEARCH("скр",J1)))</formula>
    </cfRule>
  </conditionalFormatting>
  <conditionalFormatting sqref="J11">
    <cfRule type="containsText" dxfId="1" priority="11" operator="containsText" text="скр">
      <formula>NOT(ISERROR(SEARCH("скр",J11)))</formula>
    </cfRule>
  </conditionalFormatting>
  <conditionalFormatting sqref="J12">
    <cfRule type="containsText" dxfId="0" priority="10" operator="containsText" text="скр">
      <formula>NOT(ISERROR(SEARCH("скр",J12)))</formula>
    </cfRule>
  </conditionalFormatting>
  <pageMargins left="0.98425196850393704" right="0.59055118110236227" top="0.59055118110236227" bottom="0.59055118110236227" header="1.1811023622047245" footer="0"/>
  <pageSetup paperSize="9" firstPageNumber="3" orientation="portrait" r:id="rId1"/>
  <headerFooter>
    <oddHeader xml:space="preserve">&amp;R&amp;"-,полужирный"&amp;14&amp;P          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99"/>
  </sheetPr>
  <dimension ref="B4:I23"/>
  <sheetViews>
    <sheetView workbookViewId="0">
      <selection activeCell="D72" sqref="D72"/>
    </sheetView>
  </sheetViews>
  <sheetFormatPr defaultRowHeight="15" x14ac:dyDescent="0.25"/>
  <cols>
    <col min="1" max="16384" width="9.140625" style="1"/>
  </cols>
  <sheetData>
    <row r="4" spans="2:9" x14ac:dyDescent="0.25">
      <c r="B4" s="33" t="s">
        <v>413</v>
      </c>
      <c r="C4" s="2"/>
      <c r="D4" s="2" t="s">
        <v>233</v>
      </c>
      <c r="E4" s="2"/>
      <c r="F4" s="2"/>
      <c r="G4" s="2" t="s">
        <v>233</v>
      </c>
      <c r="H4" s="2"/>
      <c r="I4" s="2"/>
    </row>
    <row r="5" spans="2:9" x14ac:dyDescent="0.25">
      <c r="B5" s="33"/>
      <c r="C5" s="2"/>
      <c r="D5" s="130" t="s">
        <v>234</v>
      </c>
      <c r="E5" s="2"/>
      <c r="F5" s="2"/>
      <c r="G5" s="130" t="s">
        <v>235</v>
      </c>
      <c r="H5" s="2"/>
      <c r="I5" s="2"/>
    </row>
    <row r="6" spans="2:9" x14ac:dyDescent="0.25">
      <c r="B6" s="33" t="s">
        <v>236</v>
      </c>
      <c r="C6" s="2"/>
      <c r="D6" s="2" t="s">
        <v>233</v>
      </c>
      <c r="E6" s="2"/>
      <c r="F6" s="2"/>
      <c r="G6" s="2" t="s">
        <v>233</v>
      </c>
      <c r="H6" s="2"/>
      <c r="I6" s="2"/>
    </row>
    <row r="7" spans="2:9" x14ac:dyDescent="0.25">
      <c r="B7" s="33"/>
      <c r="C7" s="2"/>
      <c r="D7" s="130" t="s">
        <v>234</v>
      </c>
      <c r="E7" s="2"/>
      <c r="F7" s="2"/>
      <c r="G7" s="130" t="s">
        <v>235</v>
      </c>
      <c r="H7" s="2"/>
      <c r="I7" s="2"/>
    </row>
    <row r="8" spans="2:9" x14ac:dyDescent="0.25">
      <c r="B8" s="33" t="s">
        <v>236</v>
      </c>
      <c r="C8" s="2"/>
      <c r="D8" s="2" t="s">
        <v>233</v>
      </c>
      <c r="E8" s="2"/>
      <c r="F8" s="2"/>
      <c r="G8" s="2" t="s">
        <v>233</v>
      </c>
      <c r="H8" s="2"/>
      <c r="I8" s="2"/>
    </row>
    <row r="9" spans="2:9" x14ac:dyDescent="0.25">
      <c r="B9" s="33"/>
      <c r="C9" s="2"/>
      <c r="D9" s="130" t="s">
        <v>234</v>
      </c>
      <c r="E9" s="2"/>
      <c r="F9" s="2"/>
      <c r="G9" s="130" t="s">
        <v>235</v>
      </c>
      <c r="H9" s="2"/>
      <c r="I9" s="2"/>
    </row>
    <row r="10" spans="2:9" x14ac:dyDescent="0.25">
      <c r="B10" s="33" t="s">
        <v>237</v>
      </c>
      <c r="C10" s="2"/>
      <c r="D10" s="2" t="s">
        <v>233</v>
      </c>
      <c r="E10" s="2"/>
      <c r="F10" s="2"/>
      <c r="G10" s="2" t="s">
        <v>233</v>
      </c>
      <c r="H10" s="2"/>
      <c r="I10" s="2"/>
    </row>
    <row r="11" spans="2:9" x14ac:dyDescent="0.25">
      <c r="B11" s="33"/>
      <c r="C11" s="2"/>
      <c r="D11" s="130" t="s">
        <v>234</v>
      </c>
      <c r="E11" s="2"/>
      <c r="F11" s="2"/>
      <c r="G11" s="130" t="s">
        <v>235</v>
      </c>
      <c r="H11" s="2"/>
      <c r="I11" s="2"/>
    </row>
    <row r="12" spans="2:9" x14ac:dyDescent="0.25">
      <c r="B12" s="33" t="s">
        <v>238</v>
      </c>
      <c r="C12" s="2"/>
      <c r="D12" s="2" t="s">
        <v>233</v>
      </c>
      <c r="E12" s="2"/>
      <c r="F12" s="2"/>
      <c r="G12" s="2" t="s">
        <v>233</v>
      </c>
      <c r="H12" s="2"/>
      <c r="I12" s="2"/>
    </row>
    <row r="13" spans="2:9" x14ac:dyDescent="0.25">
      <c r="B13" s="33"/>
      <c r="C13" s="2"/>
      <c r="D13" s="130" t="s">
        <v>234</v>
      </c>
      <c r="E13" s="2"/>
      <c r="F13" s="2"/>
      <c r="G13" s="130" t="s">
        <v>235</v>
      </c>
      <c r="H13" s="2"/>
      <c r="I13" s="2"/>
    </row>
    <row r="18" spans="2:2" x14ac:dyDescent="0.25">
      <c r="B18" s="1" t="s">
        <v>412</v>
      </c>
    </row>
    <row r="20" spans="2:2" x14ac:dyDescent="0.25">
      <c r="B20" s="1" t="s">
        <v>411</v>
      </c>
    </row>
    <row r="21" spans="2:2" x14ac:dyDescent="0.25">
      <c r="B21" s="1" t="s">
        <v>410</v>
      </c>
    </row>
    <row r="23" spans="2:2" x14ac:dyDescent="0.25">
      <c r="B23" s="1" t="s">
        <v>409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99"/>
  </sheetPr>
  <dimension ref="A1:H72"/>
  <sheetViews>
    <sheetView view="pageBreakPreview" topLeftCell="A63" zoomScaleSheetLayoutView="100" workbookViewId="0">
      <selection activeCell="D72" sqref="D7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336"/>
      <c r="B1" s="335"/>
      <c r="C1" s="335"/>
      <c r="D1" s="335"/>
      <c r="E1" s="335"/>
      <c r="F1" s="335"/>
      <c r="G1" s="337"/>
      <c r="H1" s="338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339" t="s">
        <v>53</v>
      </c>
      <c r="B9" s="340" t="s">
        <v>54</v>
      </c>
      <c r="C9" s="340" t="s">
        <v>55</v>
      </c>
      <c r="D9" s="340" t="s">
        <v>56</v>
      </c>
      <c r="E9" s="340" t="s">
        <v>57</v>
      </c>
      <c r="F9" s="340" t="s">
        <v>37</v>
      </c>
      <c r="G9" s="340" t="s">
        <v>58</v>
      </c>
      <c r="H9" s="340" t="s">
        <v>59</v>
      </c>
    </row>
    <row r="10" spans="1:8" ht="30" customHeight="1" x14ac:dyDescent="0.25">
      <c r="A10" s="341"/>
      <c r="B10" s="342"/>
      <c r="C10" s="343" t="str">
        <f>IF(ISNUMBER(B11),B11-B10,"")</f>
        <v/>
      </c>
      <c r="D10" s="343"/>
      <c r="E10" s="343"/>
      <c r="F10" s="343"/>
      <c r="G10" s="343" t="str">
        <f>IF(C10&lt;&gt;"",D10*IF(ISNUMBER(E10),E10,1)+IF(ISNUMBER(F10),F10,0),"")</f>
        <v/>
      </c>
      <c r="H10" s="343" t="str">
        <f t="shared" ref="H10:H41" si="0">IF(G10&lt;&gt;"",ROUNDDOWN(C10/G10*3600,округлениеРД),"")</f>
        <v/>
      </c>
    </row>
    <row r="11" spans="1:8" ht="30" customHeight="1" x14ac:dyDescent="0.25">
      <c r="A11" s="341"/>
      <c r="B11" s="342"/>
      <c r="C11" s="343" t="str">
        <f t="shared" ref="C11:C69" si="1">IF(ISNUMBER(B12),B12-B11,"")</f>
        <v/>
      </c>
      <c r="D11" s="343"/>
      <c r="E11" s="344"/>
      <c r="F11" s="343"/>
      <c r="G11" s="343" t="str">
        <f t="shared" ref="G11:G69" si="2">IF(C11&lt;&gt;"",D11*IF(ISNUMBER(E11),E11,1)+IF(ISNUMBER(F11),F11,0),"")</f>
        <v/>
      </c>
      <c r="H11" s="343" t="str">
        <f t="shared" si="0"/>
        <v/>
      </c>
    </row>
    <row r="12" spans="1:8" ht="30" customHeight="1" x14ac:dyDescent="0.25">
      <c r="A12" s="341"/>
      <c r="B12" s="342"/>
      <c r="C12" s="343" t="str">
        <f t="shared" si="1"/>
        <v/>
      </c>
      <c r="D12" s="343"/>
      <c r="E12" s="344"/>
      <c r="F12" s="343"/>
      <c r="G12" s="343" t="str">
        <f t="shared" si="2"/>
        <v/>
      </c>
      <c r="H12" s="343" t="str">
        <f t="shared" si="0"/>
        <v/>
      </c>
    </row>
    <row r="13" spans="1:8" ht="30" customHeight="1" x14ac:dyDescent="0.25">
      <c r="A13" s="341"/>
      <c r="B13" s="342"/>
      <c r="C13" s="343" t="str">
        <f t="shared" si="1"/>
        <v/>
      </c>
      <c r="D13" s="343"/>
      <c r="E13" s="344"/>
      <c r="F13" s="343"/>
      <c r="G13" s="343" t="str">
        <f t="shared" si="2"/>
        <v/>
      </c>
      <c r="H13" s="343" t="str">
        <f t="shared" si="0"/>
        <v/>
      </c>
    </row>
    <row r="14" spans="1:8" ht="30" customHeight="1" x14ac:dyDescent="0.25">
      <c r="A14" s="341"/>
      <c r="B14" s="342"/>
      <c r="C14" s="343" t="str">
        <f t="shared" si="1"/>
        <v/>
      </c>
      <c r="D14" s="343"/>
      <c r="E14" s="344"/>
      <c r="F14" s="343"/>
      <c r="G14" s="343" t="str">
        <f t="shared" si="2"/>
        <v/>
      </c>
      <c r="H14" s="343" t="str">
        <f t="shared" si="0"/>
        <v/>
      </c>
    </row>
    <row r="15" spans="1:8" ht="30" customHeight="1" x14ac:dyDescent="0.25">
      <c r="A15" s="341"/>
      <c r="B15" s="342"/>
      <c r="C15" s="343" t="str">
        <f t="shared" si="1"/>
        <v/>
      </c>
      <c r="D15" s="343"/>
      <c r="E15" s="344"/>
      <c r="F15" s="343"/>
      <c r="G15" s="343" t="str">
        <f t="shared" si="2"/>
        <v/>
      </c>
      <c r="H15" s="343" t="str">
        <f t="shared" si="0"/>
        <v/>
      </c>
    </row>
    <row r="16" spans="1:8" ht="30" customHeight="1" x14ac:dyDescent="0.25">
      <c r="A16" s="341"/>
      <c r="B16" s="342"/>
      <c r="C16" s="343" t="str">
        <f t="shared" si="1"/>
        <v/>
      </c>
      <c r="D16" s="343"/>
      <c r="E16" s="344"/>
      <c r="F16" s="343"/>
      <c r="G16" s="343" t="str">
        <f t="shared" si="2"/>
        <v/>
      </c>
      <c r="H16" s="343" t="str">
        <f t="shared" si="0"/>
        <v/>
      </c>
    </row>
    <row r="17" spans="1:8" ht="30" customHeight="1" x14ac:dyDescent="0.25">
      <c r="A17" s="341"/>
      <c r="B17" s="342"/>
      <c r="C17" s="343" t="str">
        <f t="shared" si="1"/>
        <v/>
      </c>
      <c r="D17" s="343"/>
      <c r="E17" s="344"/>
      <c r="F17" s="343"/>
      <c r="G17" s="343" t="str">
        <f t="shared" si="2"/>
        <v/>
      </c>
      <c r="H17" s="343" t="str">
        <f t="shared" si="0"/>
        <v/>
      </c>
    </row>
    <row r="18" spans="1:8" ht="30" customHeight="1" x14ac:dyDescent="0.25">
      <c r="A18" s="341"/>
      <c r="B18" s="342"/>
      <c r="C18" s="343" t="str">
        <f t="shared" si="1"/>
        <v/>
      </c>
      <c r="D18" s="343"/>
      <c r="E18" s="344"/>
      <c r="F18" s="343"/>
      <c r="G18" s="343" t="str">
        <f t="shared" si="2"/>
        <v/>
      </c>
      <c r="H18" s="343" t="str">
        <f t="shared" si="0"/>
        <v/>
      </c>
    </row>
    <row r="19" spans="1:8" ht="30" customHeight="1" x14ac:dyDescent="0.25">
      <c r="A19" s="341"/>
      <c r="B19" s="342"/>
      <c r="C19" s="343" t="str">
        <f t="shared" si="1"/>
        <v/>
      </c>
      <c r="D19" s="343"/>
      <c r="E19" s="344"/>
      <c r="F19" s="343"/>
      <c r="G19" s="343" t="str">
        <f t="shared" si="2"/>
        <v/>
      </c>
      <c r="H19" s="343" t="str">
        <f t="shared" si="0"/>
        <v/>
      </c>
    </row>
    <row r="20" spans="1:8" ht="30" customHeight="1" x14ac:dyDescent="0.25">
      <c r="A20" s="341"/>
      <c r="B20" s="342"/>
      <c r="C20" s="343" t="str">
        <f t="shared" si="1"/>
        <v/>
      </c>
      <c r="D20" s="343"/>
      <c r="E20" s="344"/>
      <c r="F20" s="343"/>
      <c r="G20" s="343" t="str">
        <f t="shared" si="2"/>
        <v/>
      </c>
      <c r="H20" s="343" t="str">
        <f t="shared" si="0"/>
        <v/>
      </c>
    </row>
    <row r="21" spans="1:8" ht="30" customHeight="1" x14ac:dyDescent="0.25">
      <c r="A21" s="341"/>
      <c r="B21" s="342"/>
      <c r="C21" s="343" t="str">
        <f t="shared" si="1"/>
        <v/>
      </c>
      <c r="D21" s="343"/>
      <c r="E21" s="344"/>
      <c r="F21" s="343"/>
      <c r="G21" s="343" t="str">
        <f t="shared" si="2"/>
        <v/>
      </c>
      <c r="H21" s="343" t="str">
        <f t="shared" si="0"/>
        <v/>
      </c>
    </row>
    <row r="22" spans="1:8" ht="30" customHeight="1" x14ac:dyDescent="0.25">
      <c r="A22" s="341"/>
      <c r="B22" s="342"/>
      <c r="C22" s="343" t="str">
        <f t="shared" si="1"/>
        <v/>
      </c>
      <c r="D22" s="343"/>
      <c r="E22" s="344"/>
      <c r="F22" s="343"/>
      <c r="G22" s="343" t="str">
        <f t="shared" si="2"/>
        <v/>
      </c>
      <c r="H22" s="343" t="str">
        <f t="shared" si="0"/>
        <v/>
      </c>
    </row>
    <row r="23" spans="1:8" ht="30" customHeight="1" x14ac:dyDescent="0.25">
      <c r="A23" s="341"/>
      <c r="B23" s="342"/>
      <c r="C23" s="343" t="str">
        <f t="shared" si="1"/>
        <v/>
      </c>
      <c r="D23" s="343"/>
      <c r="E23" s="344"/>
      <c r="F23" s="343"/>
      <c r="G23" s="343" t="str">
        <f t="shared" si="2"/>
        <v/>
      </c>
      <c r="H23" s="343" t="str">
        <f t="shared" si="0"/>
        <v/>
      </c>
    </row>
    <row r="24" spans="1:8" ht="30" customHeight="1" x14ac:dyDescent="0.25">
      <c r="A24" s="341"/>
      <c r="B24" s="342"/>
      <c r="C24" s="343" t="str">
        <f t="shared" si="1"/>
        <v/>
      </c>
      <c r="D24" s="343"/>
      <c r="E24" s="344"/>
      <c r="F24" s="343"/>
      <c r="G24" s="343" t="str">
        <f t="shared" si="2"/>
        <v/>
      </c>
      <c r="H24" s="343" t="str">
        <f t="shared" si="0"/>
        <v/>
      </c>
    </row>
    <row r="25" spans="1:8" ht="30" customHeight="1" x14ac:dyDescent="0.25">
      <c r="A25" s="341"/>
      <c r="B25" s="342"/>
      <c r="C25" s="343" t="str">
        <f t="shared" si="1"/>
        <v/>
      </c>
      <c r="D25" s="343"/>
      <c r="E25" s="344"/>
      <c r="F25" s="343"/>
      <c r="G25" s="343" t="str">
        <f t="shared" si="2"/>
        <v/>
      </c>
      <c r="H25" s="343" t="str">
        <f t="shared" si="0"/>
        <v/>
      </c>
    </row>
    <row r="26" spans="1:8" ht="30" customHeight="1" x14ac:dyDescent="0.25">
      <c r="A26" s="341"/>
      <c r="B26" s="342"/>
      <c r="C26" s="343" t="str">
        <f t="shared" si="1"/>
        <v/>
      </c>
      <c r="D26" s="343"/>
      <c r="E26" s="344"/>
      <c r="F26" s="343"/>
      <c r="G26" s="343" t="str">
        <f t="shared" si="2"/>
        <v/>
      </c>
      <c r="H26" s="343" t="str">
        <f t="shared" si="0"/>
        <v/>
      </c>
    </row>
    <row r="27" spans="1:8" ht="30" customHeight="1" x14ac:dyDescent="0.25">
      <c r="A27" s="341"/>
      <c r="B27" s="342"/>
      <c r="C27" s="343" t="str">
        <f t="shared" si="1"/>
        <v/>
      </c>
      <c r="D27" s="343"/>
      <c r="E27" s="344"/>
      <c r="F27" s="343"/>
      <c r="G27" s="343" t="str">
        <f t="shared" si="2"/>
        <v/>
      </c>
      <c r="H27" s="343" t="str">
        <f t="shared" si="0"/>
        <v/>
      </c>
    </row>
    <row r="28" spans="1:8" ht="30" customHeight="1" x14ac:dyDescent="0.25">
      <c r="A28" s="341"/>
      <c r="B28" s="342"/>
      <c r="C28" s="343" t="str">
        <f t="shared" si="1"/>
        <v/>
      </c>
      <c r="D28" s="343"/>
      <c r="E28" s="344"/>
      <c r="F28" s="343"/>
      <c r="G28" s="343" t="str">
        <f t="shared" si="2"/>
        <v/>
      </c>
      <c r="H28" s="343" t="str">
        <f t="shared" si="0"/>
        <v/>
      </c>
    </row>
    <row r="29" spans="1:8" ht="30" customHeight="1" x14ac:dyDescent="0.25">
      <c r="A29" s="341"/>
      <c r="B29" s="342"/>
      <c r="C29" s="343" t="str">
        <f t="shared" si="1"/>
        <v/>
      </c>
      <c r="D29" s="343"/>
      <c r="E29" s="344"/>
      <c r="F29" s="343"/>
      <c r="G29" s="343" t="str">
        <f t="shared" si="2"/>
        <v/>
      </c>
      <c r="H29" s="343" t="str">
        <f t="shared" si="0"/>
        <v/>
      </c>
    </row>
    <row r="30" spans="1:8" ht="30" customHeight="1" x14ac:dyDescent="0.25">
      <c r="A30" s="341"/>
      <c r="B30" s="342"/>
      <c r="C30" s="343" t="str">
        <f t="shared" si="1"/>
        <v/>
      </c>
      <c r="D30" s="343"/>
      <c r="E30" s="344"/>
      <c r="F30" s="343"/>
      <c r="G30" s="343" t="str">
        <f t="shared" si="2"/>
        <v/>
      </c>
      <c r="H30" s="343" t="str">
        <f t="shared" si="0"/>
        <v/>
      </c>
    </row>
    <row r="31" spans="1:8" ht="30" customHeight="1" x14ac:dyDescent="0.25">
      <c r="A31" s="341"/>
      <c r="B31" s="342"/>
      <c r="C31" s="343" t="str">
        <f t="shared" si="1"/>
        <v/>
      </c>
      <c r="D31" s="343"/>
      <c r="E31" s="344"/>
      <c r="F31" s="343"/>
      <c r="G31" s="343" t="str">
        <f t="shared" si="2"/>
        <v/>
      </c>
      <c r="H31" s="343" t="str">
        <f t="shared" si="0"/>
        <v/>
      </c>
    </row>
    <row r="32" spans="1:8" ht="30" customHeight="1" x14ac:dyDescent="0.25">
      <c r="A32" s="341"/>
      <c r="B32" s="342"/>
      <c r="C32" s="343" t="str">
        <f t="shared" si="1"/>
        <v/>
      </c>
      <c r="D32" s="343"/>
      <c r="E32" s="344"/>
      <c r="F32" s="343"/>
      <c r="G32" s="343" t="str">
        <f t="shared" si="2"/>
        <v/>
      </c>
      <c r="H32" s="343" t="str">
        <f t="shared" si="0"/>
        <v/>
      </c>
    </row>
    <row r="33" spans="1:8" ht="30" customHeight="1" x14ac:dyDescent="0.25">
      <c r="A33" s="341"/>
      <c r="B33" s="342"/>
      <c r="C33" s="343" t="str">
        <f t="shared" si="1"/>
        <v/>
      </c>
      <c r="D33" s="343"/>
      <c r="E33" s="344"/>
      <c r="F33" s="343"/>
      <c r="G33" s="343" t="str">
        <f t="shared" si="2"/>
        <v/>
      </c>
      <c r="H33" s="343" t="str">
        <f t="shared" si="0"/>
        <v/>
      </c>
    </row>
    <row r="34" spans="1:8" ht="30" customHeight="1" x14ac:dyDescent="0.25">
      <c r="A34" s="341"/>
      <c r="B34" s="342"/>
      <c r="C34" s="343" t="str">
        <f t="shared" si="1"/>
        <v/>
      </c>
      <c r="D34" s="343"/>
      <c r="E34" s="344"/>
      <c r="F34" s="343"/>
      <c r="G34" s="343" t="str">
        <f t="shared" si="2"/>
        <v/>
      </c>
      <c r="H34" s="343" t="str">
        <f t="shared" si="0"/>
        <v/>
      </c>
    </row>
    <row r="35" spans="1:8" ht="30" customHeight="1" x14ac:dyDescent="0.25">
      <c r="A35" s="341"/>
      <c r="B35" s="342"/>
      <c r="C35" s="343" t="str">
        <f t="shared" si="1"/>
        <v/>
      </c>
      <c r="D35" s="343"/>
      <c r="E35" s="344"/>
      <c r="F35" s="343"/>
      <c r="G35" s="343" t="str">
        <f t="shared" si="2"/>
        <v/>
      </c>
      <c r="H35" s="343" t="str">
        <f t="shared" si="0"/>
        <v/>
      </c>
    </row>
    <row r="36" spans="1:8" ht="30" customHeight="1" x14ac:dyDescent="0.25">
      <c r="A36" s="341"/>
      <c r="B36" s="342"/>
      <c r="C36" s="343" t="str">
        <f t="shared" si="1"/>
        <v/>
      </c>
      <c r="D36" s="343"/>
      <c r="E36" s="344"/>
      <c r="F36" s="343"/>
      <c r="G36" s="343" t="str">
        <f t="shared" si="2"/>
        <v/>
      </c>
      <c r="H36" s="343" t="str">
        <f t="shared" si="0"/>
        <v/>
      </c>
    </row>
    <row r="37" spans="1:8" ht="30" customHeight="1" x14ac:dyDescent="0.25">
      <c r="A37" s="341"/>
      <c r="B37" s="342"/>
      <c r="C37" s="343" t="str">
        <f t="shared" si="1"/>
        <v/>
      </c>
      <c r="D37" s="343"/>
      <c r="E37" s="344"/>
      <c r="F37" s="343"/>
      <c r="G37" s="343" t="str">
        <f t="shared" si="2"/>
        <v/>
      </c>
      <c r="H37" s="343" t="str">
        <f t="shared" si="0"/>
        <v/>
      </c>
    </row>
    <row r="38" spans="1:8" ht="30" customHeight="1" x14ac:dyDescent="0.25">
      <c r="A38" s="341"/>
      <c r="B38" s="342"/>
      <c r="C38" s="343" t="str">
        <f t="shared" si="1"/>
        <v/>
      </c>
      <c r="D38" s="343"/>
      <c r="E38" s="344"/>
      <c r="F38" s="343"/>
      <c r="G38" s="343" t="str">
        <f t="shared" si="2"/>
        <v/>
      </c>
      <c r="H38" s="343" t="str">
        <f t="shared" si="0"/>
        <v/>
      </c>
    </row>
    <row r="39" spans="1:8" ht="30" customHeight="1" x14ac:dyDescent="0.25">
      <c r="A39" s="341"/>
      <c r="B39" s="342"/>
      <c r="C39" s="343" t="str">
        <f t="shared" si="1"/>
        <v/>
      </c>
      <c r="D39" s="343"/>
      <c r="E39" s="344"/>
      <c r="F39" s="343"/>
      <c r="G39" s="343" t="str">
        <f t="shared" si="2"/>
        <v/>
      </c>
      <c r="H39" s="343" t="str">
        <f t="shared" si="0"/>
        <v/>
      </c>
    </row>
    <row r="40" spans="1:8" ht="30" customHeight="1" x14ac:dyDescent="0.25">
      <c r="A40" s="341"/>
      <c r="B40" s="342"/>
      <c r="C40" s="343" t="str">
        <f t="shared" si="1"/>
        <v/>
      </c>
      <c r="D40" s="343"/>
      <c r="E40" s="344"/>
      <c r="F40" s="343"/>
      <c r="G40" s="343" t="str">
        <f t="shared" si="2"/>
        <v/>
      </c>
      <c r="H40" s="343" t="str">
        <f t="shared" si="0"/>
        <v/>
      </c>
    </row>
    <row r="41" spans="1:8" ht="30" customHeight="1" x14ac:dyDescent="0.25">
      <c r="A41" s="341"/>
      <c r="B41" s="342"/>
      <c r="C41" s="343" t="str">
        <f t="shared" si="1"/>
        <v/>
      </c>
      <c r="D41" s="343"/>
      <c r="E41" s="344"/>
      <c r="F41" s="343"/>
      <c r="G41" s="343" t="str">
        <f t="shared" si="2"/>
        <v/>
      </c>
      <c r="H41" s="343" t="str">
        <f t="shared" si="0"/>
        <v/>
      </c>
    </row>
    <row r="42" spans="1:8" ht="30" customHeight="1" x14ac:dyDescent="0.25">
      <c r="A42" s="341"/>
      <c r="B42" s="342"/>
      <c r="C42" s="343" t="str">
        <f t="shared" si="1"/>
        <v/>
      </c>
      <c r="D42" s="343"/>
      <c r="E42" s="344"/>
      <c r="F42" s="343"/>
      <c r="G42" s="343" t="str">
        <f t="shared" si="2"/>
        <v/>
      </c>
      <c r="H42" s="343" t="str">
        <f t="shared" ref="H42:H69" si="3">IF(G42&lt;&gt;"",ROUNDDOWN(C42/G42*3600,округлениеРД),"")</f>
        <v/>
      </c>
    </row>
    <row r="43" spans="1:8" ht="30" customHeight="1" x14ac:dyDescent="0.25">
      <c r="A43" s="341"/>
      <c r="B43" s="342"/>
      <c r="C43" s="343" t="str">
        <f t="shared" si="1"/>
        <v/>
      </c>
      <c r="D43" s="343"/>
      <c r="E43" s="344"/>
      <c r="F43" s="343"/>
      <c r="G43" s="343" t="str">
        <f t="shared" si="2"/>
        <v/>
      </c>
      <c r="H43" s="343" t="str">
        <f t="shared" si="3"/>
        <v/>
      </c>
    </row>
    <row r="44" spans="1:8" ht="30" customHeight="1" x14ac:dyDescent="0.25">
      <c r="A44" s="341"/>
      <c r="B44" s="342"/>
      <c r="C44" s="343" t="str">
        <f t="shared" si="1"/>
        <v/>
      </c>
      <c r="D44" s="343"/>
      <c r="E44" s="344"/>
      <c r="F44" s="343"/>
      <c r="G44" s="343" t="str">
        <f t="shared" si="2"/>
        <v/>
      </c>
      <c r="H44" s="343" t="str">
        <f t="shared" si="3"/>
        <v/>
      </c>
    </row>
    <row r="45" spans="1:8" ht="30" customHeight="1" x14ac:dyDescent="0.25">
      <c r="A45" s="341"/>
      <c r="B45" s="342"/>
      <c r="C45" s="343" t="str">
        <f t="shared" si="1"/>
        <v/>
      </c>
      <c r="D45" s="343"/>
      <c r="E45" s="344"/>
      <c r="F45" s="343"/>
      <c r="G45" s="343" t="str">
        <f t="shared" si="2"/>
        <v/>
      </c>
      <c r="H45" s="343" t="str">
        <f t="shared" si="3"/>
        <v/>
      </c>
    </row>
    <row r="46" spans="1:8" ht="30" customHeight="1" x14ac:dyDescent="0.25">
      <c r="A46" s="341"/>
      <c r="B46" s="342"/>
      <c r="C46" s="343" t="str">
        <f t="shared" si="1"/>
        <v/>
      </c>
      <c r="D46" s="343"/>
      <c r="E46" s="344"/>
      <c r="F46" s="343"/>
      <c r="G46" s="343" t="str">
        <f t="shared" si="2"/>
        <v/>
      </c>
      <c r="H46" s="343" t="str">
        <f t="shared" si="3"/>
        <v/>
      </c>
    </row>
    <row r="47" spans="1:8" ht="30" customHeight="1" x14ac:dyDescent="0.25">
      <c r="A47" s="341"/>
      <c r="B47" s="342"/>
      <c r="C47" s="343" t="str">
        <f t="shared" si="1"/>
        <v/>
      </c>
      <c r="D47" s="343"/>
      <c r="E47" s="344"/>
      <c r="F47" s="343"/>
      <c r="G47" s="343" t="str">
        <f t="shared" si="2"/>
        <v/>
      </c>
      <c r="H47" s="343" t="str">
        <f t="shared" si="3"/>
        <v/>
      </c>
    </row>
    <row r="48" spans="1:8" ht="30" customHeight="1" x14ac:dyDescent="0.25">
      <c r="A48" s="341"/>
      <c r="B48" s="342"/>
      <c r="C48" s="343" t="str">
        <f t="shared" si="1"/>
        <v/>
      </c>
      <c r="D48" s="343"/>
      <c r="E48" s="344"/>
      <c r="F48" s="343"/>
      <c r="G48" s="343" t="str">
        <f t="shared" si="2"/>
        <v/>
      </c>
      <c r="H48" s="343" t="str">
        <f t="shared" si="3"/>
        <v/>
      </c>
    </row>
    <row r="49" spans="1:8" ht="30" customHeight="1" x14ac:dyDescent="0.25">
      <c r="A49" s="341"/>
      <c r="B49" s="342"/>
      <c r="C49" s="343" t="str">
        <f t="shared" si="1"/>
        <v/>
      </c>
      <c r="D49" s="343"/>
      <c r="E49" s="344"/>
      <c r="F49" s="343"/>
      <c r="G49" s="343" t="str">
        <f t="shared" si="2"/>
        <v/>
      </c>
      <c r="H49" s="343" t="str">
        <f t="shared" si="3"/>
        <v/>
      </c>
    </row>
    <row r="50" spans="1:8" ht="30" customHeight="1" x14ac:dyDescent="0.25">
      <c r="A50" s="341"/>
      <c r="B50" s="342"/>
      <c r="C50" s="343" t="str">
        <f t="shared" si="1"/>
        <v/>
      </c>
      <c r="D50" s="343"/>
      <c r="E50" s="344"/>
      <c r="F50" s="343"/>
      <c r="G50" s="343" t="str">
        <f t="shared" si="2"/>
        <v/>
      </c>
      <c r="H50" s="343" t="str">
        <f t="shared" si="3"/>
        <v/>
      </c>
    </row>
    <row r="51" spans="1:8" ht="30" customHeight="1" x14ac:dyDescent="0.25">
      <c r="A51" s="341"/>
      <c r="B51" s="342"/>
      <c r="C51" s="343" t="str">
        <f t="shared" si="1"/>
        <v/>
      </c>
      <c r="D51" s="343"/>
      <c r="E51" s="344"/>
      <c r="F51" s="343"/>
      <c r="G51" s="343" t="str">
        <f t="shared" si="2"/>
        <v/>
      </c>
      <c r="H51" s="343" t="str">
        <f t="shared" si="3"/>
        <v/>
      </c>
    </row>
    <row r="52" spans="1:8" ht="30" customHeight="1" x14ac:dyDescent="0.25">
      <c r="A52" s="341"/>
      <c r="B52" s="342"/>
      <c r="C52" s="343" t="str">
        <f t="shared" si="1"/>
        <v/>
      </c>
      <c r="D52" s="343"/>
      <c r="E52" s="344"/>
      <c r="F52" s="343"/>
      <c r="G52" s="343" t="str">
        <f t="shared" si="2"/>
        <v/>
      </c>
      <c r="H52" s="343" t="str">
        <f t="shared" si="3"/>
        <v/>
      </c>
    </row>
    <row r="53" spans="1:8" ht="30" customHeight="1" x14ac:dyDescent="0.25">
      <c r="A53" s="341"/>
      <c r="B53" s="342"/>
      <c r="C53" s="343" t="str">
        <f t="shared" si="1"/>
        <v/>
      </c>
      <c r="D53" s="343"/>
      <c r="E53" s="344"/>
      <c r="F53" s="343"/>
      <c r="G53" s="343" t="str">
        <f t="shared" si="2"/>
        <v/>
      </c>
      <c r="H53" s="343" t="str">
        <f t="shared" si="3"/>
        <v/>
      </c>
    </row>
    <row r="54" spans="1:8" ht="30" customHeight="1" x14ac:dyDescent="0.25">
      <c r="A54" s="341"/>
      <c r="B54" s="342"/>
      <c r="C54" s="343" t="str">
        <f t="shared" si="1"/>
        <v/>
      </c>
      <c r="D54" s="343"/>
      <c r="E54" s="344"/>
      <c r="F54" s="343"/>
      <c r="G54" s="343" t="str">
        <f t="shared" si="2"/>
        <v/>
      </c>
      <c r="H54" s="343" t="str">
        <f t="shared" si="3"/>
        <v/>
      </c>
    </row>
    <row r="55" spans="1:8" ht="30" customHeight="1" x14ac:dyDescent="0.25">
      <c r="A55" s="341"/>
      <c r="B55" s="342"/>
      <c r="C55" s="343" t="str">
        <f t="shared" si="1"/>
        <v/>
      </c>
      <c r="D55" s="343"/>
      <c r="E55" s="344"/>
      <c r="F55" s="343"/>
      <c r="G55" s="343" t="str">
        <f t="shared" si="2"/>
        <v/>
      </c>
      <c r="H55" s="343" t="str">
        <f t="shared" si="3"/>
        <v/>
      </c>
    </row>
    <row r="56" spans="1:8" ht="30" customHeight="1" x14ac:dyDescent="0.25">
      <c r="A56" s="341"/>
      <c r="B56" s="342"/>
      <c r="C56" s="343" t="str">
        <f t="shared" si="1"/>
        <v/>
      </c>
      <c r="D56" s="343"/>
      <c r="E56" s="344"/>
      <c r="F56" s="343"/>
      <c r="G56" s="343" t="str">
        <f t="shared" si="2"/>
        <v/>
      </c>
      <c r="H56" s="343" t="str">
        <f t="shared" si="3"/>
        <v/>
      </c>
    </row>
    <row r="57" spans="1:8" ht="30" customHeight="1" x14ac:dyDescent="0.25">
      <c r="A57" s="341"/>
      <c r="B57" s="342"/>
      <c r="C57" s="343" t="str">
        <f t="shared" si="1"/>
        <v/>
      </c>
      <c r="D57" s="343"/>
      <c r="E57" s="344"/>
      <c r="F57" s="343"/>
      <c r="G57" s="343" t="str">
        <f t="shared" si="2"/>
        <v/>
      </c>
      <c r="H57" s="343" t="str">
        <f t="shared" si="3"/>
        <v/>
      </c>
    </row>
    <row r="58" spans="1:8" ht="30" customHeight="1" x14ac:dyDescent="0.25">
      <c r="A58" s="341"/>
      <c r="B58" s="342"/>
      <c r="C58" s="343" t="str">
        <f t="shared" si="1"/>
        <v/>
      </c>
      <c r="D58" s="343"/>
      <c r="E58" s="344"/>
      <c r="F58" s="343"/>
      <c r="G58" s="343" t="str">
        <f t="shared" si="2"/>
        <v/>
      </c>
      <c r="H58" s="343" t="str">
        <f t="shared" si="3"/>
        <v/>
      </c>
    </row>
    <row r="59" spans="1:8" ht="30" customHeight="1" x14ac:dyDescent="0.25">
      <c r="A59" s="341"/>
      <c r="B59" s="342"/>
      <c r="C59" s="343" t="str">
        <f t="shared" si="1"/>
        <v/>
      </c>
      <c r="D59" s="343"/>
      <c r="E59" s="344"/>
      <c r="F59" s="343"/>
      <c r="G59" s="343" t="str">
        <f t="shared" si="2"/>
        <v/>
      </c>
      <c r="H59" s="343" t="str">
        <f t="shared" si="3"/>
        <v/>
      </c>
    </row>
    <row r="60" spans="1:8" ht="30" customHeight="1" x14ac:dyDescent="0.25">
      <c r="A60" s="341"/>
      <c r="B60" s="342"/>
      <c r="C60" s="343" t="str">
        <f t="shared" si="1"/>
        <v/>
      </c>
      <c r="D60" s="343"/>
      <c r="E60" s="344"/>
      <c r="F60" s="343"/>
      <c r="G60" s="343" t="str">
        <f t="shared" si="2"/>
        <v/>
      </c>
      <c r="H60" s="343" t="str">
        <f t="shared" si="3"/>
        <v/>
      </c>
    </row>
    <row r="61" spans="1:8" ht="30" customHeight="1" x14ac:dyDescent="0.25">
      <c r="A61" s="341"/>
      <c r="B61" s="342"/>
      <c r="C61" s="343" t="str">
        <f t="shared" si="1"/>
        <v/>
      </c>
      <c r="D61" s="343"/>
      <c r="E61" s="344"/>
      <c r="F61" s="343"/>
      <c r="G61" s="343" t="str">
        <f t="shared" si="2"/>
        <v/>
      </c>
      <c r="H61" s="343" t="str">
        <f t="shared" si="3"/>
        <v/>
      </c>
    </row>
    <row r="62" spans="1:8" ht="30" customHeight="1" x14ac:dyDescent="0.25">
      <c r="A62" s="341"/>
      <c r="B62" s="342"/>
      <c r="C62" s="343" t="str">
        <f t="shared" si="1"/>
        <v/>
      </c>
      <c r="D62" s="343"/>
      <c r="E62" s="344"/>
      <c r="F62" s="343"/>
      <c r="G62" s="343" t="str">
        <f t="shared" si="2"/>
        <v/>
      </c>
      <c r="H62" s="343" t="str">
        <f t="shared" si="3"/>
        <v/>
      </c>
    </row>
    <row r="63" spans="1:8" ht="30" customHeight="1" x14ac:dyDescent="0.25">
      <c r="A63" s="341"/>
      <c r="B63" s="342"/>
      <c r="C63" s="343" t="str">
        <f t="shared" si="1"/>
        <v/>
      </c>
      <c r="D63" s="343"/>
      <c r="E63" s="344"/>
      <c r="F63" s="343"/>
      <c r="G63" s="343" t="str">
        <f t="shared" si="2"/>
        <v/>
      </c>
      <c r="H63" s="343" t="str">
        <f t="shared" si="3"/>
        <v/>
      </c>
    </row>
    <row r="64" spans="1:8" ht="30" customHeight="1" x14ac:dyDescent="0.25">
      <c r="A64" s="341"/>
      <c r="B64" s="342"/>
      <c r="C64" s="343" t="str">
        <f t="shared" si="1"/>
        <v/>
      </c>
      <c r="D64" s="343"/>
      <c r="E64" s="344"/>
      <c r="F64" s="343"/>
      <c r="G64" s="343" t="str">
        <f t="shared" si="2"/>
        <v/>
      </c>
      <c r="H64" s="343" t="str">
        <f t="shared" si="3"/>
        <v/>
      </c>
    </row>
    <row r="65" spans="1:8" ht="30" customHeight="1" x14ac:dyDescent="0.25">
      <c r="A65" s="341"/>
      <c r="B65" s="342"/>
      <c r="C65" s="343" t="str">
        <f t="shared" si="1"/>
        <v/>
      </c>
      <c r="D65" s="343"/>
      <c r="E65" s="344"/>
      <c r="F65" s="343"/>
      <c r="G65" s="343" t="str">
        <f t="shared" si="2"/>
        <v/>
      </c>
      <c r="H65" s="343" t="str">
        <f t="shared" si="3"/>
        <v/>
      </c>
    </row>
    <row r="66" spans="1:8" ht="30" customHeight="1" x14ac:dyDescent="0.25">
      <c r="A66" s="341"/>
      <c r="B66" s="342"/>
      <c r="C66" s="343" t="str">
        <f t="shared" si="1"/>
        <v/>
      </c>
      <c r="D66" s="343"/>
      <c r="E66" s="344"/>
      <c r="F66" s="343"/>
      <c r="G66" s="343" t="str">
        <f t="shared" si="2"/>
        <v/>
      </c>
      <c r="H66" s="343" t="str">
        <f t="shared" si="3"/>
        <v/>
      </c>
    </row>
    <row r="67" spans="1:8" ht="30" customHeight="1" x14ac:dyDescent="0.25">
      <c r="A67" s="341"/>
      <c r="B67" s="342"/>
      <c r="C67" s="343" t="str">
        <f t="shared" si="1"/>
        <v/>
      </c>
      <c r="D67" s="343"/>
      <c r="E67" s="344"/>
      <c r="F67" s="343"/>
      <c r="G67" s="343" t="str">
        <f t="shared" si="2"/>
        <v/>
      </c>
      <c r="H67" s="343" t="str">
        <f t="shared" si="3"/>
        <v/>
      </c>
    </row>
    <row r="68" spans="1:8" ht="30" customHeight="1" x14ac:dyDescent="0.25">
      <c r="A68" s="341"/>
      <c r="B68" s="342"/>
      <c r="C68" s="343" t="str">
        <f t="shared" si="1"/>
        <v/>
      </c>
      <c r="D68" s="343"/>
      <c r="E68" s="344"/>
      <c r="F68" s="343"/>
      <c r="G68" s="343" t="str">
        <f t="shared" si="2"/>
        <v/>
      </c>
      <c r="H68" s="343" t="str">
        <f t="shared" si="3"/>
        <v/>
      </c>
    </row>
    <row r="69" spans="1:8" ht="30" customHeight="1" x14ac:dyDescent="0.25">
      <c r="A69" s="341"/>
      <c r="B69" s="342"/>
      <c r="C69" s="343" t="str">
        <f t="shared" si="1"/>
        <v/>
      </c>
      <c r="D69" s="343"/>
      <c r="E69" s="344"/>
      <c r="F69" s="343"/>
      <c r="G69" s="343" t="str">
        <f t="shared" si="2"/>
        <v/>
      </c>
      <c r="H69" s="343" t="str">
        <f t="shared" si="3"/>
        <v/>
      </c>
    </row>
    <row r="70" spans="1:8" ht="30" customHeight="1" x14ac:dyDescent="0.25">
      <c r="A70" s="341" t="s">
        <v>119</v>
      </c>
      <c r="B70" s="342"/>
      <c r="C70" s="343"/>
      <c r="D70" s="343"/>
      <c r="E70" s="344"/>
      <c r="F70" s="343"/>
      <c r="G70" s="343"/>
      <c r="H70" s="343">
        <v>0</v>
      </c>
    </row>
    <row r="71" spans="1:8" ht="15" customHeight="1" x14ac:dyDescent="0.25">
      <c r="A71" s="380" t="s">
        <v>60</v>
      </c>
      <c r="B71" s="381"/>
      <c r="C71" s="382"/>
      <c r="D71" s="381"/>
      <c r="E71" s="381"/>
      <c r="F71" s="381"/>
      <c r="G71" s="383" t="s">
        <v>61</v>
      </c>
      <c r="H71" s="356">
        <f>ROUNDDOWN(SUM(H10:H70),0)</f>
        <v>0</v>
      </c>
    </row>
    <row r="72" spans="1:8" ht="15" customHeight="1" x14ac:dyDescent="0.25">
      <c r="A72" s="4"/>
      <c r="B72" s="384" t="e">
        <f>ROUND(SUM(C10:C70)/H71*3600,2)</f>
        <v>#DIV/0!</v>
      </c>
      <c r="C72" s="4"/>
      <c r="D72" s="4"/>
      <c r="E72" s="4"/>
      <c r="F72" s="386"/>
      <c r="G72" s="387" t="s">
        <v>85</v>
      </c>
      <c r="H72" s="385">
        <f>H71/86400</f>
        <v>0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F0"/>
  </sheetPr>
  <dimension ref="A1:K66"/>
  <sheetViews>
    <sheetView view="pageBreakPreview" zoomScale="85" zoomScaleSheetLayoutView="85" workbookViewId="0">
      <selection activeCell="D72" sqref="D72"/>
    </sheetView>
  </sheetViews>
  <sheetFormatPr defaultRowHeight="15" x14ac:dyDescent="0.25"/>
  <cols>
    <col min="1" max="2" width="15.7109375" style="261" customWidth="1"/>
    <col min="3" max="3" width="45.7109375" style="261" customWidth="1"/>
    <col min="4" max="4" width="15.7109375" style="261" customWidth="1"/>
    <col min="5" max="255" width="9.140625" style="261"/>
    <col min="256" max="257" width="15.7109375" style="261" customWidth="1"/>
    <col min="258" max="258" width="0" style="261" hidden="1" customWidth="1"/>
    <col min="259" max="259" width="45.7109375" style="261" customWidth="1"/>
    <col min="260" max="260" width="15.7109375" style="261" customWidth="1"/>
    <col min="261" max="511" width="9.140625" style="261"/>
    <col min="512" max="513" width="15.7109375" style="261" customWidth="1"/>
    <col min="514" max="514" width="0" style="261" hidden="1" customWidth="1"/>
    <col min="515" max="515" width="45.7109375" style="261" customWidth="1"/>
    <col min="516" max="516" width="15.7109375" style="261" customWidth="1"/>
    <col min="517" max="767" width="9.140625" style="261"/>
    <col min="768" max="769" width="15.7109375" style="261" customWidth="1"/>
    <col min="770" max="770" width="0" style="261" hidden="1" customWidth="1"/>
    <col min="771" max="771" width="45.7109375" style="261" customWidth="1"/>
    <col min="772" max="772" width="15.7109375" style="261" customWidth="1"/>
    <col min="773" max="1023" width="9.140625" style="261"/>
    <col min="1024" max="1025" width="15.7109375" style="261" customWidth="1"/>
    <col min="1026" max="1026" width="0" style="261" hidden="1" customWidth="1"/>
    <col min="1027" max="1027" width="45.7109375" style="261" customWidth="1"/>
    <col min="1028" max="1028" width="15.7109375" style="261" customWidth="1"/>
    <col min="1029" max="1279" width="9.140625" style="261"/>
    <col min="1280" max="1281" width="15.7109375" style="261" customWidth="1"/>
    <col min="1282" max="1282" width="0" style="261" hidden="1" customWidth="1"/>
    <col min="1283" max="1283" width="45.7109375" style="261" customWidth="1"/>
    <col min="1284" max="1284" width="15.7109375" style="261" customWidth="1"/>
    <col min="1285" max="1535" width="9.140625" style="261"/>
    <col min="1536" max="1537" width="15.7109375" style="261" customWidth="1"/>
    <col min="1538" max="1538" width="0" style="261" hidden="1" customWidth="1"/>
    <col min="1539" max="1539" width="45.7109375" style="261" customWidth="1"/>
    <col min="1540" max="1540" width="15.7109375" style="261" customWidth="1"/>
    <col min="1541" max="1791" width="9.140625" style="261"/>
    <col min="1792" max="1793" width="15.7109375" style="261" customWidth="1"/>
    <col min="1794" max="1794" width="0" style="261" hidden="1" customWidth="1"/>
    <col min="1795" max="1795" width="45.7109375" style="261" customWidth="1"/>
    <col min="1796" max="1796" width="15.7109375" style="261" customWidth="1"/>
    <col min="1797" max="2047" width="9.140625" style="261"/>
    <col min="2048" max="2049" width="15.7109375" style="261" customWidth="1"/>
    <col min="2050" max="2050" width="0" style="261" hidden="1" customWidth="1"/>
    <col min="2051" max="2051" width="45.7109375" style="261" customWidth="1"/>
    <col min="2052" max="2052" width="15.7109375" style="261" customWidth="1"/>
    <col min="2053" max="2303" width="9.140625" style="261"/>
    <col min="2304" max="2305" width="15.7109375" style="261" customWidth="1"/>
    <col min="2306" max="2306" width="0" style="261" hidden="1" customWidth="1"/>
    <col min="2307" max="2307" width="45.7109375" style="261" customWidth="1"/>
    <col min="2308" max="2308" width="15.7109375" style="261" customWidth="1"/>
    <col min="2309" max="2559" width="9.140625" style="261"/>
    <col min="2560" max="2561" width="15.7109375" style="261" customWidth="1"/>
    <col min="2562" max="2562" width="0" style="261" hidden="1" customWidth="1"/>
    <col min="2563" max="2563" width="45.7109375" style="261" customWidth="1"/>
    <col min="2564" max="2564" width="15.7109375" style="261" customWidth="1"/>
    <col min="2565" max="2815" width="9.140625" style="261"/>
    <col min="2816" max="2817" width="15.7109375" style="261" customWidth="1"/>
    <col min="2818" max="2818" width="0" style="261" hidden="1" customWidth="1"/>
    <col min="2819" max="2819" width="45.7109375" style="261" customWidth="1"/>
    <col min="2820" max="2820" width="15.7109375" style="261" customWidth="1"/>
    <col min="2821" max="3071" width="9.140625" style="261"/>
    <col min="3072" max="3073" width="15.7109375" style="261" customWidth="1"/>
    <col min="3074" max="3074" width="0" style="261" hidden="1" customWidth="1"/>
    <col min="3075" max="3075" width="45.7109375" style="261" customWidth="1"/>
    <col min="3076" max="3076" width="15.7109375" style="261" customWidth="1"/>
    <col min="3077" max="3327" width="9.140625" style="261"/>
    <col min="3328" max="3329" width="15.7109375" style="261" customWidth="1"/>
    <col min="3330" max="3330" width="0" style="261" hidden="1" customWidth="1"/>
    <col min="3331" max="3331" width="45.7109375" style="261" customWidth="1"/>
    <col min="3332" max="3332" width="15.7109375" style="261" customWidth="1"/>
    <col min="3333" max="3583" width="9.140625" style="261"/>
    <col min="3584" max="3585" width="15.7109375" style="261" customWidth="1"/>
    <col min="3586" max="3586" width="0" style="261" hidden="1" customWidth="1"/>
    <col min="3587" max="3587" width="45.7109375" style="261" customWidth="1"/>
    <col min="3588" max="3588" width="15.7109375" style="261" customWidth="1"/>
    <col min="3589" max="3839" width="9.140625" style="261"/>
    <col min="3840" max="3841" width="15.7109375" style="261" customWidth="1"/>
    <col min="3842" max="3842" width="0" style="261" hidden="1" customWidth="1"/>
    <col min="3843" max="3843" width="45.7109375" style="261" customWidth="1"/>
    <col min="3844" max="3844" width="15.7109375" style="261" customWidth="1"/>
    <col min="3845" max="4095" width="9.140625" style="261"/>
    <col min="4096" max="4097" width="15.7109375" style="261" customWidth="1"/>
    <col min="4098" max="4098" width="0" style="261" hidden="1" customWidth="1"/>
    <col min="4099" max="4099" width="45.7109375" style="261" customWidth="1"/>
    <col min="4100" max="4100" width="15.7109375" style="261" customWidth="1"/>
    <col min="4101" max="4351" width="9.140625" style="261"/>
    <col min="4352" max="4353" width="15.7109375" style="261" customWidth="1"/>
    <col min="4354" max="4354" width="0" style="261" hidden="1" customWidth="1"/>
    <col min="4355" max="4355" width="45.7109375" style="261" customWidth="1"/>
    <col min="4356" max="4356" width="15.7109375" style="261" customWidth="1"/>
    <col min="4357" max="4607" width="9.140625" style="261"/>
    <col min="4608" max="4609" width="15.7109375" style="261" customWidth="1"/>
    <col min="4610" max="4610" width="0" style="261" hidden="1" customWidth="1"/>
    <col min="4611" max="4611" width="45.7109375" style="261" customWidth="1"/>
    <col min="4612" max="4612" width="15.7109375" style="261" customWidth="1"/>
    <col min="4613" max="4863" width="9.140625" style="261"/>
    <col min="4864" max="4865" width="15.7109375" style="261" customWidth="1"/>
    <col min="4866" max="4866" width="0" style="261" hidden="1" customWidth="1"/>
    <col min="4867" max="4867" width="45.7109375" style="261" customWidth="1"/>
    <col min="4868" max="4868" width="15.7109375" style="261" customWidth="1"/>
    <col min="4869" max="5119" width="9.140625" style="261"/>
    <col min="5120" max="5121" width="15.7109375" style="261" customWidth="1"/>
    <col min="5122" max="5122" width="0" style="261" hidden="1" customWidth="1"/>
    <col min="5123" max="5123" width="45.7109375" style="261" customWidth="1"/>
    <col min="5124" max="5124" width="15.7109375" style="261" customWidth="1"/>
    <col min="5125" max="5375" width="9.140625" style="261"/>
    <col min="5376" max="5377" width="15.7109375" style="261" customWidth="1"/>
    <col min="5378" max="5378" width="0" style="261" hidden="1" customWidth="1"/>
    <col min="5379" max="5379" width="45.7109375" style="261" customWidth="1"/>
    <col min="5380" max="5380" width="15.7109375" style="261" customWidth="1"/>
    <col min="5381" max="5631" width="9.140625" style="261"/>
    <col min="5632" max="5633" width="15.7109375" style="261" customWidth="1"/>
    <col min="5634" max="5634" width="0" style="261" hidden="1" customWidth="1"/>
    <col min="5635" max="5635" width="45.7109375" style="261" customWidth="1"/>
    <col min="5636" max="5636" width="15.7109375" style="261" customWidth="1"/>
    <col min="5637" max="5887" width="9.140625" style="261"/>
    <col min="5888" max="5889" width="15.7109375" style="261" customWidth="1"/>
    <col min="5890" max="5890" width="0" style="261" hidden="1" customWidth="1"/>
    <col min="5891" max="5891" width="45.7109375" style="261" customWidth="1"/>
    <col min="5892" max="5892" width="15.7109375" style="261" customWidth="1"/>
    <col min="5893" max="6143" width="9.140625" style="261"/>
    <col min="6144" max="6145" width="15.7109375" style="261" customWidth="1"/>
    <col min="6146" max="6146" width="0" style="261" hidden="1" customWidth="1"/>
    <col min="6147" max="6147" width="45.7109375" style="261" customWidth="1"/>
    <col min="6148" max="6148" width="15.7109375" style="261" customWidth="1"/>
    <col min="6149" max="6399" width="9.140625" style="261"/>
    <col min="6400" max="6401" width="15.7109375" style="261" customWidth="1"/>
    <col min="6402" max="6402" width="0" style="261" hidden="1" customWidth="1"/>
    <col min="6403" max="6403" width="45.7109375" style="261" customWidth="1"/>
    <col min="6404" max="6404" width="15.7109375" style="261" customWidth="1"/>
    <col min="6405" max="6655" width="9.140625" style="261"/>
    <col min="6656" max="6657" width="15.7109375" style="261" customWidth="1"/>
    <col min="6658" max="6658" width="0" style="261" hidden="1" customWidth="1"/>
    <col min="6659" max="6659" width="45.7109375" style="261" customWidth="1"/>
    <col min="6660" max="6660" width="15.7109375" style="261" customWidth="1"/>
    <col min="6661" max="6911" width="9.140625" style="261"/>
    <col min="6912" max="6913" width="15.7109375" style="261" customWidth="1"/>
    <col min="6914" max="6914" width="0" style="261" hidden="1" customWidth="1"/>
    <col min="6915" max="6915" width="45.7109375" style="261" customWidth="1"/>
    <col min="6916" max="6916" width="15.7109375" style="261" customWidth="1"/>
    <col min="6917" max="7167" width="9.140625" style="261"/>
    <col min="7168" max="7169" width="15.7109375" style="261" customWidth="1"/>
    <col min="7170" max="7170" width="0" style="261" hidden="1" customWidth="1"/>
    <col min="7171" max="7171" width="45.7109375" style="261" customWidth="1"/>
    <col min="7172" max="7172" width="15.7109375" style="261" customWidth="1"/>
    <col min="7173" max="7423" width="9.140625" style="261"/>
    <col min="7424" max="7425" width="15.7109375" style="261" customWidth="1"/>
    <col min="7426" max="7426" width="0" style="261" hidden="1" customWidth="1"/>
    <col min="7427" max="7427" width="45.7109375" style="261" customWidth="1"/>
    <col min="7428" max="7428" width="15.7109375" style="261" customWidth="1"/>
    <col min="7429" max="7679" width="9.140625" style="261"/>
    <col min="7680" max="7681" width="15.7109375" style="261" customWidth="1"/>
    <col min="7682" max="7682" width="0" style="261" hidden="1" customWidth="1"/>
    <col min="7683" max="7683" width="45.7109375" style="261" customWidth="1"/>
    <col min="7684" max="7684" width="15.7109375" style="261" customWidth="1"/>
    <col min="7685" max="7935" width="9.140625" style="261"/>
    <col min="7936" max="7937" width="15.7109375" style="261" customWidth="1"/>
    <col min="7938" max="7938" width="0" style="261" hidden="1" customWidth="1"/>
    <col min="7939" max="7939" width="45.7109375" style="261" customWidth="1"/>
    <col min="7940" max="7940" width="15.7109375" style="261" customWidth="1"/>
    <col min="7941" max="8191" width="9.140625" style="261"/>
    <col min="8192" max="8193" width="15.7109375" style="261" customWidth="1"/>
    <col min="8194" max="8194" width="0" style="261" hidden="1" customWidth="1"/>
    <col min="8195" max="8195" width="45.7109375" style="261" customWidth="1"/>
    <col min="8196" max="8196" width="15.7109375" style="261" customWidth="1"/>
    <col min="8197" max="8447" width="9.140625" style="261"/>
    <col min="8448" max="8449" width="15.7109375" style="261" customWidth="1"/>
    <col min="8450" max="8450" width="0" style="261" hidden="1" customWidth="1"/>
    <col min="8451" max="8451" width="45.7109375" style="261" customWidth="1"/>
    <col min="8452" max="8452" width="15.7109375" style="261" customWidth="1"/>
    <col min="8453" max="8703" width="9.140625" style="261"/>
    <col min="8704" max="8705" width="15.7109375" style="261" customWidth="1"/>
    <col min="8706" max="8706" width="0" style="261" hidden="1" customWidth="1"/>
    <col min="8707" max="8707" width="45.7109375" style="261" customWidth="1"/>
    <col min="8708" max="8708" width="15.7109375" style="261" customWidth="1"/>
    <col min="8709" max="8959" width="9.140625" style="261"/>
    <col min="8960" max="8961" width="15.7109375" style="261" customWidth="1"/>
    <col min="8962" max="8962" width="0" style="261" hidden="1" customWidth="1"/>
    <col min="8963" max="8963" width="45.7109375" style="261" customWidth="1"/>
    <col min="8964" max="8964" width="15.7109375" style="261" customWidth="1"/>
    <col min="8965" max="9215" width="9.140625" style="261"/>
    <col min="9216" max="9217" width="15.7109375" style="261" customWidth="1"/>
    <col min="9218" max="9218" width="0" style="261" hidden="1" customWidth="1"/>
    <col min="9219" max="9219" width="45.7109375" style="261" customWidth="1"/>
    <col min="9220" max="9220" width="15.7109375" style="261" customWidth="1"/>
    <col min="9221" max="9471" width="9.140625" style="261"/>
    <col min="9472" max="9473" width="15.7109375" style="261" customWidth="1"/>
    <col min="9474" max="9474" width="0" style="261" hidden="1" customWidth="1"/>
    <col min="9475" max="9475" width="45.7109375" style="261" customWidth="1"/>
    <col min="9476" max="9476" width="15.7109375" style="261" customWidth="1"/>
    <col min="9477" max="9727" width="9.140625" style="261"/>
    <col min="9728" max="9729" width="15.7109375" style="261" customWidth="1"/>
    <col min="9730" max="9730" width="0" style="261" hidden="1" customWidth="1"/>
    <col min="9731" max="9731" width="45.7109375" style="261" customWidth="1"/>
    <col min="9732" max="9732" width="15.7109375" style="261" customWidth="1"/>
    <col min="9733" max="9983" width="9.140625" style="261"/>
    <col min="9984" max="9985" width="15.7109375" style="261" customWidth="1"/>
    <col min="9986" max="9986" width="0" style="261" hidden="1" customWidth="1"/>
    <col min="9987" max="9987" width="45.7109375" style="261" customWidth="1"/>
    <col min="9988" max="9988" width="15.7109375" style="261" customWidth="1"/>
    <col min="9989" max="10239" width="9.140625" style="261"/>
    <col min="10240" max="10241" width="15.7109375" style="261" customWidth="1"/>
    <col min="10242" max="10242" width="0" style="261" hidden="1" customWidth="1"/>
    <col min="10243" max="10243" width="45.7109375" style="261" customWidth="1"/>
    <col min="10244" max="10244" width="15.7109375" style="261" customWidth="1"/>
    <col min="10245" max="10495" width="9.140625" style="261"/>
    <col min="10496" max="10497" width="15.7109375" style="261" customWidth="1"/>
    <col min="10498" max="10498" width="0" style="261" hidden="1" customWidth="1"/>
    <col min="10499" max="10499" width="45.7109375" style="261" customWidth="1"/>
    <col min="10500" max="10500" width="15.7109375" style="261" customWidth="1"/>
    <col min="10501" max="10751" width="9.140625" style="261"/>
    <col min="10752" max="10753" width="15.7109375" style="261" customWidth="1"/>
    <col min="10754" max="10754" width="0" style="261" hidden="1" customWidth="1"/>
    <col min="10755" max="10755" width="45.7109375" style="261" customWidth="1"/>
    <col min="10756" max="10756" width="15.7109375" style="261" customWidth="1"/>
    <col min="10757" max="11007" width="9.140625" style="261"/>
    <col min="11008" max="11009" width="15.7109375" style="261" customWidth="1"/>
    <col min="11010" max="11010" width="0" style="261" hidden="1" customWidth="1"/>
    <col min="11011" max="11011" width="45.7109375" style="261" customWidth="1"/>
    <col min="11012" max="11012" width="15.7109375" style="261" customWidth="1"/>
    <col min="11013" max="11263" width="9.140625" style="261"/>
    <col min="11264" max="11265" width="15.7109375" style="261" customWidth="1"/>
    <col min="11266" max="11266" width="0" style="261" hidden="1" customWidth="1"/>
    <col min="11267" max="11267" width="45.7109375" style="261" customWidth="1"/>
    <col min="11268" max="11268" width="15.7109375" style="261" customWidth="1"/>
    <col min="11269" max="11519" width="9.140625" style="261"/>
    <col min="11520" max="11521" width="15.7109375" style="261" customWidth="1"/>
    <col min="11522" max="11522" width="0" style="261" hidden="1" customWidth="1"/>
    <col min="11523" max="11523" width="45.7109375" style="261" customWidth="1"/>
    <col min="11524" max="11524" width="15.7109375" style="261" customWidth="1"/>
    <col min="11525" max="11775" width="9.140625" style="261"/>
    <col min="11776" max="11777" width="15.7109375" style="261" customWidth="1"/>
    <col min="11778" max="11778" width="0" style="261" hidden="1" customWidth="1"/>
    <col min="11779" max="11779" width="45.7109375" style="261" customWidth="1"/>
    <col min="11780" max="11780" width="15.7109375" style="261" customWidth="1"/>
    <col min="11781" max="12031" width="9.140625" style="261"/>
    <col min="12032" max="12033" width="15.7109375" style="261" customWidth="1"/>
    <col min="12034" max="12034" width="0" style="261" hidden="1" customWidth="1"/>
    <col min="12035" max="12035" width="45.7109375" style="261" customWidth="1"/>
    <col min="12036" max="12036" width="15.7109375" style="261" customWidth="1"/>
    <col min="12037" max="12287" width="9.140625" style="261"/>
    <col min="12288" max="12289" width="15.7109375" style="261" customWidth="1"/>
    <col min="12290" max="12290" width="0" style="261" hidden="1" customWidth="1"/>
    <col min="12291" max="12291" width="45.7109375" style="261" customWidth="1"/>
    <col min="12292" max="12292" width="15.7109375" style="261" customWidth="1"/>
    <col min="12293" max="12543" width="9.140625" style="261"/>
    <col min="12544" max="12545" width="15.7109375" style="261" customWidth="1"/>
    <col min="12546" max="12546" width="0" style="261" hidden="1" customWidth="1"/>
    <col min="12547" max="12547" width="45.7109375" style="261" customWidth="1"/>
    <col min="12548" max="12548" width="15.7109375" style="261" customWidth="1"/>
    <col min="12549" max="12799" width="9.140625" style="261"/>
    <col min="12800" max="12801" width="15.7109375" style="261" customWidth="1"/>
    <col min="12802" max="12802" width="0" style="261" hidden="1" customWidth="1"/>
    <col min="12803" max="12803" width="45.7109375" style="261" customWidth="1"/>
    <col min="12804" max="12804" width="15.7109375" style="261" customWidth="1"/>
    <col min="12805" max="13055" width="9.140625" style="261"/>
    <col min="13056" max="13057" width="15.7109375" style="261" customWidth="1"/>
    <col min="13058" max="13058" width="0" style="261" hidden="1" customWidth="1"/>
    <col min="13059" max="13059" width="45.7109375" style="261" customWidth="1"/>
    <col min="13060" max="13060" width="15.7109375" style="261" customWidth="1"/>
    <col min="13061" max="13311" width="9.140625" style="261"/>
    <col min="13312" max="13313" width="15.7109375" style="261" customWidth="1"/>
    <col min="13314" max="13314" width="0" style="261" hidden="1" customWidth="1"/>
    <col min="13315" max="13315" width="45.7109375" style="261" customWidth="1"/>
    <col min="13316" max="13316" width="15.7109375" style="261" customWidth="1"/>
    <col min="13317" max="13567" width="9.140625" style="261"/>
    <col min="13568" max="13569" width="15.7109375" style="261" customWidth="1"/>
    <col min="13570" max="13570" width="0" style="261" hidden="1" customWidth="1"/>
    <col min="13571" max="13571" width="45.7109375" style="261" customWidth="1"/>
    <col min="13572" max="13572" width="15.7109375" style="261" customWidth="1"/>
    <col min="13573" max="13823" width="9.140625" style="261"/>
    <col min="13824" max="13825" width="15.7109375" style="261" customWidth="1"/>
    <col min="13826" max="13826" width="0" style="261" hidden="1" customWidth="1"/>
    <col min="13827" max="13827" width="45.7109375" style="261" customWidth="1"/>
    <col min="13828" max="13828" width="15.7109375" style="261" customWidth="1"/>
    <col min="13829" max="14079" width="9.140625" style="261"/>
    <col min="14080" max="14081" width="15.7109375" style="261" customWidth="1"/>
    <col min="14082" max="14082" width="0" style="261" hidden="1" customWidth="1"/>
    <col min="14083" max="14083" width="45.7109375" style="261" customWidth="1"/>
    <col min="14084" max="14084" width="15.7109375" style="261" customWidth="1"/>
    <col min="14085" max="14335" width="9.140625" style="261"/>
    <col min="14336" max="14337" width="15.7109375" style="261" customWidth="1"/>
    <col min="14338" max="14338" width="0" style="261" hidden="1" customWidth="1"/>
    <col min="14339" max="14339" width="45.7109375" style="261" customWidth="1"/>
    <col min="14340" max="14340" width="15.7109375" style="261" customWidth="1"/>
    <col min="14341" max="14591" width="9.140625" style="261"/>
    <col min="14592" max="14593" width="15.7109375" style="261" customWidth="1"/>
    <col min="14594" max="14594" width="0" style="261" hidden="1" customWidth="1"/>
    <col min="14595" max="14595" width="45.7109375" style="261" customWidth="1"/>
    <col min="14596" max="14596" width="15.7109375" style="261" customWidth="1"/>
    <col min="14597" max="14847" width="9.140625" style="261"/>
    <col min="14848" max="14849" width="15.7109375" style="261" customWidth="1"/>
    <col min="14850" max="14850" width="0" style="261" hidden="1" customWidth="1"/>
    <col min="14851" max="14851" width="45.7109375" style="261" customWidth="1"/>
    <col min="14852" max="14852" width="15.7109375" style="261" customWidth="1"/>
    <col min="14853" max="15103" width="9.140625" style="261"/>
    <col min="15104" max="15105" width="15.7109375" style="261" customWidth="1"/>
    <col min="15106" max="15106" width="0" style="261" hidden="1" customWidth="1"/>
    <col min="15107" max="15107" width="45.7109375" style="261" customWidth="1"/>
    <col min="15108" max="15108" width="15.7109375" style="261" customWidth="1"/>
    <col min="15109" max="15359" width="9.140625" style="261"/>
    <col min="15360" max="15361" width="15.7109375" style="261" customWidth="1"/>
    <col min="15362" max="15362" width="0" style="261" hidden="1" customWidth="1"/>
    <col min="15363" max="15363" width="45.7109375" style="261" customWidth="1"/>
    <col min="15364" max="15364" width="15.7109375" style="261" customWidth="1"/>
    <col min="15365" max="15615" width="9.140625" style="261"/>
    <col min="15616" max="15617" width="15.7109375" style="261" customWidth="1"/>
    <col min="15618" max="15618" width="0" style="261" hidden="1" customWidth="1"/>
    <col min="15619" max="15619" width="45.7109375" style="261" customWidth="1"/>
    <col min="15620" max="15620" width="15.7109375" style="261" customWidth="1"/>
    <col min="15621" max="15871" width="9.140625" style="261"/>
    <col min="15872" max="15873" width="15.7109375" style="261" customWidth="1"/>
    <col min="15874" max="15874" width="0" style="261" hidden="1" customWidth="1"/>
    <col min="15875" max="15875" width="45.7109375" style="261" customWidth="1"/>
    <col min="15876" max="15876" width="15.7109375" style="261" customWidth="1"/>
    <col min="15877" max="16127" width="9.140625" style="261"/>
    <col min="16128" max="16129" width="15.7109375" style="261" customWidth="1"/>
    <col min="16130" max="16130" width="0" style="261" hidden="1" customWidth="1"/>
    <col min="16131" max="16131" width="45.7109375" style="261" customWidth="1"/>
    <col min="16132" max="16132" width="15.7109375" style="261" customWidth="1"/>
    <col min="16133" max="16384" width="9.140625" style="261"/>
  </cols>
  <sheetData>
    <row r="1" spans="1:11" ht="21" customHeight="1" x14ac:dyDescent="0.25">
      <c r="A1" s="277" t="s">
        <v>91</v>
      </c>
      <c r="B1" s="276"/>
      <c r="C1" s="276"/>
      <c r="D1" s="275" t="s">
        <v>396</v>
      </c>
    </row>
    <row r="2" spans="1:11" ht="21" customHeight="1" x14ac:dyDescent="0.25">
      <c r="A2" s="274" t="s">
        <v>386</v>
      </c>
      <c r="B2" s="272"/>
      <c r="C2" s="273" t="s">
        <v>387</v>
      </c>
      <c r="D2" s="272"/>
    </row>
    <row r="3" spans="1:11" ht="21" customHeight="1" x14ac:dyDescent="0.25">
      <c r="A3" s="274" t="s">
        <v>92</v>
      </c>
      <c r="B3" s="272"/>
      <c r="C3" s="273" t="s">
        <v>86</v>
      </c>
      <c r="D3" s="272"/>
    </row>
    <row r="4" spans="1:11" ht="21" customHeight="1" x14ac:dyDescent="0.25">
      <c r="A4" s="274" t="s">
        <v>393</v>
      </c>
      <c r="B4" s="272"/>
      <c r="C4" s="273" t="s">
        <v>394</v>
      </c>
      <c r="D4" s="272"/>
    </row>
    <row r="5" spans="1:11" ht="21" customHeight="1" x14ac:dyDescent="0.25">
      <c r="A5" s="274" t="s">
        <v>93</v>
      </c>
      <c r="B5" s="272"/>
      <c r="C5" s="273" t="s">
        <v>87</v>
      </c>
      <c r="D5" s="272"/>
    </row>
    <row r="6" spans="1:11" ht="21" customHeight="1" x14ac:dyDescent="0.25">
      <c r="A6" s="274" t="s">
        <v>393</v>
      </c>
      <c r="B6" s="272"/>
      <c r="C6" s="273" t="s">
        <v>395</v>
      </c>
      <c r="D6" s="272"/>
    </row>
    <row r="7" spans="1:11" ht="46.5" x14ac:dyDescent="0.25">
      <c r="A7" s="725" t="s">
        <v>388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customHeight="1" x14ac:dyDescent="0.25">
      <c r="A9" s="267" t="s">
        <v>0</v>
      </c>
      <c r="B9" s="266" t="s">
        <v>90</v>
      </c>
      <c r="C9" s="719" t="s">
        <v>88</v>
      </c>
      <c r="D9" s="720"/>
      <c r="J9" s="265"/>
      <c r="K9" s="264"/>
    </row>
    <row r="10" spans="1:11" ht="30" customHeight="1" x14ac:dyDescent="0.25">
      <c r="A10" s="263"/>
      <c r="B10" s="262"/>
      <c r="C10" s="721"/>
      <c r="D10" s="722"/>
    </row>
    <row r="11" spans="1:11" ht="30" customHeight="1" x14ac:dyDescent="0.25">
      <c r="A11" s="263"/>
      <c r="B11" s="262"/>
      <c r="C11" s="721"/>
      <c r="D11" s="722"/>
    </row>
    <row r="12" spans="1:11" ht="30" customHeight="1" x14ac:dyDescent="0.25">
      <c r="A12" s="263"/>
      <c r="B12" s="262"/>
      <c r="C12" s="721"/>
      <c r="D12" s="722"/>
    </row>
    <row r="13" spans="1:11" ht="30" customHeight="1" x14ac:dyDescent="0.25">
      <c r="A13" s="263"/>
      <c r="B13" s="262"/>
      <c r="C13" s="721"/>
      <c r="D13" s="722"/>
    </row>
    <row r="14" spans="1:11" ht="30" customHeight="1" x14ac:dyDescent="0.25">
      <c r="A14" s="263"/>
      <c r="B14" s="262"/>
      <c r="C14" s="721"/>
      <c r="D14" s="722"/>
    </row>
    <row r="15" spans="1:11" ht="30" customHeight="1" x14ac:dyDescent="0.25">
      <c r="A15" s="263"/>
      <c r="B15" s="262"/>
      <c r="C15" s="721"/>
      <c r="D15" s="722"/>
    </row>
    <row r="16" spans="1:11" ht="30" customHeight="1" x14ac:dyDescent="0.25">
      <c r="A16" s="263"/>
      <c r="B16" s="262"/>
      <c r="C16" s="721"/>
      <c r="D16" s="722"/>
    </row>
    <row r="17" spans="1:4" ht="30" customHeight="1" x14ac:dyDescent="0.25">
      <c r="A17" s="263"/>
      <c r="B17" s="262"/>
      <c r="C17" s="721"/>
      <c r="D17" s="722"/>
    </row>
    <row r="18" spans="1:4" ht="30" customHeight="1" x14ac:dyDescent="0.25">
      <c r="A18" s="263"/>
      <c r="B18" s="262"/>
      <c r="C18" s="721"/>
      <c r="D18" s="722"/>
    </row>
    <row r="19" spans="1:4" ht="30" customHeight="1" x14ac:dyDescent="0.25">
      <c r="A19" s="263"/>
      <c r="B19" s="262"/>
      <c r="C19" s="721"/>
      <c r="D19" s="722"/>
    </row>
    <row r="20" spans="1:4" ht="30" customHeight="1" x14ac:dyDescent="0.25">
      <c r="A20" s="263"/>
      <c r="B20" s="262"/>
      <c r="C20" s="721"/>
      <c r="D20" s="722"/>
    </row>
    <row r="21" spans="1:4" ht="30" customHeight="1" x14ac:dyDescent="0.25">
      <c r="A21" s="263"/>
      <c r="B21" s="262"/>
      <c r="C21" s="721"/>
      <c r="D21" s="722"/>
    </row>
    <row r="22" spans="1:4" ht="30" customHeight="1" x14ac:dyDescent="0.25">
      <c r="A22" s="263"/>
      <c r="B22" s="262"/>
      <c r="C22" s="721"/>
      <c r="D22" s="722"/>
    </row>
    <row r="23" spans="1:4" ht="30" customHeight="1" x14ac:dyDescent="0.25">
      <c r="A23" s="263"/>
      <c r="B23" s="262"/>
      <c r="C23" s="721"/>
      <c r="D23" s="722"/>
    </row>
    <row r="24" spans="1:4" ht="30" customHeight="1" x14ac:dyDescent="0.25">
      <c r="A24" s="263"/>
      <c r="B24" s="262"/>
      <c r="C24" s="721"/>
      <c r="D24" s="722"/>
    </row>
    <row r="25" spans="1:4" ht="30" customHeight="1" x14ac:dyDescent="0.25">
      <c r="A25" s="263"/>
      <c r="B25" s="262"/>
      <c r="C25" s="721"/>
      <c r="D25" s="722"/>
    </row>
    <row r="26" spans="1:4" ht="30" customHeight="1" x14ac:dyDescent="0.25">
      <c r="A26" s="263"/>
      <c r="B26" s="262"/>
      <c r="C26" s="721"/>
      <c r="D26" s="722"/>
    </row>
    <row r="27" spans="1:4" ht="30" customHeight="1" x14ac:dyDescent="0.25">
      <c r="A27" s="263"/>
      <c r="B27" s="262"/>
      <c r="C27" s="721"/>
      <c r="D27" s="722"/>
    </row>
    <row r="28" spans="1:4" ht="30" customHeight="1" x14ac:dyDescent="0.25">
      <c r="A28" s="263"/>
      <c r="B28" s="262"/>
      <c r="C28" s="721"/>
      <c r="D28" s="722"/>
    </row>
    <row r="29" spans="1:4" ht="30" customHeight="1" x14ac:dyDescent="0.25">
      <c r="A29" s="263"/>
      <c r="B29" s="262"/>
      <c r="C29" s="721"/>
      <c r="D29" s="722"/>
    </row>
    <row r="30" spans="1:4" ht="30" customHeight="1" x14ac:dyDescent="0.25">
      <c r="A30" s="263"/>
      <c r="B30" s="262"/>
      <c r="C30" s="721"/>
      <c r="D30" s="722"/>
    </row>
    <row r="31" spans="1:4" ht="30" customHeight="1" x14ac:dyDescent="0.25">
      <c r="A31" s="263"/>
      <c r="B31" s="262"/>
      <c r="C31" s="721"/>
      <c r="D31" s="722"/>
    </row>
    <row r="32" spans="1:4" ht="30" customHeight="1" x14ac:dyDescent="0.25">
      <c r="A32" s="263"/>
      <c r="B32" s="262"/>
      <c r="C32" s="721"/>
      <c r="D32" s="722"/>
    </row>
    <row r="33" spans="1:4" ht="30" customHeight="1" x14ac:dyDescent="0.25">
      <c r="A33" s="263"/>
      <c r="B33" s="262"/>
      <c r="C33" s="721"/>
      <c r="D33" s="722"/>
    </row>
    <row r="34" spans="1:4" ht="30" customHeight="1" x14ac:dyDescent="0.25">
      <c r="A34" s="263"/>
      <c r="B34" s="262"/>
      <c r="C34" s="721"/>
      <c r="D34" s="722"/>
    </row>
    <row r="35" spans="1:4" ht="30" customHeight="1" x14ac:dyDescent="0.25">
      <c r="A35" s="263"/>
      <c r="B35" s="262"/>
      <c r="C35" s="721"/>
      <c r="D35" s="722"/>
    </row>
    <row r="36" spans="1:4" ht="30" customHeight="1" x14ac:dyDescent="0.25">
      <c r="A36" s="263"/>
      <c r="B36" s="262"/>
      <c r="C36" s="721"/>
      <c r="D36" s="722"/>
    </row>
    <row r="37" spans="1:4" ht="30" customHeight="1" x14ac:dyDescent="0.25">
      <c r="A37" s="263"/>
      <c r="B37" s="262"/>
      <c r="C37" s="721"/>
      <c r="D37" s="722"/>
    </row>
    <row r="38" spans="1:4" ht="30" customHeight="1" x14ac:dyDescent="0.25">
      <c r="A38" s="263"/>
      <c r="B38" s="262"/>
      <c r="C38" s="723"/>
      <c r="D38" s="724"/>
    </row>
    <row r="39" spans="1:4" ht="30" customHeight="1" x14ac:dyDescent="0.25">
      <c r="A39" s="263"/>
      <c r="B39" s="262"/>
      <c r="C39" s="723"/>
      <c r="D39" s="724"/>
    </row>
    <row r="40" spans="1:4" ht="30" customHeight="1" x14ac:dyDescent="0.25">
      <c r="A40" s="263"/>
      <c r="B40" s="262"/>
      <c r="C40" s="723"/>
      <c r="D40" s="724"/>
    </row>
    <row r="41" spans="1:4" ht="30" customHeight="1" x14ac:dyDescent="0.25">
      <c r="A41" s="263"/>
      <c r="B41" s="262"/>
      <c r="C41" s="723"/>
      <c r="D41" s="724"/>
    </row>
    <row r="42" spans="1:4" ht="30" customHeight="1" x14ac:dyDescent="0.25">
      <c r="A42" s="263"/>
      <c r="B42" s="262"/>
      <c r="C42" s="723"/>
      <c r="D42" s="724"/>
    </row>
    <row r="43" spans="1:4" ht="30" customHeight="1" x14ac:dyDescent="0.25">
      <c r="A43" s="263"/>
      <c r="B43" s="262"/>
      <c r="C43" s="723"/>
      <c r="D43" s="724"/>
    </row>
    <row r="44" spans="1:4" ht="30" customHeight="1" x14ac:dyDescent="0.25">
      <c r="A44" s="263"/>
      <c r="B44" s="262"/>
      <c r="C44" s="723"/>
      <c r="D44" s="724"/>
    </row>
    <row r="45" spans="1:4" ht="30" customHeight="1" x14ac:dyDescent="0.25">
      <c r="A45" s="263"/>
      <c r="B45" s="262"/>
      <c r="C45" s="723"/>
      <c r="D45" s="724"/>
    </row>
    <row r="46" spans="1:4" ht="30" customHeight="1" x14ac:dyDescent="0.25">
      <c r="A46" s="263"/>
      <c r="B46" s="262"/>
      <c r="C46" s="723"/>
      <c r="D46" s="724"/>
    </row>
    <row r="47" spans="1:4" ht="30" customHeight="1" x14ac:dyDescent="0.25">
      <c r="A47" s="263"/>
      <c r="B47" s="262"/>
      <c r="C47" s="723"/>
      <c r="D47" s="724"/>
    </row>
    <row r="48" spans="1:4" ht="30" customHeight="1" x14ac:dyDescent="0.25">
      <c r="A48" s="263"/>
      <c r="B48" s="262"/>
      <c r="C48" s="723"/>
      <c r="D48" s="724"/>
    </row>
    <row r="49" spans="1:4" ht="30" customHeight="1" x14ac:dyDescent="0.25">
      <c r="A49" s="263"/>
      <c r="B49" s="262"/>
      <c r="C49" s="723"/>
      <c r="D49" s="724"/>
    </row>
    <row r="50" spans="1:4" ht="30" customHeight="1" x14ac:dyDescent="0.25">
      <c r="A50" s="263"/>
      <c r="B50" s="262"/>
      <c r="C50" s="723"/>
      <c r="D50" s="724"/>
    </row>
    <row r="51" spans="1:4" ht="30" customHeight="1" x14ac:dyDescent="0.25">
      <c r="A51" s="263"/>
      <c r="B51" s="262"/>
      <c r="C51" s="723"/>
      <c r="D51" s="724"/>
    </row>
    <row r="52" spans="1:4" ht="30" customHeight="1" x14ac:dyDescent="0.25">
      <c r="A52" s="263"/>
      <c r="B52" s="262"/>
      <c r="C52" s="723"/>
      <c r="D52" s="724"/>
    </row>
    <row r="53" spans="1:4" ht="30" customHeight="1" x14ac:dyDescent="0.25">
      <c r="A53" s="263"/>
      <c r="B53" s="262"/>
      <c r="C53" s="723"/>
      <c r="D53" s="724"/>
    </row>
    <row r="54" spans="1:4" ht="30" customHeight="1" x14ac:dyDescent="0.25">
      <c r="A54" s="263"/>
      <c r="B54" s="262"/>
      <c r="C54" s="723"/>
      <c r="D54" s="724"/>
    </row>
    <row r="55" spans="1:4" ht="30" customHeight="1" x14ac:dyDescent="0.25">
      <c r="A55" s="263"/>
      <c r="B55" s="262"/>
      <c r="C55" s="723"/>
      <c r="D55" s="724"/>
    </row>
    <row r="56" spans="1:4" ht="30" customHeight="1" x14ac:dyDescent="0.25">
      <c r="A56" s="263"/>
      <c r="B56" s="262"/>
      <c r="C56" s="723"/>
      <c r="D56" s="724"/>
    </row>
    <row r="57" spans="1:4" ht="30" customHeight="1" x14ac:dyDescent="0.25">
      <c r="A57" s="263"/>
      <c r="B57" s="262"/>
      <c r="C57" s="723"/>
      <c r="D57" s="724"/>
    </row>
    <row r="58" spans="1:4" ht="30" customHeight="1" x14ac:dyDescent="0.25">
      <c r="A58" s="263"/>
      <c r="B58" s="262"/>
      <c r="C58" s="723"/>
      <c r="D58" s="724"/>
    </row>
    <row r="59" spans="1:4" ht="30" customHeight="1" x14ac:dyDescent="0.25">
      <c r="A59" s="263"/>
      <c r="B59" s="262"/>
      <c r="C59" s="723"/>
      <c r="D59" s="724"/>
    </row>
    <row r="60" spans="1:4" ht="30" customHeight="1" x14ac:dyDescent="0.25">
      <c r="A60" s="263"/>
      <c r="B60" s="262"/>
      <c r="C60" s="723"/>
      <c r="D60" s="724"/>
    </row>
    <row r="61" spans="1:4" ht="30" customHeight="1" x14ac:dyDescent="0.25">
      <c r="A61" s="263"/>
      <c r="B61" s="262"/>
      <c r="C61" s="723"/>
      <c r="D61" s="724"/>
    </row>
    <row r="62" spans="1:4" ht="30" customHeight="1" x14ac:dyDescent="0.25">
      <c r="A62" s="263"/>
      <c r="B62" s="262"/>
      <c r="C62" s="723"/>
      <c r="D62" s="724"/>
    </row>
    <row r="63" spans="1:4" ht="30" customHeight="1" x14ac:dyDescent="0.25">
      <c r="A63" s="263"/>
      <c r="B63" s="262"/>
      <c r="C63" s="723"/>
      <c r="D63" s="724"/>
    </row>
    <row r="64" spans="1:4" ht="30" customHeight="1" x14ac:dyDescent="0.25">
      <c r="A64" s="263"/>
      <c r="B64" s="262"/>
      <c r="C64" s="723"/>
      <c r="D64" s="724"/>
    </row>
    <row r="65" spans="1:4" ht="30" customHeight="1" x14ac:dyDescent="0.25">
      <c r="A65" s="263"/>
      <c r="B65" s="262"/>
      <c r="C65" s="723"/>
      <c r="D65" s="724"/>
    </row>
    <row r="66" spans="1:4" ht="30" customHeight="1" x14ac:dyDescent="0.25">
      <c r="A66" s="263"/>
      <c r="B66" s="262"/>
      <c r="C66" s="723"/>
      <c r="D66" s="724"/>
    </row>
  </sheetData>
  <sheetProtection sheet="1" objects="1" scenarios="1"/>
  <mergeCells count="59">
    <mergeCell ref="C63:D63"/>
    <mergeCell ref="C64:D64"/>
    <mergeCell ref="C65:D65"/>
    <mergeCell ref="C66:D66"/>
    <mergeCell ref="C57:D57"/>
    <mergeCell ref="C58:D58"/>
    <mergeCell ref="C59:D59"/>
    <mergeCell ref="C60:D60"/>
    <mergeCell ref="C61:D61"/>
    <mergeCell ref="C62:D62"/>
    <mergeCell ref="C55:D55"/>
    <mergeCell ref="C56:D56"/>
    <mergeCell ref="A7:D7"/>
    <mergeCell ref="C50:D50"/>
    <mergeCell ref="C51:D51"/>
    <mergeCell ref="C52:D52"/>
    <mergeCell ref="C53:D53"/>
    <mergeCell ref="C54:D54"/>
    <mergeCell ref="C45:D45"/>
    <mergeCell ref="C46:D46"/>
    <mergeCell ref="C47:D47"/>
    <mergeCell ref="C48:D48"/>
    <mergeCell ref="C49:D49"/>
    <mergeCell ref="C40:D40"/>
    <mergeCell ref="C41:D41"/>
    <mergeCell ref="C42:D42"/>
    <mergeCell ref="C43:D43"/>
    <mergeCell ref="C44:D44"/>
    <mergeCell ref="C35:D35"/>
    <mergeCell ref="C36:D36"/>
    <mergeCell ref="C37:D37"/>
    <mergeCell ref="C38:D38"/>
    <mergeCell ref="C39:D39"/>
    <mergeCell ref="C30:D30"/>
    <mergeCell ref="C31:D31"/>
    <mergeCell ref="C32:D32"/>
    <mergeCell ref="C33:D33"/>
    <mergeCell ref="C34:D34"/>
    <mergeCell ref="C25:D25"/>
    <mergeCell ref="C26:D26"/>
    <mergeCell ref="C27:D27"/>
    <mergeCell ref="C28:D28"/>
    <mergeCell ref="C29:D29"/>
    <mergeCell ref="C20:D20"/>
    <mergeCell ref="C21:D21"/>
    <mergeCell ref="C22:D22"/>
    <mergeCell ref="C23:D23"/>
    <mergeCell ref="C24:D24"/>
    <mergeCell ref="C18:D18"/>
    <mergeCell ref="C19:D19"/>
    <mergeCell ref="C11:D11"/>
    <mergeCell ref="C12:D12"/>
    <mergeCell ref="C13:D13"/>
    <mergeCell ref="C14:D14"/>
    <mergeCell ref="C9:D9"/>
    <mergeCell ref="C10:D10"/>
    <mergeCell ref="C15:D15"/>
    <mergeCell ref="C16:D16"/>
    <mergeCell ref="C17:D1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C000"/>
    <pageSetUpPr fitToPage="1"/>
  </sheetPr>
  <dimension ref="A1:AA110"/>
  <sheetViews>
    <sheetView zoomScale="80" zoomScaleNormal="80" workbookViewId="0">
      <selection activeCell="A92" sqref="A92"/>
    </sheetView>
  </sheetViews>
  <sheetFormatPr defaultRowHeight="15" x14ac:dyDescent="0.25"/>
  <cols>
    <col min="1" max="1" width="28.28515625" style="2" customWidth="1"/>
    <col min="2" max="13" width="10.7109375" style="2" customWidth="1"/>
    <col min="14" max="14" width="20.7109375" style="2" customWidth="1"/>
    <col min="15" max="15" width="17.42578125" style="2" customWidth="1"/>
    <col min="16" max="17" width="20.7109375" style="2" customWidth="1"/>
    <col min="18" max="19" width="30.7109375" style="2" customWidth="1"/>
    <col min="20" max="20" width="50.7109375" style="2" customWidth="1"/>
    <col min="21" max="22" width="10.7109375" style="2" customWidth="1"/>
    <col min="23" max="23" width="80.7109375" style="2" customWidth="1"/>
    <col min="24" max="24" width="40.7109375" style="2" customWidth="1"/>
    <col min="25" max="26" width="27.140625" style="20" customWidth="1"/>
    <col min="27" max="27" width="9.140625" style="20"/>
    <col min="28" max="16384" width="9.140625" style="2"/>
  </cols>
  <sheetData>
    <row r="1" spans="1:25" x14ac:dyDescent="0.25">
      <c r="A1" s="475" t="s">
        <v>27</v>
      </c>
      <c r="B1" s="72" t="s">
        <v>451</v>
      </c>
      <c r="C1" s="15"/>
      <c r="D1" s="15"/>
      <c r="E1" s="20"/>
      <c r="F1" s="20"/>
      <c r="G1" s="20"/>
      <c r="H1" s="20"/>
      <c r="I1" s="20"/>
      <c r="J1" s="20"/>
      <c r="R1" s="20"/>
    </row>
    <row r="2" spans="1:25" x14ac:dyDescent="0.25">
      <c r="A2" s="19" t="s">
        <v>28</v>
      </c>
      <c r="B2" s="72" t="s">
        <v>452</v>
      </c>
      <c r="C2" s="15"/>
      <c r="D2" s="15"/>
      <c r="F2" s="20"/>
      <c r="G2" s="20"/>
      <c r="I2" s="20"/>
      <c r="J2" s="20"/>
      <c r="O2" s="2" t="s">
        <v>893</v>
      </c>
    </row>
    <row r="3" spans="1:25" x14ac:dyDescent="0.25">
      <c r="A3" s="19" t="s">
        <v>107</v>
      </c>
      <c r="B3" s="72" t="s">
        <v>453</v>
      </c>
      <c r="C3" s="15"/>
      <c r="D3" s="15"/>
      <c r="F3" s="20"/>
      <c r="G3" s="20"/>
      <c r="I3" s="20"/>
      <c r="J3" s="20"/>
      <c r="O3" s="2" t="s">
        <v>894</v>
      </c>
    </row>
    <row r="4" spans="1:25" x14ac:dyDescent="0.25">
      <c r="A4" s="19" t="s">
        <v>198</v>
      </c>
      <c r="B4" s="190">
        <v>42</v>
      </c>
      <c r="C4" s="15"/>
      <c r="D4" s="15"/>
      <c r="F4" s="20"/>
      <c r="G4" s="20"/>
      <c r="H4" s="20"/>
      <c r="I4" s="20"/>
      <c r="J4" s="20"/>
      <c r="L4" s="2" t="s">
        <v>210</v>
      </c>
      <c r="O4" s="2" t="s">
        <v>895</v>
      </c>
      <c r="R4" s="20"/>
    </row>
    <row r="5" spans="1:25" x14ac:dyDescent="0.25">
      <c r="A5" s="19" t="s">
        <v>104</v>
      </c>
      <c r="B5" s="73">
        <v>1.0416666666666666E-2</v>
      </c>
      <c r="C5" s="15"/>
      <c r="D5" s="15"/>
      <c r="F5" s="20"/>
      <c r="G5" s="20"/>
      <c r="H5" s="20"/>
      <c r="I5" s="20"/>
      <c r="J5" s="20"/>
      <c r="L5" s="2" t="s">
        <v>211</v>
      </c>
      <c r="O5" s="2" t="s">
        <v>896</v>
      </c>
      <c r="R5" s="20"/>
    </row>
    <row r="6" spans="1:25" x14ac:dyDescent="0.25">
      <c r="A6" s="19" t="s">
        <v>105</v>
      </c>
      <c r="B6" s="73">
        <v>1.0416666666666666E-2</v>
      </c>
      <c r="C6" s="15"/>
      <c r="D6" s="15"/>
      <c r="E6" s="20"/>
      <c r="F6" s="20"/>
      <c r="H6" s="20"/>
      <c r="I6" s="20"/>
      <c r="J6" s="20"/>
      <c r="L6" s="2" t="s">
        <v>212</v>
      </c>
      <c r="O6" s="2" t="s">
        <v>897</v>
      </c>
      <c r="R6" s="20"/>
    </row>
    <row r="7" spans="1:25" x14ac:dyDescent="0.25">
      <c r="A7" s="19" t="s">
        <v>106</v>
      </c>
      <c r="B7" s="73">
        <v>0.41736111111111113</v>
      </c>
      <c r="C7" s="15"/>
      <c r="D7" s="15"/>
      <c r="E7" s="20"/>
      <c r="F7" s="20"/>
      <c r="H7" s="20"/>
      <c r="I7" s="20"/>
      <c r="J7" s="20"/>
      <c r="L7" s="2" t="s">
        <v>214</v>
      </c>
      <c r="M7" s="20"/>
      <c r="O7" s="20"/>
      <c r="P7" s="20"/>
      <c r="R7" s="20"/>
      <c r="Y7" s="2"/>
    </row>
    <row r="8" spans="1:25" x14ac:dyDescent="0.25">
      <c r="A8" s="19"/>
      <c r="B8" s="93"/>
      <c r="C8" s="20"/>
      <c r="D8" s="20"/>
      <c r="L8" s="2" t="s">
        <v>270</v>
      </c>
    </row>
    <row r="9" spans="1:25" s="21" customFormat="1" ht="63.75" x14ac:dyDescent="0.25">
      <c r="A9" s="121" t="s">
        <v>38</v>
      </c>
      <c r="B9" s="106" t="s">
        <v>75</v>
      </c>
      <c r="C9" s="106" t="s">
        <v>82</v>
      </c>
      <c r="D9" s="106" t="s">
        <v>111</v>
      </c>
      <c r="E9" s="121" t="s">
        <v>12</v>
      </c>
      <c r="F9" s="106" t="s">
        <v>74</v>
      </c>
      <c r="G9" s="106" t="s">
        <v>13</v>
      </c>
      <c r="H9" s="106" t="s">
        <v>114</v>
      </c>
      <c r="I9" s="106" t="s">
        <v>37</v>
      </c>
      <c r="J9" s="106" t="s">
        <v>110</v>
      </c>
      <c r="K9" s="106" t="s">
        <v>83</v>
      </c>
      <c r="L9" s="106" t="s">
        <v>113</v>
      </c>
      <c r="M9" s="106" t="s">
        <v>112</v>
      </c>
      <c r="N9" s="106" t="s">
        <v>386</v>
      </c>
      <c r="O9" s="106" t="s">
        <v>387</v>
      </c>
      <c r="P9" s="106" t="s">
        <v>79</v>
      </c>
      <c r="Q9" s="106" t="s">
        <v>899</v>
      </c>
      <c r="R9" s="106" t="s">
        <v>898</v>
      </c>
    </row>
    <row r="10" spans="1:25" s="33" customFormat="1" x14ac:dyDescent="0.25">
      <c r="A10" s="113" t="s">
        <v>317</v>
      </c>
      <c r="B10" s="109" t="str">
        <f>IF(AND(LEFT(A10,2)="КВ",H10&gt;0),H10,"")</f>
        <v/>
      </c>
      <c r="C10" s="107"/>
      <c r="D10" s="108">
        <f>IF(AND(LEFT(A10,2)="КВ",L10&gt;0),L10,0)</f>
        <v>0</v>
      </c>
      <c r="E10" s="109" t="str">
        <f>IF(AND(LEFT(A10,2)="КВ",ISNUMBER(C10)),B10/(C10-D10)/24,"")</f>
        <v/>
      </c>
      <c r="F10" s="109"/>
      <c r="G10" s="108">
        <f t="shared" ref="G10:G41" si="0">IF(ROW()=10,старт,G9+M10+K9)</f>
        <v>0.41736111111111113</v>
      </c>
      <c r="H10" s="109"/>
      <c r="I10" s="109">
        <f>IF(AND(LEFT(A9,2)&lt;&gt;"КВ",ROW()&gt;10),H10-H9,H10)</f>
        <v>0</v>
      </c>
      <c r="J10" s="109" t="str">
        <f>IFERROR(VLOOKUP("КВ*",A10:G$69,5,FALSE),0)</f>
        <v/>
      </c>
      <c r="K10" s="107"/>
      <c r="L10" s="108">
        <f>IF(AND(LEFT(A9,2)&lt;&gt;"КВ",ROW()&gt;10),L9+K10,0)</f>
        <v>0</v>
      </c>
      <c r="M10" s="110">
        <f>IF(AND(J10&lt;&gt;"",J10&lt;&gt;0),I10/J10/24,0)</f>
        <v>0</v>
      </c>
      <c r="N10" s="111"/>
      <c r="O10" s="112"/>
      <c r="P10" s="111"/>
      <c r="Q10" s="432">
        <f>суперМЛ[[#This Row],[Расчетное время прибытия 1-го экипажа]]-времяОткрытия</f>
        <v>0.40694444444444444</v>
      </c>
      <c r="R10" s="432">
        <f>суперМЛ[[#This Row],[Расчетное время прибытия 1-го экипажа]]+TIME(0,числоЭкипажей,0)+времяЗакрытия</f>
        <v>0.45694444444444449</v>
      </c>
      <c r="T10" s="173"/>
    </row>
    <row r="11" spans="1:25" s="33" customFormat="1" x14ac:dyDescent="0.25">
      <c r="A11" s="113" t="s">
        <v>807</v>
      </c>
      <c r="B11" s="109" t="str">
        <f t="shared" ref="B11:B69" si="1">IF(AND(LEFT(A11,2)="КВ",H11&gt;0),H11,"")</f>
        <v/>
      </c>
      <c r="C11" s="107"/>
      <c r="D11" s="108">
        <f t="shared" ref="D11:D69" si="2">IF(AND(LEFT(A11,2)="КВ",L11&gt;0),L11,0)</f>
        <v>0</v>
      </c>
      <c r="E11" s="109" t="str">
        <f t="shared" ref="E11:E69" si="3">IF(AND(LEFT(A11,2)="КВ",ISNUMBER(C11)),B11/(C11-D11)/24,"")</f>
        <v/>
      </c>
      <c r="F11" s="109"/>
      <c r="G11" s="108">
        <f t="shared" si="0"/>
        <v>0.41736111111111113</v>
      </c>
      <c r="H11" s="109"/>
      <c r="I11" s="109">
        <f t="shared" ref="I11:I69" si="4">IF(AND(LEFT(A10,2)&lt;&gt;"КВ",ROW()&gt;10),H11-H10,H11)</f>
        <v>0</v>
      </c>
      <c r="J11" s="109" t="str">
        <f>IFERROR(VLOOKUP("КВ*",A11:G$69,5,FALSE),0)</f>
        <v/>
      </c>
      <c r="K11" s="107"/>
      <c r="L11" s="108">
        <f t="shared" ref="L11:L69" si="5">IF(AND(LEFT(A10,2)&lt;&gt;"КВ",ROW()&gt;10),L10+K11,0)</f>
        <v>0</v>
      </c>
      <c r="M11" s="110">
        <f t="shared" ref="M11:M69" si="6">IF(AND(J11&lt;&gt;"",J11&lt;&gt;0),I11/J11/24,0)</f>
        <v>0</v>
      </c>
      <c r="N11" s="111"/>
      <c r="O11" s="112"/>
      <c r="P11" s="111"/>
      <c r="Q11" s="432">
        <f>суперМЛ[[#This Row],[Расчетное время прибытия 1-го экипажа]]-времяОткрытия</f>
        <v>0.40694444444444444</v>
      </c>
      <c r="R11" s="432">
        <f>суперМЛ[[#This Row],[Расчетное время прибытия 1-го экипажа]]+TIME(0,числоЭкипажей,0)+времяЗакрытия</f>
        <v>0.45694444444444449</v>
      </c>
    </row>
    <row r="12" spans="1:25" s="23" customFormat="1" x14ac:dyDescent="0.25">
      <c r="A12" s="143" t="s">
        <v>71</v>
      </c>
      <c r="B12" s="144" t="str">
        <f t="shared" si="1"/>
        <v/>
      </c>
      <c r="C12" s="145"/>
      <c r="D12" s="146">
        <f t="shared" si="2"/>
        <v>0</v>
      </c>
      <c r="E12" s="144" t="str">
        <f t="shared" si="3"/>
        <v/>
      </c>
      <c r="F12" s="144"/>
      <c r="G12" s="146">
        <f t="shared" si="0"/>
        <v>0.41736111111111113</v>
      </c>
      <c r="H12" s="144"/>
      <c r="I12" s="144">
        <f t="shared" si="4"/>
        <v>0</v>
      </c>
      <c r="J12" s="144" t="str">
        <f>IFERROR(VLOOKUP("КВ*",A12:G$69,5,FALSE),0)</f>
        <v/>
      </c>
      <c r="K12" s="145"/>
      <c r="L12" s="146">
        <f t="shared" si="5"/>
        <v>0</v>
      </c>
      <c r="M12" s="147">
        <f t="shared" si="6"/>
        <v>0</v>
      </c>
      <c r="N12" s="148" t="s">
        <v>772</v>
      </c>
      <c r="O12" s="149" t="s">
        <v>561</v>
      </c>
      <c r="P12" s="148" t="s">
        <v>562</v>
      </c>
      <c r="Q12" s="433">
        <f>суперМЛ[[#This Row],[Расчетное время прибытия 1-го экипажа]]-времяОткрытия</f>
        <v>0.40694444444444444</v>
      </c>
      <c r="R12" s="433">
        <f>суперМЛ[[#This Row],[Расчетное время прибытия 1-го экипажа]]+TIME(0,числоЭкипажей,0)+времяЗакрытия</f>
        <v>0.45694444444444449</v>
      </c>
    </row>
    <row r="13" spans="1:25" s="33" customFormat="1" x14ac:dyDescent="0.25">
      <c r="A13" s="113" t="s">
        <v>489</v>
      </c>
      <c r="B13" s="109" t="str">
        <f t="shared" si="1"/>
        <v/>
      </c>
      <c r="C13" s="107"/>
      <c r="D13" s="108">
        <f t="shared" si="2"/>
        <v>0</v>
      </c>
      <c r="E13" s="109" t="str">
        <f t="shared" si="3"/>
        <v/>
      </c>
      <c r="F13" s="109"/>
      <c r="G13" s="108">
        <f t="shared" si="0"/>
        <v>0.43320567171702812</v>
      </c>
      <c r="H13" s="109">
        <v>5</v>
      </c>
      <c r="I13" s="109">
        <f t="shared" si="4"/>
        <v>5</v>
      </c>
      <c r="J13" s="109">
        <f>IFERROR(VLOOKUP("КВ*",A13:G$69,5,FALSE),0)</f>
        <v>13.148571204652596</v>
      </c>
      <c r="K13" s="107"/>
      <c r="L13" s="108">
        <f t="shared" si="5"/>
        <v>0</v>
      </c>
      <c r="M13" s="110">
        <f t="shared" si="6"/>
        <v>1.5844560605917015E-2</v>
      </c>
      <c r="N13" s="111" t="s">
        <v>774</v>
      </c>
      <c r="O13" s="112" t="s">
        <v>563</v>
      </c>
      <c r="P13" s="111" t="s">
        <v>564</v>
      </c>
      <c r="Q13" s="432">
        <f>суперМЛ[[#This Row],[Расчетное время прибытия 1-го экипажа]]-времяОткрытия</f>
        <v>0.42278900505036143</v>
      </c>
      <c r="R13" s="432">
        <f>суперМЛ[[#This Row],[Расчетное время прибытия 1-го экипажа]]+TIME(0,числоЭкипажей,0)+времяЗакрытия</f>
        <v>0.47278900505036148</v>
      </c>
    </row>
    <row r="14" spans="1:25" s="23" customFormat="1" x14ac:dyDescent="0.25">
      <c r="A14" s="143" t="s">
        <v>580</v>
      </c>
      <c r="B14" s="144">
        <f t="shared" si="1"/>
        <v>15.34</v>
      </c>
      <c r="C14" s="145">
        <v>4.86111119389534E-2</v>
      </c>
      <c r="D14" s="146">
        <f t="shared" si="2"/>
        <v>0</v>
      </c>
      <c r="E14" s="144">
        <f t="shared" si="3"/>
        <v>13.148571204652596</v>
      </c>
      <c r="F14" s="144"/>
      <c r="G14" s="146">
        <f t="shared" si="0"/>
        <v>0.46597222305006453</v>
      </c>
      <c r="H14" s="144">
        <v>15.34</v>
      </c>
      <c r="I14" s="144">
        <f t="shared" si="4"/>
        <v>10.34</v>
      </c>
      <c r="J14" s="144">
        <f>IFERROR(VLOOKUP("КВ*",A14:G$69,5,FALSE),0)</f>
        <v>13.148571204652596</v>
      </c>
      <c r="K14" s="145"/>
      <c r="L14" s="146">
        <f t="shared" si="5"/>
        <v>0</v>
      </c>
      <c r="M14" s="147">
        <f t="shared" si="6"/>
        <v>3.2766551333036388E-2</v>
      </c>
      <c r="N14" s="148" t="s">
        <v>765</v>
      </c>
      <c r="O14" s="149"/>
      <c r="P14" s="148" t="s">
        <v>562</v>
      </c>
      <c r="Q14" s="433">
        <f>суперМЛ[[#This Row],[Расчетное время прибытия 1-го экипажа]]-времяОткрытия</f>
        <v>0.45555555638339784</v>
      </c>
      <c r="R14" s="433">
        <f>суперМЛ[[#This Row],[Расчетное время прибытия 1-го экипажа]]+TIME(0,числоЭкипажей,0)+времяЗакрытия</f>
        <v>0.50555555638339789</v>
      </c>
    </row>
    <row r="15" spans="1:25" s="33" customFormat="1" x14ac:dyDescent="0.25">
      <c r="A15" s="113" t="s">
        <v>638</v>
      </c>
      <c r="B15" s="109" t="str">
        <f t="shared" si="1"/>
        <v/>
      </c>
      <c r="C15" s="107"/>
      <c r="D15" s="108">
        <f t="shared" si="2"/>
        <v>0</v>
      </c>
      <c r="E15" s="109" t="str">
        <f t="shared" si="3"/>
        <v/>
      </c>
      <c r="F15" s="109"/>
      <c r="G15" s="108">
        <f t="shared" si="0"/>
        <v>0.46597222305006453</v>
      </c>
      <c r="H15" s="109">
        <v>0</v>
      </c>
      <c r="I15" s="109">
        <f t="shared" si="4"/>
        <v>0</v>
      </c>
      <c r="J15" s="109">
        <f>IFERROR(VLOOKUP("КВ*",A15:G$69,5,FALSE),0)</f>
        <v>56.177141900451829</v>
      </c>
      <c r="K15" s="107"/>
      <c r="L15" s="108">
        <f t="shared" si="5"/>
        <v>0</v>
      </c>
      <c r="M15" s="110">
        <f t="shared" si="6"/>
        <v>0</v>
      </c>
      <c r="N15" s="111" t="s">
        <v>766</v>
      </c>
      <c r="O15" s="112" t="s">
        <v>569</v>
      </c>
      <c r="P15" s="111" t="s">
        <v>324</v>
      </c>
      <c r="Q15" s="432">
        <f>суперМЛ[[#This Row],[Расчетное время прибытия 1-го экипажа]]-времяОткрытия</f>
        <v>0.45555555638339784</v>
      </c>
      <c r="R15" s="432">
        <f>суперМЛ[[#This Row],[Расчетное время прибытия 1-го экипажа]]+TIME(0,числоЭкипажей,0)+времяЗакрытия</f>
        <v>0.50555555638339789</v>
      </c>
    </row>
    <row r="16" spans="1:25" s="33" customFormat="1" x14ac:dyDescent="0.25">
      <c r="A16" s="113" t="s">
        <v>496</v>
      </c>
      <c r="B16" s="109" t="str">
        <f t="shared" si="1"/>
        <v/>
      </c>
      <c r="C16" s="107"/>
      <c r="D16" s="108">
        <f t="shared" si="2"/>
        <v>0</v>
      </c>
      <c r="E16" s="109" t="str">
        <f t="shared" si="3"/>
        <v/>
      </c>
      <c r="F16" s="109"/>
      <c r="G16" s="108">
        <f t="shared" si="0"/>
        <v>0.47727575289366614</v>
      </c>
      <c r="H16" s="109">
        <v>15.239999999999998</v>
      </c>
      <c r="I16" s="109">
        <f t="shared" si="4"/>
        <v>15.239999999999998</v>
      </c>
      <c r="J16" s="109">
        <f>IFERROR(VLOOKUP("КВ*",A16:G$69,5,FALSE),0)</f>
        <v>56.177141900451829</v>
      </c>
      <c r="K16" s="107"/>
      <c r="L16" s="108">
        <f t="shared" si="5"/>
        <v>0</v>
      </c>
      <c r="M16" s="110">
        <f t="shared" si="6"/>
        <v>1.1303529843601614E-2</v>
      </c>
      <c r="N16" s="111" t="s">
        <v>566</v>
      </c>
      <c r="O16" s="112" t="s">
        <v>860</v>
      </c>
      <c r="P16" s="111" t="s">
        <v>565</v>
      </c>
      <c r="Q16" s="432">
        <f>суперМЛ[[#This Row],[Расчетное время прибытия 1-го экипажа]]-времяОткрытия</f>
        <v>0.46685908622699945</v>
      </c>
      <c r="R16" s="432">
        <f>суперМЛ[[#This Row],[Расчетное время прибытия 1-го экипажа]]+TIME(0,числоЭкипажей,0)+времяЗакрытия</f>
        <v>0.51685908622699939</v>
      </c>
    </row>
    <row r="17" spans="1:18" s="33" customFormat="1" x14ac:dyDescent="0.25">
      <c r="A17" s="113" t="s">
        <v>495</v>
      </c>
      <c r="B17" s="109" t="str">
        <f t="shared" si="1"/>
        <v/>
      </c>
      <c r="C17" s="107"/>
      <c r="D17" s="108">
        <f t="shared" si="2"/>
        <v>0</v>
      </c>
      <c r="E17" s="109" t="str">
        <f t="shared" si="3"/>
        <v/>
      </c>
      <c r="F17" s="109"/>
      <c r="G17" s="108">
        <f t="shared" si="0"/>
        <v>0.49069313182219326</v>
      </c>
      <c r="H17" s="109">
        <v>33.33</v>
      </c>
      <c r="I17" s="109">
        <f t="shared" si="4"/>
        <v>18.09</v>
      </c>
      <c r="J17" s="109">
        <f>IFERROR(VLOOKUP("КВ*",A17:G$69,5,FALSE),0)</f>
        <v>56.177141900451829</v>
      </c>
      <c r="K17" s="107"/>
      <c r="L17" s="108">
        <f t="shared" si="5"/>
        <v>0</v>
      </c>
      <c r="M17" s="110">
        <f t="shared" si="6"/>
        <v>1.3417378928527115E-2</v>
      </c>
      <c r="N17" s="111" t="s">
        <v>773</v>
      </c>
      <c r="O17" s="112" t="s">
        <v>775</v>
      </c>
      <c r="P17" s="111" t="s">
        <v>325</v>
      </c>
      <c r="Q17" s="432">
        <f>суперМЛ[[#This Row],[Расчетное время прибытия 1-го экипажа]]-времяОткрытия</f>
        <v>0.48027646515552658</v>
      </c>
      <c r="R17" s="432">
        <f>суперМЛ[[#This Row],[Расчетное время прибытия 1-го экипажа]]+TIME(0,числоЭкипажей,0)+времяЗакрытия</f>
        <v>0.53027646515552651</v>
      </c>
    </row>
    <row r="18" spans="1:18" s="23" customFormat="1" x14ac:dyDescent="0.25">
      <c r="A18" s="143" t="s">
        <v>581</v>
      </c>
      <c r="B18" s="144">
        <f t="shared" si="1"/>
        <v>65.539999999999992</v>
      </c>
      <c r="C18" s="145">
        <v>4.86111119389534E-2</v>
      </c>
      <c r="D18" s="146">
        <f t="shared" si="2"/>
        <v>0</v>
      </c>
      <c r="E18" s="144">
        <f t="shared" si="3"/>
        <v>56.177141900451829</v>
      </c>
      <c r="F18" s="144"/>
      <c r="G18" s="146">
        <f t="shared" si="0"/>
        <v>0.51458333498901798</v>
      </c>
      <c r="H18" s="144">
        <v>65.539999999999992</v>
      </c>
      <c r="I18" s="144">
        <f t="shared" si="4"/>
        <v>32.209999999999994</v>
      </c>
      <c r="J18" s="144">
        <f>IFERROR(VLOOKUP("КВ*",A18:G$69,5,FALSE),0)</f>
        <v>56.177141900451829</v>
      </c>
      <c r="K18" s="145"/>
      <c r="L18" s="146">
        <f t="shared" si="5"/>
        <v>0</v>
      </c>
      <c r="M18" s="147">
        <f t="shared" si="6"/>
        <v>2.3890203166824667E-2</v>
      </c>
      <c r="N18" s="148" t="s">
        <v>772</v>
      </c>
      <c r="O18" s="149" t="s">
        <v>561</v>
      </c>
      <c r="P18" s="148" t="s">
        <v>562</v>
      </c>
      <c r="Q18" s="433">
        <f>суперМЛ[[#This Row],[Расчетное время прибытия 1-го экипажа]]-времяОткрытия</f>
        <v>0.50416666832235135</v>
      </c>
      <c r="R18" s="433">
        <f>суперМЛ[[#This Row],[Расчетное время прибытия 1-го экипажа]]+TIME(0,числоЭкипажей,0)+времяЗакрытия</f>
        <v>0.55416666832235129</v>
      </c>
    </row>
    <row r="19" spans="1:18" s="23" customFormat="1" x14ac:dyDescent="0.25">
      <c r="A19" s="143" t="s">
        <v>582</v>
      </c>
      <c r="B19" s="144">
        <f t="shared" si="1"/>
        <v>21.84</v>
      </c>
      <c r="C19" s="145">
        <v>2.43055559694767E-2</v>
      </c>
      <c r="D19" s="146">
        <f t="shared" si="2"/>
        <v>0</v>
      </c>
      <c r="E19" s="144">
        <f t="shared" si="3"/>
        <v>37.439999362400606</v>
      </c>
      <c r="F19" s="144"/>
      <c r="G19" s="146">
        <f t="shared" si="0"/>
        <v>0.53888889095849468</v>
      </c>
      <c r="H19" s="144">
        <v>21.84</v>
      </c>
      <c r="I19" s="144">
        <f t="shared" si="4"/>
        <v>21.84</v>
      </c>
      <c r="J19" s="144">
        <f>IFERROR(VLOOKUP("КВ*",A19:G$69,5,FALSE),0)</f>
        <v>37.439999362400606</v>
      </c>
      <c r="K19" s="145"/>
      <c r="L19" s="146">
        <f t="shared" si="5"/>
        <v>0</v>
      </c>
      <c r="M19" s="147">
        <f t="shared" si="6"/>
        <v>2.4305555969476703E-2</v>
      </c>
      <c r="N19" s="148" t="s">
        <v>772</v>
      </c>
      <c r="O19" s="149" t="s">
        <v>561</v>
      </c>
      <c r="P19" s="148" t="s">
        <v>562</v>
      </c>
      <c r="Q19" s="433">
        <f>суперМЛ[[#This Row],[Расчетное время прибытия 1-го экипажа]]-времяОткрытия</f>
        <v>0.52847222429182805</v>
      </c>
      <c r="R19" s="433">
        <f>суперМЛ[[#This Row],[Расчетное время прибытия 1-го экипажа]]+TIME(0,числоЭкипажей,0)+времяЗакрытия</f>
        <v>0.57847222429182799</v>
      </c>
    </row>
    <row r="20" spans="1:18" s="23" customFormat="1" x14ac:dyDescent="0.25">
      <c r="A20" s="143" t="s">
        <v>696</v>
      </c>
      <c r="B20" s="144">
        <f t="shared" si="1"/>
        <v>41</v>
      </c>
      <c r="C20" s="145">
        <v>2.43055559694767E-2</v>
      </c>
      <c r="D20" s="146">
        <f t="shared" si="2"/>
        <v>0</v>
      </c>
      <c r="E20" s="144">
        <f t="shared" si="3"/>
        <v>70.285713088755728</v>
      </c>
      <c r="F20" s="144"/>
      <c r="G20" s="146">
        <f t="shared" si="0"/>
        <v>0.56319444692797138</v>
      </c>
      <c r="H20" s="144">
        <v>41</v>
      </c>
      <c r="I20" s="144">
        <f t="shared" si="4"/>
        <v>41</v>
      </c>
      <c r="J20" s="144">
        <f>IFERROR(VLOOKUP("КВ*",A20:G$69,5,FALSE),0)</f>
        <v>70.285713088755728</v>
      </c>
      <c r="K20" s="145"/>
      <c r="L20" s="146">
        <f t="shared" si="5"/>
        <v>0</v>
      </c>
      <c r="M20" s="147">
        <f t="shared" si="6"/>
        <v>2.43055559694767E-2</v>
      </c>
      <c r="N20" s="148" t="s">
        <v>765</v>
      </c>
      <c r="O20" s="149"/>
      <c r="P20" s="148" t="s">
        <v>562</v>
      </c>
      <c r="Q20" s="433">
        <f>суперМЛ[[#This Row],[Расчетное время прибытия 1-го экипажа]]-времяОткрытия</f>
        <v>0.55277778026130475</v>
      </c>
      <c r="R20" s="433">
        <f>суперМЛ[[#This Row],[Расчетное время прибытия 1-го экипажа]]+TIME(0,числоЭкипажей,0)+времяЗакрытия</f>
        <v>0.60277778026130469</v>
      </c>
    </row>
    <row r="21" spans="1:18" s="33" customFormat="1" x14ac:dyDescent="0.25">
      <c r="A21" s="113" t="s">
        <v>519</v>
      </c>
      <c r="B21" s="109" t="str">
        <f t="shared" si="1"/>
        <v/>
      </c>
      <c r="C21" s="107"/>
      <c r="D21" s="108">
        <f t="shared" si="2"/>
        <v>0</v>
      </c>
      <c r="E21" s="109" t="str">
        <f t="shared" si="3"/>
        <v/>
      </c>
      <c r="F21" s="109"/>
      <c r="G21" s="108">
        <f t="shared" si="0"/>
        <v>0.56319444692797138</v>
      </c>
      <c r="H21" s="109">
        <v>0</v>
      </c>
      <c r="I21" s="109">
        <f t="shared" si="4"/>
        <v>0</v>
      </c>
      <c r="J21" s="109">
        <f>IFERROR(VLOOKUP("КВ*",A21:G$69,5,FALSE),0)</f>
        <v>41.199999999999996</v>
      </c>
      <c r="K21" s="107"/>
      <c r="L21" s="108">
        <f t="shared" si="5"/>
        <v>0</v>
      </c>
      <c r="M21" s="110">
        <f t="shared" si="6"/>
        <v>0</v>
      </c>
      <c r="N21" s="111" t="s">
        <v>766</v>
      </c>
      <c r="O21" s="112" t="s">
        <v>569</v>
      </c>
      <c r="P21" s="111" t="s">
        <v>324</v>
      </c>
      <c r="Q21" s="432">
        <f>суперМЛ[[#This Row],[Расчетное время прибытия 1-го экипажа]]-времяОткрытия</f>
        <v>0.55277778026130475</v>
      </c>
      <c r="R21" s="432">
        <f>суперМЛ[[#This Row],[Расчетное время прибытия 1-го экипажа]]+TIME(0,числоЭкипажей,0)+времяЗакрытия</f>
        <v>0.60277778026130469</v>
      </c>
    </row>
    <row r="22" spans="1:18" s="33" customFormat="1" x14ac:dyDescent="0.25">
      <c r="A22" s="113" t="s">
        <v>392</v>
      </c>
      <c r="B22" s="109" t="str">
        <f t="shared" si="1"/>
        <v/>
      </c>
      <c r="C22" s="107"/>
      <c r="D22" s="108">
        <f t="shared" si="2"/>
        <v>0</v>
      </c>
      <c r="E22" s="109" t="str">
        <f t="shared" si="3"/>
        <v/>
      </c>
      <c r="F22" s="109"/>
      <c r="G22" s="108">
        <f t="shared" si="0"/>
        <v>0.573560547251596</v>
      </c>
      <c r="H22" s="109">
        <v>10.25</v>
      </c>
      <c r="I22" s="109">
        <f t="shared" si="4"/>
        <v>10.25</v>
      </c>
      <c r="J22" s="109">
        <f>IFERROR(VLOOKUP("КВ*",A22:G$69,5,FALSE),0)</f>
        <v>41.199999999999996</v>
      </c>
      <c r="K22" s="107"/>
      <c r="L22" s="108">
        <f t="shared" si="5"/>
        <v>0</v>
      </c>
      <c r="M22" s="110">
        <f t="shared" si="6"/>
        <v>1.0366100323624597E-2</v>
      </c>
      <c r="N22" s="111" t="s">
        <v>566</v>
      </c>
      <c r="O22" s="112" t="s">
        <v>570</v>
      </c>
      <c r="P22" s="111" t="s">
        <v>565</v>
      </c>
      <c r="Q22" s="432">
        <f>суперМЛ[[#This Row],[Расчетное время прибытия 1-го экипажа]]-времяОткрытия</f>
        <v>0.56314388058492937</v>
      </c>
      <c r="R22" s="432">
        <f>суперМЛ[[#This Row],[Расчетное время прибытия 1-го экипажа]]+TIME(0,числоЭкипажей,0)+времяЗакрытия</f>
        <v>0.6131438805849293</v>
      </c>
    </row>
    <row r="23" spans="1:18" s="33" customFormat="1" x14ac:dyDescent="0.25">
      <c r="A23" s="113" t="s">
        <v>302</v>
      </c>
      <c r="B23" s="109" t="str">
        <f t="shared" si="1"/>
        <v/>
      </c>
      <c r="C23" s="107"/>
      <c r="D23" s="108">
        <f t="shared" si="2"/>
        <v>0</v>
      </c>
      <c r="E23" s="109" t="str">
        <f t="shared" si="3"/>
        <v/>
      </c>
      <c r="F23" s="109"/>
      <c r="G23" s="108">
        <f t="shared" si="0"/>
        <v>0.57414711683088404</v>
      </c>
      <c r="H23" s="109">
        <v>10.83</v>
      </c>
      <c r="I23" s="109">
        <f t="shared" si="4"/>
        <v>0.58000000000000007</v>
      </c>
      <c r="J23" s="109">
        <f>IFERROR(VLOOKUP("КВ*",A23:G$69,5,FALSE),0)</f>
        <v>41.199999999999996</v>
      </c>
      <c r="K23" s="107"/>
      <c r="L23" s="108">
        <f t="shared" si="5"/>
        <v>0</v>
      </c>
      <c r="M23" s="110">
        <f t="shared" si="6"/>
        <v>5.8656957928802597E-4</v>
      </c>
      <c r="N23" s="111" t="s">
        <v>773</v>
      </c>
      <c r="O23" s="112" t="s">
        <v>775</v>
      </c>
      <c r="P23" s="111" t="s">
        <v>325</v>
      </c>
      <c r="Q23" s="432">
        <f>суперМЛ[[#This Row],[Расчетное время прибытия 1-го экипажа]]-времяОткрытия</f>
        <v>0.56373045016421741</v>
      </c>
      <c r="R23" s="432">
        <f>суперМЛ[[#This Row],[Расчетное время прибытия 1-го экипажа]]+TIME(0,числоЭкипажей,0)+времяЗакрытия</f>
        <v>0.61373045016421734</v>
      </c>
    </row>
    <row r="24" spans="1:18" s="23" customFormat="1" x14ac:dyDescent="0.25">
      <c r="A24" s="143" t="s">
        <v>583</v>
      </c>
      <c r="B24" s="144">
        <f t="shared" si="1"/>
        <v>30.9</v>
      </c>
      <c r="C24" s="145">
        <v>3.125E-2</v>
      </c>
      <c r="D24" s="146">
        <f t="shared" si="2"/>
        <v>0</v>
      </c>
      <c r="E24" s="144">
        <f t="shared" si="3"/>
        <v>41.199999999999996</v>
      </c>
      <c r="F24" s="144"/>
      <c r="G24" s="146">
        <f t="shared" si="0"/>
        <v>0.59444444692797138</v>
      </c>
      <c r="H24" s="144">
        <v>30.9</v>
      </c>
      <c r="I24" s="144">
        <f t="shared" si="4"/>
        <v>20.07</v>
      </c>
      <c r="J24" s="144">
        <f>IFERROR(VLOOKUP("КВ*",A24:G$69,5,FALSE),0)</f>
        <v>41.199999999999996</v>
      </c>
      <c r="K24" s="145"/>
      <c r="L24" s="146">
        <f t="shared" si="5"/>
        <v>0</v>
      </c>
      <c r="M24" s="147">
        <f t="shared" si="6"/>
        <v>2.0297330097087382E-2</v>
      </c>
      <c r="N24" s="148" t="s">
        <v>568</v>
      </c>
      <c r="O24" s="149" t="s">
        <v>776</v>
      </c>
      <c r="P24" s="148" t="s">
        <v>562</v>
      </c>
      <c r="Q24" s="433">
        <f>суперМЛ[[#This Row],[Расчетное время прибытия 1-го экипажа]]-времяОткрытия</f>
        <v>0.58402778026130475</v>
      </c>
      <c r="R24" s="433">
        <f>суперМЛ[[#This Row],[Расчетное время прибытия 1-го экипажа]]+TIME(0,числоЭкипажей,0)+времяЗакрытия</f>
        <v>0.63402778026130469</v>
      </c>
    </row>
    <row r="25" spans="1:18" s="33" customFormat="1" x14ac:dyDescent="0.25">
      <c r="A25" s="113" t="s">
        <v>530</v>
      </c>
      <c r="B25" s="109" t="str">
        <f t="shared" si="1"/>
        <v/>
      </c>
      <c r="C25" s="107"/>
      <c r="D25" s="108">
        <f t="shared" si="2"/>
        <v>0</v>
      </c>
      <c r="E25" s="109" t="str">
        <f t="shared" si="3"/>
        <v/>
      </c>
      <c r="F25" s="109"/>
      <c r="G25" s="108">
        <f t="shared" si="0"/>
        <v>0.59537658714963648</v>
      </c>
      <c r="H25" s="109">
        <v>0.1</v>
      </c>
      <c r="I25" s="109">
        <f t="shared" si="4"/>
        <v>0.1</v>
      </c>
      <c r="J25" s="109">
        <f>IFERROR(VLOOKUP("КВ*",A25:G$69,5,FALSE),0)</f>
        <v>4.4699998667836232</v>
      </c>
      <c r="K25" s="107"/>
      <c r="L25" s="108">
        <f t="shared" si="5"/>
        <v>0</v>
      </c>
      <c r="M25" s="110">
        <f t="shared" si="6"/>
        <v>9.3214022166510297E-4</v>
      </c>
      <c r="N25" s="111" t="s">
        <v>774</v>
      </c>
      <c r="O25" s="112" t="s">
        <v>563</v>
      </c>
      <c r="P25" s="111" t="s">
        <v>564</v>
      </c>
      <c r="Q25" s="432">
        <f>суперМЛ[[#This Row],[Расчетное время прибытия 1-го экипажа]]-времяОткрытия</f>
        <v>0.58495992048296985</v>
      </c>
      <c r="R25" s="432">
        <f>суперМЛ[[#This Row],[Расчетное время прибытия 1-го экипажа]]+TIME(0,числоЭкипажей,0)+времяЗакрытия</f>
        <v>0.63495992048296979</v>
      </c>
    </row>
    <row r="26" spans="1:18" s="23" customFormat="1" x14ac:dyDescent="0.25">
      <c r="A26" s="143" t="s">
        <v>584</v>
      </c>
      <c r="B26" s="144">
        <f t="shared" si="1"/>
        <v>4.47</v>
      </c>
      <c r="C26" s="145">
        <v>4.1666667908430099E-2</v>
      </c>
      <c r="D26" s="146">
        <f t="shared" si="2"/>
        <v>0</v>
      </c>
      <c r="E26" s="144">
        <f t="shared" si="3"/>
        <v>4.4699998667836232</v>
      </c>
      <c r="F26" s="144"/>
      <c r="G26" s="146">
        <f t="shared" si="0"/>
        <v>0.63611111483640148</v>
      </c>
      <c r="H26" s="144">
        <v>4.47</v>
      </c>
      <c r="I26" s="144">
        <f t="shared" si="4"/>
        <v>4.37</v>
      </c>
      <c r="J26" s="144">
        <f>IFERROR(VLOOKUP("КВ*",A26:G$69,5,FALSE),0)</f>
        <v>4.4699998667836232</v>
      </c>
      <c r="K26" s="145"/>
      <c r="L26" s="146">
        <f t="shared" si="5"/>
        <v>0</v>
      </c>
      <c r="M26" s="147">
        <f t="shared" si="6"/>
        <v>4.0734527686764992E-2</v>
      </c>
      <c r="N26" s="148" t="s">
        <v>766</v>
      </c>
      <c r="O26" s="148" t="s">
        <v>569</v>
      </c>
      <c r="P26" s="148" t="s">
        <v>562</v>
      </c>
      <c r="Q26" s="433">
        <f>суперМЛ[[#This Row],[Расчетное время прибытия 1-го экипажа]]-времяОткрытия</f>
        <v>0.62569444816973485</v>
      </c>
      <c r="R26" s="433">
        <f>суперМЛ[[#This Row],[Расчетное время прибытия 1-го экипажа]]+TIME(0,числоЭкипажей,0)+времяЗакрытия</f>
        <v>0.67569444816973478</v>
      </c>
    </row>
    <row r="27" spans="1:18" s="33" customFormat="1" x14ac:dyDescent="0.25">
      <c r="A27" s="113" t="s">
        <v>779</v>
      </c>
      <c r="B27" s="109" t="str">
        <f t="shared" si="1"/>
        <v/>
      </c>
      <c r="C27" s="107"/>
      <c r="D27" s="108">
        <f t="shared" si="2"/>
        <v>0</v>
      </c>
      <c r="E27" s="109" t="str">
        <f t="shared" si="3"/>
        <v/>
      </c>
      <c r="F27" s="109"/>
      <c r="G27" s="108">
        <f t="shared" si="0"/>
        <v>0.64303412586191888</v>
      </c>
      <c r="H27" s="109">
        <v>3.23</v>
      </c>
      <c r="I27" s="109">
        <f t="shared" si="4"/>
        <v>3.23</v>
      </c>
      <c r="J27" s="109">
        <f>IFERROR(VLOOKUP("КВ*",A27:G$69,5,FALSE),0)</f>
        <v>19.439999855160718</v>
      </c>
      <c r="K27" s="107"/>
      <c r="L27" s="108">
        <f t="shared" si="5"/>
        <v>0</v>
      </c>
      <c r="M27" s="110">
        <f t="shared" si="6"/>
        <v>6.9230110255173493E-3</v>
      </c>
      <c r="N27" s="111" t="s">
        <v>566</v>
      </c>
      <c r="O27" s="112" t="s">
        <v>860</v>
      </c>
      <c r="P27" s="111" t="s">
        <v>441</v>
      </c>
      <c r="Q27" s="432">
        <f>суперМЛ[[#This Row],[Расчетное время прибытия 1-го экипажа]]-времяОткрытия</f>
        <v>0.63261745919525225</v>
      </c>
      <c r="R27" s="432">
        <f>суперМЛ[[#This Row],[Расчетное время прибытия 1-го экипажа]]+TIME(0,числоЭкипажей,0)+времяЗакрытия</f>
        <v>0.68261745919525219</v>
      </c>
    </row>
    <row r="28" spans="1:18" s="33" customFormat="1" x14ac:dyDescent="0.25">
      <c r="A28" s="113" t="s">
        <v>780</v>
      </c>
      <c r="B28" s="109" t="str">
        <f t="shared" si="1"/>
        <v/>
      </c>
      <c r="C28" s="107"/>
      <c r="D28" s="108">
        <f t="shared" si="2"/>
        <v>0</v>
      </c>
      <c r="E28" s="109" t="str">
        <f t="shared" si="3"/>
        <v/>
      </c>
      <c r="F28" s="109"/>
      <c r="G28" s="108">
        <f t="shared" si="0"/>
        <v>0.65844479127166189</v>
      </c>
      <c r="H28" s="109">
        <v>10.42</v>
      </c>
      <c r="I28" s="109">
        <f t="shared" si="4"/>
        <v>7.1899999999999995</v>
      </c>
      <c r="J28" s="109">
        <f>IFERROR(VLOOKUP("КВ*",A28:G$69,5,FALSE),0)</f>
        <v>19.439999855160718</v>
      </c>
      <c r="K28" s="107"/>
      <c r="L28" s="108">
        <f t="shared" si="5"/>
        <v>0</v>
      </c>
      <c r="M28" s="110">
        <f t="shared" si="6"/>
        <v>1.5410665409742954E-2</v>
      </c>
      <c r="N28" s="111" t="s">
        <v>773</v>
      </c>
      <c r="O28" s="112" t="s">
        <v>775</v>
      </c>
      <c r="P28" s="111" t="s">
        <v>441</v>
      </c>
      <c r="Q28" s="432">
        <f>суперМЛ[[#This Row],[Расчетное время прибытия 1-го экипажа]]-времяОткрытия</f>
        <v>0.64802812460499526</v>
      </c>
      <c r="R28" s="432">
        <f>суперМЛ[[#This Row],[Расчетное время прибытия 1-го экипажа]]+TIME(0,числоЭкипажей,0)+времяЗакрытия</f>
        <v>0.69802812460499519</v>
      </c>
    </row>
    <row r="29" spans="1:18" s="23" customFormat="1" x14ac:dyDescent="0.25">
      <c r="A29" s="143" t="s">
        <v>585</v>
      </c>
      <c r="B29" s="144">
        <f t="shared" si="1"/>
        <v>12.96</v>
      </c>
      <c r="C29" s="145">
        <v>2.777777798473835E-2</v>
      </c>
      <c r="D29" s="146">
        <f t="shared" si="2"/>
        <v>0</v>
      </c>
      <c r="E29" s="144">
        <f t="shared" si="3"/>
        <v>19.439999855160718</v>
      </c>
      <c r="F29" s="144"/>
      <c r="G29" s="146">
        <f t="shared" si="0"/>
        <v>0.66388889282113994</v>
      </c>
      <c r="H29" s="144">
        <v>12.96</v>
      </c>
      <c r="I29" s="144">
        <f t="shared" si="4"/>
        <v>2.5400000000000009</v>
      </c>
      <c r="J29" s="144">
        <f>IFERROR(VLOOKUP("КВ*",A29:G$69,5,FALSE),0)</f>
        <v>19.439999855160718</v>
      </c>
      <c r="K29" s="145"/>
      <c r="L29" s="146">
        <f t="shared" si="5"/>
        <v>0</v>
      </c>
      <c r="M29" s="147">
        <f t="shared" si="6"/>
        <v>5.4441015494780419E-3</v>
      </c>
      <c r="N29" s="148" t="s">
        <v>567</v>
      </c>
      <c r="O29" s="148" t="s">
        <v>781</v>
      </c>
      <c r="P29" s="148" t="s">
        <v>562</v>
      </c>
      <c r="Q29" s="433">
        <f>суперМЛ[[#This Row],[Расчетное время прибытия 1-го экипажа]]-времяОткрытия</f>
        <v>0.65347222615447331</v>
      </c>
      <c r="R29" s="433">
        <f>суперМЛ[[#This Row],[Расчетное время прибытия 1-го экипажа]]+TIME(0,числоЭкипажей,0)+времяЗакрытия</f>
        <v>0.70347222615447325</v>
      </c>
    </row>
    <row r="30" spans="1:18" s="33" customFormat="1" hidden="1" x14ac:dyDescent="0.25">
      <c r="A30" s="113"/>
      <c r="B30" s="109" t="str">
        <f t="shared" si="1"/>
        <v/>
      </c>
      <c r="C30" s="107"/>
      <c r="D30" s="108">
        <f t="shared" si="2"/>
        <v>0</v>
      </c>
      <c r="E30" s="109" t="str">
        <f t="shared" si="3"/>
        <v/>
      </c>
      <c r="F30" s="109"/>
      <c r="G30" s="108">
        <f t="shared" si="0"/>
        <v>0.66388889282113994</v>
      </c>
      <c r="H30" s="109"/>
      <c r="I30" s="109">
        <f t="shared" si="4"/>
        <v>0</v>
      </c>
      <c r="J30" s="109">
        <f>IFERROR(VLOOKUP("КВ*",A30:G$69,5,FALSE),0)</f>
        <v>0</v>
      </c>
      <c r="K30" s="107"/>
      <c r="L30" s="108">
        <f t="shared" si="5"/>
        <v>0</v>
      </c>
      <c r="M30" s="110">
        <f t="shared" si="6"/>
        <v>0</v>
      </c>
      <c r="N30" s="111"/>
      <c r="O30" s="111"/>
      <c r="P30" s="111"/>
      <c r="Q30" s="432">
        <f>суперМЛ[[#This Row],[Расчетное время прибытия 1-го экипажа]]-времяОткрытия</f>
        <v>0.65347222615447331</v>
      </c>
      <c r="R30" s="432">
        <f>суперМЛ[[#This Row],[Расчетное время прибытия 1-го экипажа]]+TIME(0,числоЭкипажей,0)+времяЗакрытия</f>
        <v>0.70347222615447325</v>
      </c>
    </row>
    <row r="31" spans="1:18" s="33" customFormat="1" hidden="1" x14ac:dyDescent="0.25">
      <c r="A31" s="113"/>
      <c r="B31" s="109" t="str">
        <f t="shared" si="1"/>
        <v/>
      </c>
      <c r="C31" s="107"/>
      <c r="D31" s="108">
        <f t="shared" si="2"/>
        <v>0</v>
      </c>
      <c r="E31" s="109" t="str">
        <f t="shared" si="3"/>
        <v/>
      </c>
      <c r="F31" s="109"/>
      <c r="G31" s="108">
        <f t="shared" si="0"/>
        <v>0.66388889282113994</v>
      </c>
      <c r="H31" s="109"/>
      <c r="I31" s="109">
        <f t="shared" si="4"/>
        <v>0</v>
      </c>
      <c r="J31" s="109">
        <f>IFERROR(VLOOKUP("КВ*",A31:G$69,5,FALSE),0)</f>
        <v>0</v>
      </c>
      <c r="K31" s="107"/>
      <c r="L31" s="108">
        <f t="shared" si="5"/>
        <v>0</v>
      </c>
      <c r="M31" s="110">
        <f t="shared" si="6"/>
        <v>0</v>
      </c>
      <c r="N31" s="111"/>
      <c r="O31" s="111"/>
      <c r="P31" s="111"/>
      <c r="Q31" s="432">
        <f>суперМЛ[[#This Row],[Расчетное время прибытия 1-го экипажа]]-времяОткрытия</f>
        <v>0.65347222615447331</v>
      </c>
      <c r="R31" s="432">
        <f>суперМЛ[[#This Row],[Расчетное время прибытия 1-го экипажа]]+TIME(0,числоЭкипажей,0)+времяЗакрытия</f>
        <v>0.70347222615447325</v>
      </c>
    </row>
    <row r="32" spans="1:18" s="33" customFormat="1" hidden="1" x14ac:dyDescent="0.25">
      <c r="A32" s="113"/>
      <c r="B32" s="109" t="str">
        <f t="shared" si="1"/>
        <v/>
      </c>
      <c r="C32" s="107"/>
      <c r="D32" s="108">
        <f t="shared" si="2"/>
        <v>0</v>
      </c>
      <c r="E32" s="109" t="str">
        <f t="shared" si="3"/>
        <v/>
      </c>
      <c r="F32" s="109"/>
      <c r="G32" s="108">
        <f t="shared" si="0"/>
        <v>0.66388889282113994</v>
      </c>
      <c r="H32" s="109"/>
      <c r="I32" s="109">
        <f t="shared" si="4"/>
        <v>0</v>
      </c>
      <c r="J32" s="109">
        <f>IFERROR(VLOOKUP("КВ*",A32:G$69,5,FALSE),0)</f>
        <v>0</v>
      </c>
      <c r="K32" s="107"/>
      <c r="L32" s="108">
        <f t="shared" si="5"/>
        <v>0</v>
      </c>
      <c r="M32" s="110">
        <f t="shared" si="6"/>
        <v>0</v>
      </c>
      <c r="N32" s="111"/>
      <c r="O32" s="111"/>
      <c r="P32" s="111"/>
      <c r="Q32" s="432">
        <f>суперМЛ[[#This Row],[Расчетное время прибытия 1-го экипажа]]-времяОткрытия</f>
        <v>0.65347222615447331</v>
      </c>
      <c r="R32" s="432">
        <f>суперМЛ[[#This Row],[Расчетное время прибытия 1-го экипажа]]+TIME(0,числоЭкипажей,0)+времяЗакрытия</f>
        <v>0.70347222615447325</v>
      </c>
    </row>
    <row r="33" spans="1:18" s="33" customFormat="1" hidden="1" x14ac:dyDescent="0.25">
      <c r="A33" s="113"/>
      <c r="B33" s="109" t="str">
        <f t="shared" si="1"/>
        <v/>
      </c>
      <c r="C33" s="107"/>
      <c r="D33" s="108">
        <f t="shared" si="2"/>
        <v>0</v>
      </c>
      <c r="E33" s="109" t="str">
        <f t="shared" si="3"/>
        <v/>
      </c>
      <c r="F33" s="109"/>
      <c r="G33" s="108">
        <f t="shared" si="0"/>
        <v>0.66388889282113994</v>
      </c>
      <c r="H33" s="109"/>
      <c r="I33" s="109">
        <f t="shared" si="4"/>
        <v>0</v>
      </c>
      <c r="J33" s="109">
        <f>IFERROR(VLOOKUP("КВ*",A33:G$69,5,FALSE),0)</f>
        <v>0</v>
      </c>
      <c r="K33" s="107"/>
      <c r="L33" s="108">
        <f t="shared" si="5"/>
        <v>0</v>
      </c>
      <c r="M33" s="110">
        <f t="shared" si="6"/>
        <v>0</v>
      </c>
      <c r="N33" s="111"/>
      <c r="O33" s="111"/>
      <c r="P33" s="111"/>
      <c r="Q33" s="432">
        <f>суперМЛ[[#This Row],[Расчетное время прибытия 1-го экипажа]]-времяОткрытия</f>
        <v>0.65347222615447331</v>
      </c>
      <c r="R33" s="432">
        <f>суперМЛ[[#This Row],[Расчетное время прибытия 1-го экипажа]]+TIME(0,числоЭкипажей,0)+времяЗакрытия</f>
        <v>0.70347222615447325</v>
      </c>
    </row>
    <row r="34" spans="1:18" s="33" customFormat="1" hidden="1" x14ac:dyDescent="0.25">
      <c r="A34" s="113"/>
      <c r="B34" s="109" t="str">
        <f t="shared" si="1"/>
        <v/>
      </c>
      <c r="C34" s="107"/>
      <c r="D34" s="108">
        <f t="shared" si="2"/>
        <v>0</v>
      </c>
      <c r="E34" s="109" t="str">
        <f t="shared" si="3"/>
        <v/>
      </c>
      <c r="F34" s="109"/>
      <c r="G34" s="108">
        <f t="shared" si="0"/>
        <v>0.66388889282113994</v>
      </c>
      <c r="H34" s="109"/>
      <c r="I34" s="109">
        <f t="shared" si="4"/>
        <v>0</v>
      </c>
      <c r="J34" s="109">
        <f>IFERROR(VLOOKUP("КВ*",A34:G$69,5,FALSE),0)</f>
        <v>0</v>
      </c>
      <c r="K34" s="107"/>
      <c r="L34" s="108">
        <f t="shared" si="5"/>
        <v>0</v>
      </c>
      <c r="M34" s="110">
        <f t="shared" si="6"/>
        <v>0</v>
      </c>
      <c r="N34" s="111"/>
      <c r="O34" s="111"/>
      <c r="P34" s="111"/>
      <c r="Q34" s="432">
        <f>суперМЛ[[#This Row],[Расчетное время прибытия 1-го экипажа]]-времяОткрытия</f>
        <v>0.65347222615447331</v>
      </c>
      <c r="R34" s="432">
        <f>суперМЛ[[#This Row],[Расчетное время прибытия 1-го экипажа]]+TIME(0,числоЭкипажей,0)+времяЗакрытия</f>
        <v>0.70347222615447325</v>
      </c>
    </row>
    <row r="35" spans="1:18" s="33" customFormat="1" hidden="1" x14ac:dyDescent="0.25">
      <c r="A35" s="113"/>
      <c r="B35" s="109" t="str">
        <f t="shared" si="1"/>
        <v/>
      </c>
      <c r="C35" s="107"/>
      <c r="D35" s="108">
        <f t="shared" si="2"/>
        <v>0</v>
      </c>
      <c r="E35" s="109" t="str">
        <f t="shared" si="3"/>
        <v/>
      </c>
      <c r="F35" s="109"/>
      <c r="G35" s="108">
        <f t="shared" si="0"/>
        <v>0.66388889282113994</v>
      </c>
      <c r="H35" s="109"/>
      <c r="I35" s="109">
        <f t="shared" si="4"/>
        <v>0</v>
      </c>
      <c r="J35" s="109">
        <f>IFERROR(VLOOKUP("КВ*",A35:G$69,5,FALSE),0)</f>
        <v>0</v>
      </c>
      <c r="K35" s="107"/>
      <c r="L35" s="108">
        <f t="shared" si="5"/>
        <v>0</v>
      </c>
      <c r="M35" s="110">
        <f t="shared" si="6"/>
        <v>0</v>
      </c>
      <c r="N35" s="111"/>
      <c r="O35" s="111"/>
      <c r="P35" s="111"/>
      <c r="Q35" s="432">
        <f>суперМЛ[[#This Row],[Расчетное время прибытия 1-го экипажа]]-времяОткрытия</f>
        <v>0.65347222615447331</v>
      </c>
      <c r="R35" s="432">
        <f>суперМЛ[[#This Row],[Расчетное время прибытия 1-го экипажа]]+TIME(0,числоЭкипажей,0)+времяЗакрытия</f>
        <v>0.70347222615447325</v>
      </c>
    </row>
    <row r="36" spans="1:18" s="33" customFormat="1" hidden="1" x14ac:dyDescent="0.25">
      <c r="A36" s="113"/>
      <c r="B36" s="109" t="str">
        <f t="shared" si="1"/>
        <v/>
      </c>
      <c r="C36" s="107"/>
      <c r="D36" s="108">
        <f t="shared" si="2"/>
        <v>0</v>
      </c>
      <c r="E36" s="109" t="str">
        <f t="shared" si="3"/>
        <v/>
      </c>
      <c r="F36" s="109"/>
      <c r="G36" s="108">
        <f t="shared" si="0"/>
        <v>0.66388889282113994</v>
      </c>
      <c r="H36" s="109"/>
      <c r="I36" s="109">
        <f t="shared" si="4"/>
        <v>0</v>
      </c>
      <c r="J36" s="109">
        <f>IFERROR(VLOOKUP("КВ*",A36:G$69,5,FALSE),0)</f>
        <v>0</v>
      </c>
      <c r="K36" s="107"/>
      <c r="L36" s="108">
        <f t="shared" si="5"/>
        <v>0</v>
      </c>
      <c r="M36" s="110">
        <f t="shared" si="6"/>
        <v>0</v>
      </c>
      <c r="N36" s="111"/>
      <c r="O36" s="111"/>
      <c r="P36" s="111"/>
      <c r="Q36" s="432">
        <f>суперМЛ[[#This Row],[Расчетное время прибытия 1-го экипажа]]-времяОткрытия</f>
        <v>0.65347222615447331</v>
      </c>
      <c r="R36" s="432">
        <f>суперМЛ[[#This Row],[Расчетное время прибытия 1-го экипажа]]+TIME(0,числоЭкипажей,0)+времяЗакрытия</f>
        <v>0.70347222615447325</v>
      </c>
    </row>
    <row r="37" spans="1:18" s="33" customFormat="1" hidden="1" x14ac:dyDescent="0.25">
      <c r="A37" s="113"/>
      <c r="B37" s="109" t="str">
        <f t="shared" si="1"/>
        <v/>
      </c>
      <c r="C37" s="107"/>
      <c r="D37" s="108">
        <f t="shared" si="2"/>
        <v>0</v>
      </c>
      <c r="E37" s="109" t="str">
        <f t="shared" si="3"/>
        <v/>
      </c>
      <c r="F37" s="109"/>
      <c r="G37" s="108">
        <f t="shared" si="0"/>
        <v>0.66388889282113994</v>
      </c>
      <c r="H37" s="109"/>
      <c r="I37" s="109">
        <f t="shared" si="4"/>
        <v>0</v>
      </c>
      <c r="J37" s="109">
        <f>IFERROR(VLOOKUP("КВ*",A37:G$69,5,FALSE),0)</f>
        <v>0</v>
      </c>
      <c r="K37" s="107"/>
      <c r="L37" s="108">
        <f t="shared" si="5"/>
        <v>0</v>
      </c>
      <c r="M37" s="110">
        <f t="shared" si="6"/>
        <v>0</v>
      </c>
      <c r="N37" s="111"/>
      <c r="O37" s="111"/>
      <c r="P37" s="111"/>
      <c r="Q37" s="432">
        <f>суперМЛ[[#This Row],[Расчетное время прибытия 1-го экипажа]]-времяОткрытия</f>
        <v>0.65347222615447331</v>
      </c>
      <c r="R37" s="432">
        <f>суперМЛ[[#This Row],[Расчетное время прибытия 1-го экипажа]]+TIME(0,числоЭкипажей,0)+времяЗакрытия</f>
        <v>0.70347222615447325</v>
      </c>
    </row>
    <row r="38" spans="1:18" s="33" customFormat="1" hidden="1" x14ac:dyDescent="0.25">
      <c r="A38" s="113"/>
      <c r="B38" s="109" t="str">
        <f t="shared" si="1"/>
        <v/>
      </c>
      <c r="C38" s="107"/>
      <c r="D38" s="108">
        <f t="shared" si="2"/>
        <v>0</v>
      </c>
      <c r="E38" s="109" t="str">
        <f t="shared" si="3"/>
        <v/>
      </c>
      <c r="F38" s="109"/>
      <c r="G38" s="108">
        <f t="shared" si="0"/>
        <v>0.66388889282113994</v>
      </c>
      <c r="H38" s="109"/>
      <c r="I38" s="109">
        <f t="shared" si="4"/>
        <v>0</v>
      </c>
      <c r="J38" s="109">
        <f>IFERROR(VLOOKUP("КВ*",A38:G$69,5,FALSE),0)</f>
        <v>0</v>
      </c>
      <c r="K38" s="107"/>
      <c r="L38" s="108">
        <f t="shared" si="5"/>
        <v>0</v>
      </c>
      <c r="M38" s="110">
        <f t="shared" si="6"/>
        <v>0</v>
      </c>
      <c r="N38" s="111"/>
      <c r="O38" s="111"/>
      <c r="P38" s="111"/>
      <c r="Q38" s="432">
        <f>суперМЛ[[#This Row],[Расчетное время прибытия 1-го экипажа]]-времяОткрытия</f>
        <v>0.65347222615447331</v>
      </c>
      <c r="R38" s="432">
        <f>суперМЛ[[#This Row],[Расчетное время прибытия 1-го экипажа]]+TIME(0,числоЭкипажей,0)+времяЗакрытия</f>
        <v>0.70347222615447325</v>
      </c>
    </row>
    <row r="39" spans="1:18" s="33" customFormat="1" hidden="1" x14ac:dyDescent="0.25">
      <c r="A39" s="113"/>
      <c r="B39" s="109" t="str">
        <f t="shared" si="1"/>
        <v/>
      </c>
      <c r="C39" s="107"/>
      <c r="D39" s="108">
        <f t="shared" si="2"/>
        <v>0</v>
      </c>
      <c r="E39" s="109" t="str">
        <f t="shared" si="3"/>
        <v/>
      </c>
      <c r="F39" s="109"/>
      <c r="G39" s="108">
        <f t="shared" si="0"/>
        <v>0.66388889282113994</v>
      </c>
      <c r="H39" s="109"/>
      <c r="I39" s="109">
        <f t="shared" si="4"/>
        <v>0</v>
      </c>
      <c r="J39" s="109">
        <f>IFERROR(VLOOKUP("КВ*",A39:G$69,5,FALSE),0)</f>
        <v>0</v>
      </c>
      <c r="K39" s="107"/>
      <c r="L39" s="108">
        <f t="shared" si="5"/>
        <v>0</v>
      </c>
      <c r="M39" s="110">
        <f t="shared" si="6"/>
        <v>0</v>
      </c>
      <c r="N39" s="111"/>
      <c r="O39" s="111"/>
      <c r="P39" s="111"/>
      <c r="Q39" s="432">
        <f>суперМЛ[[#This Row],[Расчетное время прибытия 1-го экипажа]]-времяОткрытия</f>
        <v>0.65347222615447331</v>
      </c>
      <c r="R39" s="432">
        <f>суперМЛ[[#This Row],[Расчетное время прибытия 1-го экипажа]]+TIME(0,числоЭкипажей,0)+времяЗакрытия</f>
        <v>0.70347222615447325</v>
      </c>
    </row>
    <row r="40" spans="1:18" s="33" customFormat="1" hidden="1" x14ac:dyDescent="0.25">
      <c r="A40" s="113"/>
      <c r="B40" s="109" t="str">
        <f t="shared" si="1"/>
        <v/>
      </c>
      <c r="C40" s="107"/>
      <c r="D40" s="108">
        <f t="shared" si="2"/>
        <v>0</v>
      </c>
      <c r="E40" s="109" t="str">
        <f t="shared" si="3"/>
        <v/>
      </c>
      <c r="F40" s="109"/>
      <c r="G40" s="108">
        <f t="shared" si="0"/>
        <v>0.66388889282113994</v>
      </c>
      <c r="H40" s="109"/>
      <c r="I40" s="109">
        <f t="shared" si="4"/>
        <v>0</v>
      </c>
      <c r="J40" s="109">
        <f>IFERROR(VLOOKUP("КВ*",A40:G$69,5,FALSE),0)</f>
        <v>0</v>
      </c>
      <c r="K40" s="107"/>
      <c r="L40" s="108">
        <f t="shared" si="5"/>
        <v>0</v>
      </c>
      <c r="M40" s="110">
        <f t="shared" si="6"/>
        <v>0</v>
      </c>
      <c r="N40" s="111"/>
      <c r="O40" s="111"/>
      <c r="P40" s="111"/>
      <c r="Q40" s="432">
        <f>суперМЛ[[#This Row],[Расчетное время прибытия 1-го экипажа]]-времяОткрытия</f>
        <v>0.65347222615447331</v>
      </c>
      <c r="R40" s="432">
        <f>суперМЛ[[#This Row],[Расчетное время прибытия 1-го экипажа]]+TIME(0,числоЭкипажей,0)+времяЗакрытия</f>
        <v>0.70347222615447325</v>
      </c>
    </row>
    <row r="41" spans="1:18" s="33" customFormat="1" hidden="1" x14ac:dyDescent="0.25">
      <c r="A41" s="113"/>
      <c r="B41" s="109" t="str">
        <f t="shared" si="1"/>
        <v/>
      </c>
      <c r="C41" s="107"/>
      <c r="D41" s="108">
        <f t="shared" si="2"/>
        <v>0</v>
      </c>
      <c r="E41" s="109" t="str">
        <f t="shared" si="3"/>
        <v/>
      </c>
      <c r="F41" s="109"/>
      <c r="G41" s="108">
        <f t="shared" si="0"/>
        <v>0.66388889282113994</v>
      </c>
      <c r="H41" s="109"/>
      <c r="I41" s="109">
        <f t="shared" si="4"/>
        <v>0</v>
      </c>
      <c r="J41" s="109">
        <f>IFERROR(VLOOKUP("КВ*",A41:G$69,5,FALSE),0)</f>
        <v>0</v>
      </c>
      <c r="K41" s="107"/>
      <c r="L41" s="108">
        <f t="shared" si="5"/>
        <v>0</v>
      </c>
      <c r="M41" s="110">
        <f t="shared" si="6"/>
        <v>0</v>
      </c>
      <c r="N41" s="111"/>
      <c r="O41" s="111"/>
      <c r="P41" s="111"/>
      <c r="Q41" s="432">
        <f>суперМЛ[[#This Row],[Расчетное время прибытия 1-го экипажа]]-времяОткрытия</f>
        <v>0.65347222615447331</v>
      </c>
      <c r="R41" s="432">
        <f>суперМЛ[[#This Row],[Расчетное время прибытия 1-го экипажа]]+TIME(0,числоЭкипажей,0)+времяЗакрытия</f>
        <v>0.70347222615447325</v>
      </c>
    </row>
    <row r="42" spans="1:18" s="33" customFormat="1" hidden="1" x14ac:dyDescent="0.25">
      <c r="A42" s="113"/>
      <c r="B42" s="109" t="str">
        <f t="shared" si="1"/>
        <v/>
      </c>
      <c r="C42" s="107"/>
      <c r="D42" s="108">
        <f t="shared" si="2"/>
        <v>0</v>
      </c>
      <c r="E42" s="109" t="str">
        <f t="shared" si="3"/>
        <v/>
      </c>
      <c r="F42" s="109"/>
      <c r="G42" s="108">
        <f t="shared" ref="G42:G69" si="7">IF(ROW()=10,старт,G41+M42+K41)</f>
        <v>0.66388889282113994</v>
      </c>
      <c r="H42" s="109"/>
      <c r="I42" s="109">
        <f t="shared" si="4"/>
        <v>0</v>
      </c>
      <c r="J42" s="109">
        <f>IFERROR(VLOOKUP("КВ*",A42:G$69,5,FALSE),0)</f>
        <v>0</v>
      </c>
      <c r="K42" s="107"/>
      <c r="L42" s="108">
        <f t="shared" si="5"/>
        <v>0</v>
      </c>
      <c r="M42" s="110">
        <f t="shared" si="6"/>
        <v>0</v>
      </c>
      <c r="N42" s="111"/>
      <c r="O42" s="111"/>
      <c r="P42" s="111"/>
      <c r="Q42" s="432">
        <f>суперМЛ[[#This Row],[Расчетное время прибытия 1-го экипажа]]-времяОткрытия</f>
        <v>0.65347222615447331</v>
      </c>
      <c r="R42" s="432">
        <f>суперМЛ[[#This Row],[Расчетное время прибытия 1-го экипажа]]+TIME(0,числоЭкипажей,0)+времяЗакрытия</f>
        <v>0.70347222615447325</v>
      </c>
    </row>
    <row r="43" spans="1:18" s="33" customFormat="1" hidden="1" x14ac:dyDescent="0.25">
      <c r="A43" s="113"/>
      <c r="B43" s="109" t="str">
        <f t="shared" si="1"/>
        <v/>
      </c>
      <c r="C43" s="107"/>
      <c r="D43" s="108">
        <f t="shared" si="2"/>
        <v>0</v>
      </c>
      <c r="E43" s="109" t="str">
        <f t="shared" si="3"/>
        <v/>
      </c>
      <c r="F43" s="109"/>
      <c r="G43" s="108">
        <f t="shared" si="7"/>
        <v>0.66388889282113994</v>
      </c>
      <c r="H43" s="109"/>
      <c r="I43" s="109">
        <f t="shared" si="4"/>
        <v>0</v>
      </c>
      <c r="J43" s="109">
        <f>IFERROR(VLOOKUP("КВ*",A43:G$69,5,FALSE),0)</f>
        <v>0</v>
      </c>
      <c r="K43" s="107"/>
      <c r="L43" s="108">
        <f t="shared" si="5"/>
        <v>0</v>
      </c>
      <c r="M43" s="110">
        <f t="shared" si="6"/>
        <v>0</v>
      </c>
      <c r="N43" s="111"/>
      <c r="O43" s="111"/>
      <c r="P43" s="111"/>
      <c r="Q43" s="432">
        <f>суперМЛ[[#This Row],[Расчетное время прибытия 1-го экипажа]]-времяОткрытия</f>
        <v>0.65347222615447331</v>
      </c>
      <c r="R43" s="432">
        <f>суперМЛ[[#This Row],[Расчетное время прибытия 1-го экипажа]]+TIME(0,числоЭкипажей,0)+времяЗакрытия</f>
        <v>0.70347222615447325</v>
      </c>
    </row>
    <row r="44" spans="1:18" s="33" customFormat="1" hidden="1" x14ac:dyDescent="0.25">
      <c r="A44" s="113"/>
      <c r="B44" s="109" t="str">
        <f t="shared" si="1"/>
        <v/>
      </c>
      <c r="C44" s="107"/>
      <c r="D44" s="108">
        <f t="shared" si="2"/>
        <v>0</v>
      </c>
      <c r="E44" s="109" t="str">
        <f t="shared" si="3"/>
        <v/>
      </c>
      <c r="F44" s="109"/>
      <c r="G44" s="108">
        <f t="shared" si="7"/>
        <v>0.66388889282113994</v>
      </c>
      <c r="H44" s="109"/>
      <c r="I44" s="109">
        <f t="shared" si="4"/>
        <v>0</v>
      </c>
      <c r="J44" s="109">
        <f>IFERROR(VLOOKUP("КВ*",A44:G$69,5,FALSE),0)</f>
        <v>0</v>
      </c>
      <c r="K44" s="107"/>
      <c r="L44" s="108">
        <f t="shared" si="5"/>
        <v>0</v>
      </c>
      <c r="M44" s="110">
        <f t="shared" si="6"/>
        <v>0</v>
      </c>
      <c r="N44" s="111"/>
      <c r="O44" s="111"/>
      <c r="P44" s="111"/>
      <c r="Q44" s="432">
        <f>суперМЛ[[#This Row],[Расчетное время прибытия 1-го экипажа]]-времяОткрытия</f>
        <v>0.65347222615447331</v>
      </c>
      <c r="R44" s="432">
        <f>суперМЛ[[#This Row],[Расчетное время прибытия 1-го экипажа]]+TIME(0,числоЭкипажей,0)+времяЗакрытия</f>
        <v>0.70347222615447325</v>
      </c>
    </row>
    <row r="45" spans="1:18" s="33" customFormat="1" hidden="1" x14ac:dyDescent="0.25">
      <c r="A45" s="113"/>
      <c r="B45" s="109" t="str">
        <f t="shared" si="1"/>
        <v/>
      </c>
      <c r="C45" s="107"/>
      <c r="D45" s="108">
        <f t="shared" si="2"/>
        <v>0</v>
      </c>
      <c r="E45" s="109" t="str">
        <f t="shared" si="3"/>
        <v/>
      </c>
      <c r="F45" s="109"/>
      <c r="G45" s="108">
        <f t="shared" si="7"/>
        <v>0.66388889282113994</v>
      </c>
      <c r="H45" s="109"/>
      <c r="I45" s="109">
        <f t="shared" si="4"/>
        <v>0</v>
      </c>
      <c r="J45" s="109">
        <f>IFERROR(VLOOKUP("КВ*",A45:G$69,5,FALSE),0)</f>
        <v>0</v>
      </c>
      <c r="K45" s="107"/>
      <c r="L45" s="108">
        <f t="shared" si="5"/>
        <v>0</v>
      </c>
      <c r="M45" s="110">
        <f t="shared" si="6"/>
        <v>0</v>
      </c>
      <c r="N45" s="111"/>
      <c r="O45" s="111"/>
      <c r="P45" s="111"/>
      <c r="Q45" s="432">
        <f>суперМЛ[[#This Row],[Расчетное время прибытия 1-го экипажа]]-времяОткрытия</f>
        <v>0.65347222615447331</v>
      </c>
      <c r="R45" s="432">
        <f>суперМЛ[[#This Row],[Расчетное время прибытия 1-го экипажа]]+TIME(0,числоЭкипажей,0)+времяЗакрытия</f>
        <v>0.70347222615447325</v>
      </c>
    </row>
    <row r="46" spans="1:18" s="33" customFormat="1" hidden="1" x14ac:dyDescent="0.25">
      <c r="A46" s="113"/>
      <c r="B46" s="109" t="str">
        <f t="shared" si="1"/>
        <v/>
      </c>
      <c r="C46" s="107"/>
      <c r="D46" s="108">
        <f t="shared" si="2"/>
        <v>0</v>
      </c>
      <c r="E46" s="109" t="str">
        <f t="shared" si="3"/>
        <v/>
      </c>
      <c r="F46" s="109"/>
      <c r="G46" s="108">
        <f t="shared" si="7"/>
        <v>0.66388889282113994</v>
      </c>
      <c r="H46" s="109"/>
      <c r="I46" s="109">
        <f t="shared" si="4"/>
        <v>0</v>
      </c>
      <c r="J46" s="109">
        <f>IFERROR(VLOOKUP("КВ*",A46:G$69,5,FALSE),0)</f>
        <v>0</v>
      </c>
      <c r="K46" s="107"/>
      <c r="L46" s="108">
        <f t="shared" si="5"/>
        <v>0</v>
      </c>
      <c r="M46" s="110">
        <f t="shared" si="6"/>
        <v>0</v>
      </c>
      <c r="N46" s="111"/>
      <c r="O46" s="111"/>
      <c r="P46" s="111"/>
      <c r="Q46" s="432">
        <f>суперМЛ[[#This Row],[Расчетное время прибытия 1-го экипажа]]-времяОткрытия</f>
        <v>0.65347222615447331</v>
      </c>
      <c r="R46" s="432">
        <f>суперМЛ[[#This Row],[Расчетное время прибытия 1-го экипажа]]+TIME(0,числоЭкипажей,0)+времяЗакрытия</f>
        <v>0.70347222615447325</v>
      </c>
    </row>
    <row r="47" spans="1:18" s="33" customFormat="1" hidden="1" x14ac:dyDescent="0.25">
      <c r="A47" s="113"/>
      <c r="B47" s="109" t="str">
        <f t="shared" si="1"/>
        <v/>
      </c>
      <c r="C47" s="107"/>
      <c r="D47" s="108">
        <f t="shared" si="2"/>
        <v>0</v>
      </c>
      <c r="E47" s="109" t="str">
        <f t="shared" si="3"/>
        <v/>
      </c>
      <c r="F47" s="109"/>
      <c r="G47" s="108">
        <f t="shared" si="7"/>
        <v>0.66388889282113994</v>
      </c>
      <c r="H47" s="109"/>
      <c r="I47" s="109">
        <f t="shared" si="4"/>
        <v>0</v>
      </c>
      <c r="J47" s="109">
        <f>IFERROR(VLOOKUP("КВ*",A47:G$69,5,FALSE),0)</f>
        <v>0</v>
      </c>
      <c r="K47" s="107"/>
      <c r="L47" s="108">
        <f t="shared" si="5"/>
        <v>0</v>
      </c>
      <c r="M47" s="110">
        <f t="shared" si="6"/>
        <v>0</v>
      </c>
      <c r="N47" s="111"/>
      <c r="O47" s="111"/>
      <c r="P47" s="111"/>
      <c r="Q47" s="432">
        <f>суперМЛ[[#This Row],[Расчетное время прибытия 1-го экипажа]]-времяОткрытия</f>
        <v>0.65347222615447331</v>
      </c>
      <c r="R47" s="432">
        <f>суперМЛ[[#This Row],[Расчетное время прибытия 1-го экипажа]]+TIME(0,числоЭкипажей,0)+времяЗакрытия</f>
        <v>0.70347222615447325</v>
      </c>
    </row>
    <row r="48" spans="1:18" s="33" customFormat="1" hidden="1" x14ac:dyDescent="0.25">
      <c r="A48" s="113"/>
      <c r="B48" s="109" t="str">
        <f t="shared" si="1"/>
        <v/>
      </c>
      <c r="C48" s="107"/>
      <c r="D48" s="108">
        <f t="shared" si="2"/>
        <v>0</v>
      </c>
      <c r="E48" s="109" t="str">
        <f t="shared" si="3"/>
        <v/>
      </c>
      <c r="F48" s="109"/>
      <c r="G48" s="108">
        <f t="shared" si="7"/>
        <v>0.66388889282113994</v>
      </c>
      <c r="H48" s="109"/>
      <c r="I48" s="109">
        <f t="shared" si="4"/>
        <v>0</v>
      </c>
      <c r="J48" s="109">
        <f>IFERROR(VLOOKUP("КВ*",A48:G$69,5,FALSE),0)</f>
        <v>0</v>
      </c>
      <c r="K48" s="107"/>
      <c r="L48" s="108">
        <f t="shared" si="5"/>
        <v>0</v>
      </c>
      <c r="M48" s="110">
        <f t="shared" si="6"/>
        <v>0</v>
      </c>
      <c r="N48" s="111"/>
      <c r="O48" s="111"/>
      <c r="P48" s="111"/>
      <c r="Q48" s="432">
        <f>суперМЛ[[#This Row],[Расчетное время прибытия 1-го экипажа]]-времяОткрытия</f>
        <v>0.65347222615447331</v>
      </c>
      <c r="R48" s="432">
        <f>суперМЛ[[#This Row],[Расчетное время прибытия 1-го экипажа]]+TIME(0,числоЭкипажей,0)+времяЗакрытия</f>
        <v>0.70347222615447325</v>
      </c>
    </row>
    <row r="49" spans="1:18" s="33" customFormat="1" hidden="1" x14ac:dyDescent="0.25">
      <c r="A49" s="113"/>
      <c r="B49" s="109" t="str">
        <f t="shared" si="1"/>
        <v/>
      </c>
      <c r="C49" s="107"/>
      <c r="D49" s="108">
        <f t="shared" si="2"/>
        <v>0</v>
      </c>
      <c r="E49" s="109" t="str">
        <f t="shared" si="3"/>
        <v/>
      </c>
      <c r="F49" s="109"/>
      <c r="G49" s="108">
        <f t="shared" si="7"/>
        <v>0.66388889282113994</v>
      </c>
      <c r="H49" s="109"/>
      <c r="I49" s="109">
        <f t="shared" si="4"/>
        <v>0</v>
      </c>
      <c r="J49" s="109">
        <f>IFERROR(VLOOKUP("КВ*",A49:G$69,5,FALSE),0)</f>
        <v>0</v>
      </c>
      <c r="K49" s="107"/>
      <c r="L49" s="108">
        <f t="shared" si="5"/>
        <v>0</v>
      </c>
      <c r="M49" s="110">
        <f t="shared" si="6"/>
        <v>0</v>
      </c>
      <c r="N49" s="111"/>
      <c r="O49" s="111"/>
      <c r="P49" s="111"/>
      <c r="Q49" s="432">
        <f>суперМЛ[[#This Row],[Расчетное время прибытия 1-го экипажа]]-времяОткрытия</f>
        <v>0.65347222615447331</v>
      </c>
      <c r="R49" s="432">
        <f>суперМЛ[[#This Row],[Расчетное время прибытия 1-го экипажа]]+TIME(0,числоЭкипажей,0)+времяЗакрытия</f>
        <v>0.70347222615447325</v>
      </c>
    </row>
    <row r="50" spans="1:18" s="33" customFormat="1" hidden="1" x14ac:dyDescent="0.25">
      <c r="A50" s="113"/>
      <c r="B50" s="109" t="str">
        <f t="shared" si="1"/>
        <v/>
      </c>
      <c r="C50" s="107"/>
      <c r="D50" s="108">
        <f t="shared" si="2"/>
        <v>0</v>
      </c>
      <c r="E50" s="109" t="str">
        <f t="shared" si="3"/>
        <v/>
      </c>
      <c r="F50" s="109"/>
      <c r="G50" s="108">
        <f t="shared" si="7"/>
        <v>0.66388889282113994</v>
      </c>
      <c r="H50" s="109"/>
      <c r="I50" s="109">
        <f t="shared" si="4"/>
        <v>0</v>
      </c>
      <c r="J50" s="109">
        <f>IFERROR(VLOOKUP("КВ*",A50:G$69,5,FALSE),0)</f>
        <v>0</v>
      </c>
      <c r="K50" s="107"/>
      <c r="L50" s="108">
        <f t="shared" si="5"/>
        <v>0</v>
      </c>
      <c r="M50" s="110">
        <f t="shared" si="6"/>
        <v>0</v>
      </c>
      <c r="N50" s="111"/>
      <c r="O50" s="111"/>
      <c r="P50" s="111"/>
      <c r="Q50" s="432">
        <f>суперМЛ[[#This Row],[Расчетное время прибытия 1-го экипажа]]-времяОткрытия</f>
        <v>0.65347222615447331</v>
      </c>
      <c r="R50" s="432">
        <f>суперМЛ[[#This Row],[Расчетное время прибытия 1-го экипажа]]+TIME(0,числоЭкипажей,0)+времяЗакрытия</f>
        <v>0.70347222615447325</v>
      </c>
    </row>
    <row r="51" spans="1:18" s="33" customFormat="1" hidden="1" x14ac:dyDescent="0.25">
      <c r="A51" s="113"/>
      <c r="B51" s="109" t="str">
        <f t="shared" si="1"/>
        <v/>
      </c>
      <c r="C51" s="107"/>
      <c r="D51" s="108">
        <f t="shared" si="2"/>
        <v>0</v>
      </c>
      <c r="E51" s="109" t="str">
        <f t="shared" si="3"/>
        <v/>
      </c>
      <c r="F51" s="109"/>
      <c r="G51" s="108">
        <f t="shared" si="7"/>
        <v>0.66388889282113994</v>
      </c>
      <c r="H51" s="109"/>
      <c r="I51" s="109">
        <f t="shared" si="4"/>
        <v>0</v>
      </c>
      <c r="J51" s="109">
        <f>IFERROR(VLOOKUP("КВ*",A51:G$69,5,FALSE),0)</f>
        <v>0</v>
      </c>
      <c r="K51" s="107"/>
      <c r="L51" s="108">
        <f t="shared" si="5"/>
        <v>0</v>
      </c>
      <c r="M51" s="110">
        <f t="shared" si="6"/>
        <v>0</v>
      </c>
      <c r="N51" s="111"/>
      <c r="O51" s="111"/>
      <c r="P51" s="111"/>
      <c r="Q51" s="432">
        <f>суперМЛ[[#This Row],[Расчетное время прибытия 1-го экипажа]]-времяОткрытия</f>
        <v>0.65347222615447331</v>
      </c>
      <c r="R51" s="432">
        <f>суперМЛ[[#This Row],[Расчетное время прибытия 1-го экипажа]]+TIME(0,числоЭкипажей,0)+времяЗакрытия</f>
        <v>0.70347222615447325</v>
      </c>
    </row>
    <row r="52" spans="1:18" s="33" customFormat="1" hidden="1" x14ac:dyDescent="0.25">
      <c r="A52" s="113"/>
      <c r="B52" s="109" t="str">
        <f t="shared" si="1"/>
        <v/>
      </c>
      <c r="C52" s="107"/>
      <c r="D52" s="108">
        <f t="shared" si="2"/>
        <v>0</v>
      </c>
      <c r="E52" s="109" t="str">
        <f t="shared" si="3"/>
        <v/>
      </c>
      <c r="F52" s="109"/>
      <c r="G52" s="108">
        <f t="shared" si="7"/>
        <v>0.66388889282113994</v>
      </c>
      <c r="H52" s="109"/>
      <c r="I52" s="109">
        <f t="shared" si="4"/>
        <v>0</v>
      </c>
      <c r="J52" s="109">
        <f>IFERROR(VLOOKUP("КВ*",A52:G$69,5,FALSE),0)</f>
        <v>0</v>
      </c>
      <c r="K52" s="107"/>
      <c r="L52" s="108">
        <f t="shared" si="5"/>
        <v>0</v>
      </c>
      <c r="M52" s="110">
        <f t="shared" si="6"/>
        <v>0</v>
      </c>
      <c r="N52" s="111"/>
      <c r="O52" s="111"/>
      <c r="P52" s="111"/>
      <c r="Q52" s="432">
        <f>суперМЛ[[#This Row],[Расчетное время прибытия 1-го экипажа]]-времяОткрытия</f>
        <v>0.65347222615447331</v>
      </c>
      <c r="R52" s="432">
        <f>суперМЛ[[#This Row],[Расчетное время прибытия 1-го экипажа]]+TIME(0,числоЭкипажей,0)+времяЗакрытия</f>
        <v>0.70347222615447325</v>
      </c>
    </row>
    <row r="53" spans="1:18" s="33" customFormat="1" hidden="1" x14ac:dyDescent="0.25">
      <c r="A53" s="113"/>
      <c r="B53" s="109" t="str">
        <f t="shared" si="1"/>
        <v/>
      </c>
      <c r="C53" s="107"/>
      <c r="D53" s="108">
        <f t="shared" si="2"/>
        <v>0</v>
      </c>
      <c r="E53" s="109" t="str">
        <f t="shared" si="3"/>
        <v/>
      </c>
      <c r="F53" s="109"/>
      <c r="G53" s="108">
        <f t="shared" si="7"/>
        <v>0.66388889282113994</v>
      </c>
      <c r="H53" s="109"/>
      <c r="I53" s="109">
        <f t="shared" si="4"/>
        <v>0</v>
      </c>
      <c r="J53" s="109">
        <f>IFERROR(VLOOKUP("КВ*",A53:G$69,5,FALSE),0)</f>
        <v>0</v>
      </c>
      <c r="K53" s="107"/>
      <c r="L53" s="108">
        <f t="shared" si="5"/>
        <v>0</v>
      </c>
      <c r="M53" s="110">
        <f t="shared" si="6"/>
        <v>0</v>
      </c>
      <c r="N53" s="111"/>
      <c r="O53" s="111"/>
      <c r="P53" s="111"/>
      <c r="Q53" s="432">
        <f>суперМЛ[[#This Row],[Расчетное время прибытия 1-го экипажа]]-времяОткрытия</f>
        <v>0.65347222615447331</v>
      </c>
      <c r="R53" s="432">
        <f>суперМЛ[[#This Row],[Расчетное время прибытия 1-го экипажа]]+TIME(0,числоЭкипажей,0)+времяЗакрытия</f>
        <v>0.70347222615447325</v>
      </c>
    </row>
    <row r="54" spans="1:18" s="33" customFormat="1" hidden="1" x14ac:dyDescent="0.25">
      <c r="A54" s="113"/>
      <c r="B54" s="109" t="str">
        <f t="shared" si="1"/>
        <v/>
      </c>
      <c r="C54" s="107"/>
      <c r="D54" s="108">
        <f t="shared" si="2"/>
        <v>0</v>
      </c>
      <c r="E54" s="109" t="str">
        <f t="shared" si="3"/>
        <v/>
      </c>
      <c r="F54" s="109"/>
      <c r="G54" s="108">
        <f t="shared" si="7"/>
        <v>0.66388889282113994</v>
      </c>
      <c r="H54" s="109"/>
      <c r="I54" s="109">
        <f t="shared" si="4"/>
        <v>0</v>
      </c>
      <c r="J54" s="109">
        <f>IFERROR(VLOOKUP("КВ*",A54:G$69,5,FALSE),0)</f>
        <v>0</v>
      </c>
      <c r="K54" s="107"/>
      <c r="L54" s="108">
        <f t="shared" si="5"/>
        <v>0</v>
      </c>
      <c r="M54" s="110">
        <f t="shared" si="6"/>
        <v>0</v>
      </c>
      <c r="N54" s="111"/>
      <c r="O54" s="111"/>
      <c r="P54" s="111"/>
      <c r="Q54" s="432">
        <f>суперМЛ[[#This Row],[Расчетное время прибытия 1-го экипажа]]-времяОткрытия</f>
        <v>0.65347222615447331</v>
      </c>
      <c r="R54" s="432">
        <f>суперМЛ[[#This Row],[Расчетное время прибытия 1-го экипажа]]+TIME(0,числоЭкипажей,0)+времяЗакрытия</f>
        <v>0.70347222615447325</v>
      </c>
    </row>
    <row r="55" spans="1:18" s="33" customFormat="1" hidden="1" x14ac:dyDescent="0.25">
      <c r="A55" s="113"/>
      <c r="B55" s="109" t="str">
        <f t="shared" si="1"/>
        <v/>
      </c>
      <c r="C55" s="107"/>
      <c r="D55" s="108">
        <f t="shared" si="2"/>
        <v>0</v>
      </c>
      <c r="E55" s="109" t="str">
        <f t="shared" si="3"/>
        <v/>
      </c>
      <c r="F55" s="109"/>
      <c r="G55" s="108">
        <f t="shared" si="7"/>
        <v>0.66388889282113994</v>
      </c>
      <c r="H55" s="109"/>
      <c r="I55" s="109">
        <f t="shared" si="4"/>
        <v>0</v>
      </c>
      <c r="J55" s="109">
        <f>IFERROR(VLOOKUP("КВ*",A55:G$69,5,FALSE),0)</f>
        <v>0</v>
      </c>
      <c r="K55" s="107"/>
      <c r="L55" s="108">
        <f t="shared" si="5"/>
        <v>0</v>
      </c>
      <c r="M55" s="110">
        <f t="shared" si="6"/>
        <v>0</v>
      </c>
      <c r="N55" s="111"/>
      <c r="O55" s="111"/>
      <c r="P55" s="111"/>
      <c r="Q55" s="432">
        <f>суперМЛ[[#This Row],[Расчетное время прибытия 1-го экипажа]]-времяОткрытия</f>
        <v>0.65347222615447331</v>
      </c>
      <c r="R55" s="432">
        <f>суперМЛ[[#This Row],[Расчетное время прибытия 1-го экипажа]]+TIME(0,числоЭкипажей,0)+времяЗакрытия</f>
        <v>0.70347222615447325</v>
      </c>
    </row>
    <row r="56" spans="1:18" s="33" customFormat="1" hidden="1" x14ac:dyDescent="0.25">
      <c r="A56" s="113"/>
      <c r="B56" s="109" t="str">
        <f t="shared" si="1"/>
        <v/>
      </c>
      <c r="C56" s="107"/>
      <c r="D56" s="108">
        <f t="shared" si="2"/>
        <v>0</v>
      </c>
      <c r="E56" s="109" t="str">
        <f t="shared" si="3"/>
        <v/>
      </c>
      <c r="F56" s="109"/>
      <c r="G56" s="108">
        <f t="shared" si="7"/>
        <v>0.66388889282113994</v>
      </c>
      <c r="H56" s="109"/>
      <c r="I56" s="109">
        <f t="shared" si="4"/>
        <v>0</v>
      </c>
      <c r="J56" s="109">
        <f>IFERROR(VLOOKUP("КВ*",A56:G$69,5,FALSE),0)</f>
        <v>0</v>
      </c>
      <c r="K56" s="107"/>
      <c r="L56" s="108">
        <f t="shared" si="5"/>
        <v>0</v>
      </c>
      <c r="M56" s="110">
        <f t="shared" si="6"/>
        <v>0</v>
      </c>
      <c r="N56" s="111"/>
      <c r="O56" s="111"/>
      <c r="P56" s="111"/>
      <c r="Q56" s="432">
        <f>суперМЛ[[#This Row],[Расчетное время прибытия 1-го экипажа]]-времяОткрытия</f>
        <v>0.65347222615447331</v>
      </c>
      <c r="R56" s="432">
        <f>суперМЛ[[#This Row],[Расчетное время прибытия 1-го экипажа]]+TIME(0,числоЭкипажей,0)+времяЗакрытия</f>
        <v>0.70347222615447325</v>
      </c>
    </row>
    <row r="57" spans="1:18" s="33" customFormat="1" hidden="1" x14ac:dyDescent="0.25">
      <c r="A57" s="113"/>
      <c r="B57" s="109" t="str">
        <f t="shared" si="1"/>
        <v/>
      </c>
      <c r="C57" s="107"/>
      <c r="D57" s="108">
        <f t="shared" si="2"/>
        <v>0</v>
      </c>
      <c r="E57" s="109" t="str">
        <f t="shared" si="3"/>
        <v/>
      </c>
      <c r="F57" s="109"/>
      <c r="G57" s="108">
        <f t="shared" si="7"/>
        <v>0.66388889282113994</v>
      </c>
      <c r="H57" s="109"/>
      <c r="I57" s="109">
        <f t="shared" si="4"/>
        <v>0</v>
      </c>
      <c r="J57" s="109">
        <f>IFERROR(VLOOKUP("КВ*",A57:G$69,5,FALSE),0)</f>
        <v>0</v>
      </c>
      <c r="K57" s="107"/>
      <c r="L57" s="108">
        <f t="shared" si="5"/>
        <v>0</v>
      </c>
      <c r="M57" s="110">
        <f t="shared" si="6"/>
        <v>0</v>
      </c>
      <c r="N57" s="111"/>
      <c r="O57" s="111"/>
      <c r="P57" s="111"/>
      <c r="Q57" s="432">
        <f>суперМЛ[[#This Row],[Расчетное время прибытия 1-го экипажа]]-времяОткрытия</f>
        <v>0.65347222615447331</v>
      </c>
      <c r="R57" s="432">
        <f>суперМЛ[[#This Row],[Расчетное время прибытия 1-го экипажа]]+TIME(0,числоЭкипажей,0)+времяЗакрытия</f>
        <v>0.70347222615447325</v>
      </c>
    </row>
    <row r="58" spans="1:18" s="33" customFormat="1" hidden="1" x14ac:dyDescent="0.25">
      <c r="A58" s="113"/>
      <c r="B58" s="109" t="str">
        <f t="shared" si="1"/>
        <v/>
      </c>
      <c r="C58" s="107"/>
      <c r="D58" s="108">
        <f t="shared" si="2"/>
        <v>0</v>
      </c>
      <c r="E58" s="109" t="str">
        <f t="shared" si="3"/>
        <v/>
      </c>
      <c r="F58" s="109"/>
      <c r="G58" s="108">
        <f t="shared" si="7"/>
        <v>0.66388889282113994</v>
      </c>
      <c r="H58" s="109"/>
      <c r="I58" s="109">
        <f t="shared" si="4"/>
        <v>0</v>
      </c>
      <c r="J58" s="109">
        <f>IFERROR(VLOOKUP("КВ*",A58:G$69,5,FALSE),0)</f>
        <v>0</v>
      </c>
      <c r="K58" s="107"/>
      <c r="L58" s="108">
        <f t="shared" si="5"/>
        <v>0</v>
      </c>
      <c r="M58" s="110">
        <f t="shared" si="6"/>
        <v>0</v>
      </c>
      <c r="N58" s="111"/>
      <c r="O58" s="111"/>
      <c r="P58" s="111"/>
      <c r="Q58" s="432">
        <f>суперМЛ[[#This Row],[Расчетное время прибытия 1-го экипажа]]-времяОткрытия</f>
        <v>0.65347222615447331</v>
      </c>
      <c r="R58" s="432">
        <f>суперМЛ[[#This Row],[Расчетное время прибытия 1-го экипажа]]+TIME(0,числоЭкипажей,0)+времяЗакрытия</f>
        <v>0.70347222615447325</v>
      </c>
    </row>
    <row r="59" spans="1:18" s="33" customFormat="1" hidden="1" x14ac:dyDescent="0.25">
      <c r="A59" s="113"/>
      <c r="B59" s="109" t="str">
        <f t="shared" si="1"/>
        <v/>
      </c>
      <c r="C59" s="107"/>
      <c r="D59" s="108">
        <f t="shared" si="2"/>
        <v>0</v>
      </c>
      <c r="E59" s="109" t="str">
        <f t="shared" si="3"/>
        <v/>
      </c>
      <c r="F59" s="109"/>
      <c r="G59" s="108">
        <f t="shared" si="7"/>
        <v>0.66388889282113994</v>
      </c>
      <c r="H59" s="109"/>
      <c r="I59" s="109">
        <f t="shared" si="4"/>
        <v>0</v>
      </c>
      <c r="J59" s="109">
        <f>IFERROR(VLOOKUP("КВ*",A59:G$69,5,FALSE),0)</f>
        <v>0</v>
      </c>
      <c r="K59" s="107"/>
      <c r="L59" s="108">
        <f t="shared" si="5"/>
        <v>0</v>
      </c>
      <c r="M59" s="110">
        <f t="shared" si="6"/>
        <v>0</v>
      </c>
      <c r="N59" s="111"/>
      <c r="O59" s="111"/>
      <c r="P59" s="111"/>
      <c r="Q59" s="432">
        <f>суперМЛ[[#This Row],[Расчетное время прибытия 1-го экипажа]]-времяОткрытия</f>
        <v>0.65347222615447331</v>
      </c>
      <c r="R59" s="432">
        <f>суперМЛ[[#This Row],[Расчетное время прибытия 1-го экипажа]]+TIME(0,числоЭкипажей,0)+времяЗакрытия</f>
        <v>0.70347222615447325</v>
      </c>
    </row>
    <row r="60" spans="1:18" s="33" customFormat="1" hidden="1" x14ac:dyDescent="0.25">
      <c r="A60" s="113"/>
      <c r="B60" s="109" t="str">
        <f t="shared" si="1"/>
        <v/>
      </c>
      <c r="C60" s="107"/>
      <c r="D60" s="108">
        <f t="shared" si="2"/>
        <v>0</v>
      </c>
      <c r="E60" s="109" t="str">
        <f t="shared" si="3"/>
        <v/>
      </c>
      <c r="F60" s="109"/>
      <c r="G60" s="108">
        <f t="shared" si="7"/>
        <v>0.66388889282113994</v>
      </c>
      <c r="H60" s="109"/>
      <c r="I60" s="109">
        <f t="shared" si="4"/>
        <v>0</v>
      </c>
      <c r="J60" s="109">
        <f>IFERROR(VLOOKUP("КВ*",A60:G$69,5,FALSE),0)</f>
        <v>0</v>
      </c>
      <c r="K60" s="107"/>
      <c r="L60" s="108">
        <f t="shared" si="5"/>
        <v>0</v>
      </c>
      <c r="M60" s="110">
        <f t="shared" si="6"/>
        <v>0</v>
      </c>
      <c r="N60" s="111"/>
      <c r="O60" s="111"/>
      <c r="P60" s="111"/>
      <c r="Q60" s="432">
        <f>суперМЛ[[#This Row],[Расчетное время прибытия 1-го экипажа]]-времяОткрытия</f>
        <v>0.65347222615447331</v>
      </c>
      <c r="R60" s="432">
        <f>суперМЛ[[#This Row],[Расчетное время прибытия 1-го экипажа]]+TIME(0,числоЭкипажей,0)+времяЗакрытия</f>
        <v>0.70347222615447325</v>
      </c>
    </row>
    <row r="61" spans="1:18" s="33" customFormat="1" hidden="1" x14ac:dyDescent="0.25">
      <c r="A61" s="113"/>
      <c r="B61" s="109" t="str">
        <f t="shared" si="1"/>
        <v/>
      </c>
      <c r="C61" s="107"/>
      <c r="D61" s="108">
        <f t="shared" si="2"/>
        <v>0</v>
      </c>
      <c r="E61" s="109" t="str">
        <f t="shared" si="3"/>
        <v/>
      </c>
      <c r="F61" s="109"/>
      <c r="G61" s="108">
        <f t="shared" si="7"/>
        <v>0.66388889282113994</v>
      </c>
      <c r="H61" s="109"/>
      <c r="I61" s="109">
        <f t="shared" si="4"/>
        <v>0</v>
      </c>
      <c r="J61" s="109">
        <f>IFERROR(VLOOKUP("КВ*",A61:G$69,5,FALSE),0)</f>
        <v>0</v>
      </c>
      <c r="K61" s="107"/>
      <c r="L61" s="108">
        <f t="shared" si="5"/>
        <v>0</v>
      </c>
      <c r="M61" s="110">
        <f t="shared" si="6"/>
        <v>0</v>
      </c>
      <c r="N61" s="111"/>
      <c r="O61" s="111"/>
      <c r="P61" s="111"/>
      <c r="Q61" s="432">
        <f>суперМЛ[[#This Row],[Расчетное время прибытия 1-го экипажа]]-времяОткрытия</f>
        <v>0.65347222615447331</v>
      </c>
      <c r="R61" s="432">
        <f>суперМЛ[[#This Row],[Расчетное время прибытия 1-го экипажа]]+TIME(0,числоЭкипажей,0)+времяЗакрытия</f>
        <v>0.70347222615447325</v>
      </c>
    </row>
    <row r="62" spans="1:18" s="33" customFormat="1" hidden="1" x14ac:dyDescent="0.25">
      <c r="A62" s="113"/>
      <c r="B62" s="109" t="str">
        <f t="shared" si="1"/>
        <v/>
      </c>
      <c r="C62" s="107"/>
      <c r="D62" s="108">
        <f t="shared" si="2"/>
        <v>0</v>
      </c>
      <c r="E62" s="109" t="str">
        <f t="shared" si="3"/>
        <v/>
      </c>
      <c r="F62" s="109"/>
      <c r="G62" s="108">
        <f t="shared" si="7"/>
        <v>0.66388889282113994</v>
      </c>
      <c r="H62" s="109"/>
      <c r="I62" s="109">
        <f t="shared" si="4"/>
        <v>0</v>
      </c>
      <c r="J62" s="109">
        <f>IFERROR(VLOOKUP("КВ*",A62:G$69,5,FALSE),0)</f>
        <v>0</v>
      </c>
      <c r="K62" s="107"/>
      <c r="L62" s="108">
        <f t="shared" si="5"/>
        <v>0</v>
      </c>
      <c r="M62" s="110">
        <f t="shared" si="6"/>
        <v>0</v>
      </c>
      <c r="N62" s="111"/>
      <c r="O62" s="111"/>
      <c r="P62" s="111"/>
      <c r="Q62" s="432">
        <f>суперМЛ[[#This Row],[Расчетное время прибытия 1-го экипажа]]-времяОткрытия</f>
        <v>0.65347222615447331</v>
      </c>
      <c r="R62" s="432">
        <f>суперМЛ[[#This Row],[Расчетное время прибытия 1-го экипажа]]+TIME(0,числоЭкипажей,0)+времяЗакрытия</f>
        <v>0.70347222615447325</v>
      </c>
    </row>
    <row r="63" spans="1:18" s="33" customFormat="1" hidden="1" x14ac:dyDescent="0.25">
      <c r="A63" s="113"/>
      <c r="B63" s="109" t="str">
        <f t="shared" si="1"/>
        <v/>
      </c>
      <c r="C63" s="107"/>
      <c r="D63" s="108">
        <f t="shared" si="2"/>
        <v>0</v>
      </c>
      <c r="E63" s="109" t="str">
        <f t="shared" si="3"/>
        <v/>
      </c>
      <c r="F63" s="109"/>
      <c r="G63" s="108">
        <f t="shared" si="7"/>
        <v>0.66388889282113994</v>
      </c>
      <c r="H63" s="109"/>
      <c r="I63" s="109">
        <f t="shared" si="4"/>
        <v>0</v>
      </c>
      <c r="J63" s="109">
        <f>IFERROR(VLOOKUP("КВ*",A63:G$69,5,FALSE),0)</f>
        <v>0</v>
      </c>
      <c r="K63" s="107"/>
      <c r="L63" s="108">
        <f t="shared" si="5"/>
        <v>0</v>
      </c>
      <c r="M63" s="110">
        <f t="shared" si="6"/>
        <v>0</v>
      </c>
      <c r="N63" s="111"/>
      <c r="O63" s="111"/>
      <c r="P63" s="111"/>
      <c r="Q63" s="432">
        <f>суперМЛ[[#This Row],[Расчетное время прибытия 1-го экипажа]]-времяОткрытия</f>
        <v>0.65347222615447331</v>
      </c>
      <c r="R63" s="432">
        <f>суперМЛ[[#This Row],[Расчетное время прибытия 1-го экипажа]]+TIME(0,числоЭкипажей,0)+времяЗакрытия</f>
        <v>0.70347222615447325</v>
      </c>
    </row>
    <row r="64" spans="1:18" s="33" customFormat="1" hidden="1" x14ac:dyDescent="0.25">
      <c r="A64" s="113"/>
      <c r="B64" s="109" t="str">
        <f t="shared" si="1"/>
        <v/>
      </c>
      <c r="C64" s="107"/>
      <c r="D64" s="108">
        <f t="shared" si="2"/>
        <v>0</v>
      </c>
      <c r="E64" s="109" t="str">
        <f t="shared" si="3"/>
        <v/>
      </c>
      <c r="F64" s="109"/>
      <c r="G64" s="108">
        <f t="shared" si="7"/>
        <v>0.66388889282113994</v>
      </c>
      <c r="H64" s="109"/>
      <c r="I64" s="109">
        <f t="shared" si="4"/>
        <v>0</v>
      </c>
      <c r="J64" s="109">
        <f>IFERROR(VLOOKUP("КВ*",A64:G$69,5,FALSE),0)</f>
        <v>0</v>
      </c>
      <c r="K64" s="107"/>
      <c r="L64" s="108">
        <f t="shared" si="5"/>
        <v>0</v>
      </c>
      <c r="M64" s="110">
        <f t="shared" si="6"/>
        <v>0</v>
      </c>
      <c r="N64" s="111"/>
      <c r="O64" s="111"/>
      <c r="P64" s="111"/>
      <c r="Q64" s="432">
        <f>суперМЛ[[#This Row],[Расчетное время прибытия 1-го экипажа]]-времяОткрытия</f>
        <v>0.65347222615447331</v>
      </c>
      <c r="R64" s="432">
        <f>суперМЛ[[#This Row],[Расчетное время прибытия 1-го экипажа]]+TIME(0,числоЭкипажей,0)+времяЗакрытия</f>
        <v>0.70347222615447325</v>
      </c>
    </row>
    <row r="65" spans="1:27" s="33" customFormat="1" hidden="1" x14ac:dyDescent="0.25">
      <c r="A65" s="113"/>
      <c r="B65" s="109" t="str">
        <f t="shared" si="1"/>
        <v/>
      </c>
      <c r="C65" s="107"/>
      <c r="D65" s="108">
        <f t="shared" si="2"/>
        <v>0</v>
      </c>
      <c r="E65" s="109" t="str">
        <f t="shared" si="3"/>
        <v/>
      </c>
      <c r="F65" s="109"/>
      <c r="G65" s="108">
        <f t="shared" si="7"/>
        <v>0.66388889282113994</v>
      </c>
      <c r="H65" s="109"/>
      <c r="I65" s="109">
        <f t="shared" si="4"/>
        <v>0</v>
      </c>
      <c r="J65" s="109">
        <f>IFERROR(VLOOKUP("КВ*",A65:G$69,5,FALSE),0)</f>
        <v>0</v>
      </c>
      <c r="K65" s="107"/>
      <c r="L65" s="108">
        <f t="shared" si="5"/>
        <v>0</v>
      </c>
      <c r="M65" s="110">
        <f t="shared" si="6"/>
        <v>0</v>
      </c>
      <c r="N65" s="111"/>
      <c r="O65" s="111"/>
      <c r="P65" s="111"/>
      <c r="Q65" s="432">
        <f>суперМЛ[[#This Row],[Расчетное время прибытия 1-го экипажа]]-времяОткрытия</f>
        <v>0.65347222615447331</v>
      </c>
      <c r="R65" s="432">
        <f>суперМЛ[[#This Row],[Расчетное время прибытия 1-го экипажа]]+TIME(0,числоЭкипажей,0)+времяЗакрытия</f>
        <v>0.70347222615447325</v>
      </c>
    </row>
    <row r="66" spans="1:27" s="33" customFormat="1" hidden="1" x14ac:dyDescent="0.25">
      <c r="A66" s="113"/>
      <c r="B66" s="109" t="str">
        <f t="shared" si="1"/>
        <v/>
      </c>
      <c r="C66" s="107"/>
      <c r="D66" s="108">
        <f t="shared" si="2"/>
        <v>0</v>
      </c>
      <c r="E66" s="109" t="str">
        <f t="shared" si="3"/>
        <v/>
      </c>
      <c r="F66" s="109"/>
      <c r="G66" s="108">
        <f t="shared" si="7"/>
        <v>0.66388889282113994</v>
      </c>
      <c r="H66" s="109"/>
      <c r="I66" s="109">
        <f t="shared" si="4"/>
        <v>0</v>
      </c>
      <c r="J66" s="109">
        <f>IFERROR(VLOOKUP("КВ*",A66:G$69,5,FALSE),0)</f>
        <v>0</v>
      </c>
      <c r="K66" s="107"/>
      <c r="L66" s="108">
        <f t="shared" si="5"/>
        <v>0</v>
      </c>
      <c r="M66" s="110">
        <f t="shared" si="6"/>
        <v>0</v>
      </c>
      <c r="N66" s="111"/>
      <c r="O66" s="111"/>
      <c r="P66" s="111"/>
      <c r="Q66" s="432">
        <f>суперМЛ[[#This Row],[Расчетное время прибытия 1-го экипажа]]-времяОткрытия</f>
        <v>0.65347222615447331</v>
      </c>
      <c r="R66" s="432">
        <f>суперМЛ[[#This Row],[Расчетное время прибытия 1-го экипажа]]+TIME(0,числоЭкипажей,0)+времяЗакрытия</f>
        <v>0.70347222615447325</v>
      </c>
    </row>
    <row r="67" spans="1:27" s="33" customFormat="1" hidden="1" x14ac:dyDescent="0.25">
      <c r="A67" s="113"/>
      <c r="B67" s="109" t="str">
        <f t="shared" si="1"/>
        <v/>
      </c>
      <c r="C67" s="107"/>
      <c r="D67" s="108">
        <f t="shared" si="2"/>
        <v>0</v>
      </c>
      <c r="E67" s="109" t="str">
        <f t="shared" si="3"/>
        <v/>
      </c>
      <c r="F67" s="109"/>
      <c r="G67" s="108">
        <f t="shared" si="7"/>
        <v>0.66388889282113994</v>
      </c>
      <c r="H67" s="109"/>
      <c r="I67" s="109">
        <f t="shared" si="4"/>
        <v>0</v>
      </c>
      <c r="J67" s="109">
        <f>IFERROR(VLOOKUP("КВ*",A67:G$69,5,FALSE),0)</f>
        <v>0</v>
      </c>
      <c r="K67" s="107"/>
      <c r="L67" s="108">
        <f t="shared" si="5"/>
        <v>0</v>
      </c>
      <c r="M67" s="110">
        <f t="shared" si="6"/>
        <v>0</v>
      </c>
      <c r="N67" s="111"/>
      <c r="O67" s="111"/>
      <c r="P67" s="111"/>
      <c r="Q67" s="432">
        <f>суперМЛ[[#This Row],[Расчетное время прибытия 1-го экипажа]]-времяОткрытия</f>
        <v>0.65347222615447331</v>
      </c>
      <c r="R67" s="432">
        <f>суперМЛ[[#This Row],[Расчетное время прибытия 1-го экипажа]]+TIME(0,числоЭкипажей,0)+времяЗакрытия</f>
        <v>0.70347222615447325</v>
      </c>
    </row>
    <row r="68" spans="1:27" s="33" customFormat="1" hidden="1" x14ac:dyDescent="0.25">
      <c r="A68" s="113"/>
      <c r="B68" s="109" t="str">
        <f t="shared" si="1"/>
        <v/>
      </c>
      <c r="C68" s="107"/>
      <c r="D68" s="108">
        <f t="shared" si="2"/>
        <v>0</v>
      </c>
      <c r="E68" s="109" t="str">
        <f t="shared" si="3"/>
        <v/>
      </c>
      <c r="F68" s="109"/>
      <c r="G68" s="108">
        <f t="shared" si="7"/>
        <v>0.66388889282113994</v>
      </c>
      <c r="H68" s="109"/>
      <c r="I68" s="109">
        <f t="shared" si="4"/>
        <v>0</v>
      </c>
      <c r="J68" s="109">
        <f>IFERROR(VLOOKUP("КВ*",A68:G$69,5,FALSE),0)</f>
        <v>0</v>
      </c>
      <c r="K68" s="107"/>
      <c r="L68" s="108">
        <f t="shared" si="5"/>
        <v>0</v>
      </c>
      <c r="M68" s="110">
        <f t="shared" si="6"/>
        <v>0</v>
      </c>
      <c r="N68" s="111"/>
      <c r="O68" s="111"/>
      <c r="P68" s="111"/>
      <c r="Q68" s="432">
        <f>суперМЛ[[#This Row],[Расчетное время прибытия 1-го экипажа]]-времяОткрытия</f>
        <v>0.65347222615447331</v>
      </c>
      <c r="R68" s="432">
        <f>суперМЛ[[#This Row],[Расчетное время прибытия 1-го экипажа]]+TIME(0,числоЭкипажей,0)+времяЗакрытия</f>
        <v>0.70347222615447325</v>
      </c>
    </row>
    <row r="69" spans="1:27" s="33" customFormat="1" hidden="1" x14ac:dyDescent="0.25">
      <c r="A69" s="113"/>
      <c r="B69" s="109" t="str">
        <f t="shared" si="1"/>
        <v/>
      </c>
      <c r="C69" s="107"/>
      <c r="D69" s="108">
        <f t="shared" si="2"/>
        <v>0</v>
      </c>
      <c r="E69" s="109" t="str">
        <f t="shared" si="3"/>
        <v/>
      </c>
      <c r="F69" s="109"/>
      <c r="G69" s="108">
        <f t="shared" si="7"/>
        <v>0.66388889282113994</v>
      </c>
      <c r="H69" s="109"/>
      <c r="I69" s="109">
        <f t="shared" si="4"/>
        <v>0</v>
      </c>
      <c r="J69" s="109">
        <f>IFERROR(VLOOKUP("КВ*",A69:G$69,5,FALSE),0)</f>
        <v>0</v>
      </c>
      <c r="K69" s="107"/>
      <c r="L69" s="108">
        <f t="shared" si="5"/>
        <v>0</v>
      </c>
      <c r="M69" s="110">
        <f t="shared" si="6"/>
        <v>0</v>
      </c>
      <c r="N69" s="111"/>
      <c r="O69" s="111"/>
      <c r="P69" s="111"/>
      <c r="Q69" s="432">
        <f>суперМЛ[[#This Row],[Расчетное время прибытия 1-го экипажа]]-времяОткрытия</f>
        <v>0.65347222615447331</v>
      </c>
      <c r="R69" s="432">
        <f>суперМЛ[[#This Row],[Расчетное время прибытия 1-го экипажа]]+TIME(0,числоЭкипажей,0)+времяЗакрытия</f>
        <v>0.70347222615447325</v>
      </c>
    </row>
    <row r="70" spans="1:27" x14ac:dyDescent="0.25">
      <c r="A70" s="117" t="s">
        <v>228</v>
      </c>
      <c r="B70" s="118">
        <f>SUBTOTAL(109,суперМЛ[Дистанция дорожного сектора, км])</f>
        <v>192.05</v>
      </c>
      <c r="C70" s="119">
        <f>SUBTOTAL(109,суперМЛ[Норма времени, чч:мм])</f>
        <v>0.24652778171002865</v>
      </c>
      <c r="D70" s="120">
        <f>SUBTOTAL(109,суперМЛ[Нейтрализация на секторе])</f>
        <v>0</v>
      </c>
      <c r="E70" s="115"/>
      <c r="F70" s="115"/>
      <c r="G70" s="115"/>
      <c r="H70" s="115"/>
      <c r="I70" s="115"/>
      <c r="J70" s="115"/>
      <c r="K70" s="114"/>
      <c r="L70" s="115"/>
      <c r="M70" s="120"/>
      <c r="N70" s="116"/>
      <c r="O70" s="116"/>
      <c r="P70" s="116"/>
      <c r="Q70" s="116"/>
      <c r="R70" s="116"/>
      <c r="V70" s="20"/>
      <c r="W70" s="20"/>
      <c r="X70" s="20"/>
      <c r="Y70" s="2"/>
      <c r="Z70" s="2"/>
      <c r="AA70" s="2"/>
    </row>
    <row r="71" spans="1:27" x14ac:dyDescent="0.25">
      <c r="C71" s="6"/>
      <c r="G71" s="6"/>
      <c r="M71" s="6"/>
      <c r="N71" s="6"/>
      <c r="O71" s="6"/>
      <c r="R71" s="6"/>
      <c r="W71" s="20"/>
      <c r="X71" s="20"/>
      <c r="Z71" s="2"/>
      <c r="AA71" s="2"/>
    </row>
    <row r="72" spans="1:27" ht="15" customHeight="1" x14ac:dyDescent="0.25">
      <c r="A72" s="304" t="s">
        <v>443</v>
      </c>
      <c r="B72" s="74"/>
      <c r="C72" s="6"/>
      <c r="F72" s="33" t="s">
        <v>196</v>
      </c>
      <c r="G72" s="6"/>
      <c r="M72" s="6"/>
      <c r="N72" s="6"/>
      <c r="O72" s="6"/>
      <c r="R72" s="6"/>
      <c r="W72" s="20"/>
      <c r="X72" s="20"/>
      <c r="Z72" s="2"/>
      <c r="AA72" s="2"/>
    </row>
    <row r="73" spans="1:27" x14ac:dyDescent="0.25">
      <c r="A73" s="22" t="s">
        <v>40</v>
      </c>
      <c r="B73" s="309">
        <v>60</v>
      </c>
      <c r="C73" s="6"/>
      <c r="F73" s="2" t="s">
        <v>209</v>
      </c>
      <c r="G73" s="6"/>
      <c r="M73" s="6"/>
      <c r="N73" s="6"/>
      <c r="O73" s="6"/>
      <c r="R73" s="6"/>
      <c r="W73" s="20"/>
      <c r="X73" s="20"/>
      <c r="Z73" s="2"/>
      <c r="AA73" s="2"/>
    </row>
    <row r="74" spans="1:27" x14ac:dyDescent="0.25">
      <c r="A74" s="22" t="s">
        <v>41</v>
      </c>
      <c r="B74" s="309">
        <v>60</v>
      </c>
      <c r="C74" s="6"/>
      <c r="G74" s="6"/>
      <c r="M74" s="6"/>
      <c r="N74" s="6"/>
      <c r="O74" s="6"/>
      <c r="R74" s="6"/>
      <c r="W74" s="20"/>
      <c r="X74" s="20"/>
      <c r="Z74" s="2"/>
      <c r="AA74" s="2"/>
    </row>
    <row r="75" spans="1:27" x14ac:dyDescent="0.25">
      <c r="A75" s="22" t="s">
        <v>42</v>
      </c>
      <c r="B75" s="309">
        <v>900</v>
      </c>
      <c r="C75" s="6"/>
      <c r="F75" s="312" t="s">
        <v>321</v>
      </c>
      <c r="G75" s="313" t="s">
        <v>322</v>
      </c>
      <c r="H75" s="312" t="s">
        <v>323</v>
      </c>
      <c r="I75" s="313" t="s">
        <v>324</v>
      </c>
      <c r="J75" s="313" t="s">
        <v>325</v>
      </c>
      <c r="K75" s="313" t="s">
        <v>442</v>
      </c>
      <c r="L75" s="313" t="s">
        <v>441</v>
      </c>
      <c r="M75" s="6"/>
      <c r="N75" s="6"/>
      <c r="O75" s="6"/>
      <c r="R75" s="6"/>
      <c r="W75" s="20"/>
      <c r="X75" s="20"/>
      <c r="Z75" s="2"/>
      <c r="AA75" s="2"/>
    </row>
    <row r="76" spans="1:27" x14ac:dyDescent="0.25">
      <c r="A76" s="22" t="s">
        <v>375</v>
      </c>
      <c r="B76" s="309">
        <v>1800</v>
      </c>
      <c r="C76" s="6"/>
      <c r="F76" s="311">
        <v>4</v>
      </c>
      <c r="G76" s="311">
        <v>4</v>
      </c>
      <c r="H76" s="311">
        <v>1</v>
      </c>
      <c r="I76" s="311">
        <v>3</v>
      </c>
      <c r="J76" s="311">
        <v>3</v>
      </c>
      <c r="K76" s="311">
        <v>1</v>
      </c>
      <c r="L76" s="311">
        <v>2</v>
      </c>
      <c r="M76" s="6"/>
      <c r="N76" s="6"/>
      <c r="O76" s="6"/>
      <c r="R76" s="6"/>
      <c r="W76" s="20"/>
      <c r="X76" s="20"/>
      <c r="Z76" s="2"/>
      <c r="AA76" s="2"/>
    </row>
    <row r="77" spans="1:27" x14ac:dyDescent="0.25">
      <c r="A77" s="22" t="s">
        <v>374</v>
      </c>
      <c r="B77" s="309">
        <v>900</v>
      </c>
      <c r="C77" s="6"/>
      <c r="F77" s="138"/>
      <c r="G77" s="308"/>
      <c r="H77" s="138"/>
      <c r="I77" s="138"/>
      <c r="J77" s="303"/>
      <c r="K77" s="138"/>
      <c r="L77" s="138"/>
      <c r="M77" s="6"/>
      <c r="N77" s="6"/>
      <c r="O77" s="6"/>
      <c r="R77" s="6"/>
    </row>
    <row r="78" spans="1:27" x14ac:dyDescent="0.25">
      <c r="A78" s="22" t="s">
        <v>48</v>
      </c>
      <c r="B78" s="309">
        <v>900</v>
      </c>
      <c r="G78" s="23"/>
      <c r="N78" s="23"/>
      <c r="O78" s="23"/>
      <c r="R78" s="23"/>
    </row>
    <row r="79" spans="1:27" x14ac:dyDescent="0.25">
      <c r="A79" s="22" t="s">
        <v>43</v>
      </c>
      <c r="B79" s="309">
        <v>120</v>
      </c>
      <c r="E79" s="94"/>
      <c r="F79" s="94"/>
      <c r="G79" s="94"/>
      <c r="H79" s="94"/>
      <c r="I79" s="94"/>
      <c r="J79" s="94"/>
      <c r="K79" s="94"/>
      <c r="L79" s="94"/>
      <c r="M79" s="94"/>
      <c r="N79" s="94"/>
    </row>
    <row r="80" spans="1:27" x14ac:dyDescent="0.25">
      <c r="A80" s="22" t="s">
        <v>227</v>
      </c>
      <c r="B80" s="309">
        <v>600</v>
      </c>
      <c r="E80" s="94"/>
      <c r="F80" s="95" t="s">
        <v>217</v>
      </c>
      <c r="G80" s="94"/>
      <c r="H80" s="94"/>
      <c r="I80" s="94"/>
      <c r="J80" s="94"/>
      <c r="K80" s="96"/>
      <c r="L80" s="94"/>
      <c r="M80" s="94"/>
      <c r="N80" s="94"/>
    </row>
    <row r="81" spans="1:14" x14ac:dyDescent="0.25">
      <c r="A81" s="22" t="s">
        <v>49</v>
      </c>
      <c r="B81" s="309">
        <v>300</v>
      </c>
      <c r="E81" s="94"/>
      <c r="F81" s="94" t="s">
        <v>202</v>
      </c>
      <c r="G81" s="94"/>
      <c r="H81" s="94"/>
      <c r="I81" s="94"/>
      <c r="J81" s="94"/>
      <c r="K81" s="94" t="s">
        <v>246</v>
      </c>
      <c r="L81" s="94"/>
      <c r="M81" s="94"/>
      <c r="N81" s="94"/>
    </row>
    <row r="82" spans="1:14" x14ac:dyDescent="0.25">
      <c r="A82" s="22" t="s">
        <v>50</v>
      </c>
      <c r="B82" s="309">
        <v>60</v>
      </c>
      <c r="E82" s="94"/>
      <c r="F82" s="94" t="s">
        <v>203</v>
      </c>
      <c r="G82" s="94"/>
      <c r="H82" s="94"/>
      <c r="I82" s="94"/>
      <c r="J82" s="94"/>
      <c r="K82" s="94" t="s">
        <v>247</v>
      </c>
      <c r="L82" s="94"/>
      <c r="M82" s="94"/>
      <c r="N82" s="94"/>
    </row>
    <row r="83" spans="1:14" x14ac:dyDescent="0.25">
      <c r="A83" s="22" t="s">
        <v>47</v>
      </c>
      <c r="B83" s="309">
        <v>30</v>
      </c>
      <c r="E83" s="94"/>
      <c r="F83" s="94" t="s">
        <v>204</v>
      </c>
      <c r="G83" s="94"/>
      <c r="H83" s="94"/>
      <c r="I83" s="94"/>
      <c r="J83" s="94"/>
      <c r="K83" s="94" t="s">
        <v>248</v>
      </c>
      <c r="L83" s="94"/>
      <c r="M83" s="94"/>
      <c r="N83" s="94"/>
    </row>
    <row r="84" spans="1:14" x14ac:dyDescent="0.25">
      <c r="A84" s="22" t="s">
        <v>108</v>
      </c>
      <c r="B84" s="309">
        <v>1</v>
      </c>
      <c r="E84" s="94"/>
      <c r="F84" s="94" t="s">
        <v>215</v>
      </c>
      <c r="G84" s="94"/>
      <c r="H84" s="94"/>
      <c r="I84" s="94"/>
      <c r="J84" s="94"/>
      <c r="K84" s="94" t="s">
        <v>226</v>
      </c>
      <c r="L84" s="94"/>
      <c r="M84" s="94"/>
      <c r="N84" s="94"/>
    </row>
    <row r="85" spans="1:14" ht="15.75" thickBot="1" x14ac:dyDescent="0.3">
      <c r="A85" s="22" t="s">
        <v>78</v>
      </c>
      <c r="B85" s="309">
        <v>3</v>
      </c>
      <c r="E85" s="94"/>
      <c r="F85" s="94"/>
      <c r="G85" s="94"/>
      <c r="H85" s="94"/>
      <c r="I85" s="94"/>
      <c r="J85" s="94"/>
      <c r="K85" s="94" t="s">
        <v>475</v>
      </c>
      <c r="L85" s="94"/>
      <c r="M85" s="94"/>
      <c r="N85" s="94"/>
    </row>
    <row r="86" spans="1:14" x14ac:dyDescent="0.25">
      <c r="A86" s="22" t="s">
        <v>44</v>
      </c>
      <c r="B86" s="309">
        <v>300</v>
      </c>
      <c r="E86" s="94"/>
      <c r="F86" s="134" t="s">
        <v>220</v>
      </c>
      <c r="G86" s="135"/>
      <c r="H86" s="135"/>
      <c r="I86" s="135"/>
      <c r="J86" s="135"/>
      <c r="K86" s="135"/>
      <c r="L86" s="135"/>
      <c r="M86" s="136"/>
      <c r="N86" s="94"/>
    </row>
    <row r="87" spans="1:14" x14ac:dyDescent="0.25">
      <c r="A87" s="22" t="s">
        <v>45</v>
      </c>
      <c r="B87" s="309">
        <v>15</v>
      </c>
      <c r="E87" s="94"/>
      <c r="F87" s="137" t="s">
        <v>116</v>
      </c>
      <c r="G87" s="138"/>
      <c r="H87" s="138"/>
      <c r="I87" s="138"/>
      <c r="J87" s="138"/>
      <c r="K87" s="138" t="s">
        <v>117</v>
      </c>
      <c r="L87" s="138"/>
      <c r="M87" s="139"/>
      <c r="N87" s="94"/>
    </row>
    <row r="88" spans="1:14" x14ac:dyDescent="0.25">
      <c r="A88" s="22" t="s">
        <v>46</v>
      </c>
      <c r="B88" s="309">
        <v>60</v>
      </c>
      <c r="E88" s="94"/>
      <c r="F88" s="137" t="s">
        <v>71</v>
      </c>
      <c r="G88" s="138"/>
      <c r="H88" s="138"/>
      <c r="I88" s="138"/>
      <c r="J88" s="138"/>
      <c r="K88" s="138" t="s">
        <v>389</v>
      </c>
      <c r="L88" s="138"/>
      <c r="M88" s="139"/>
      <c r="N88" s="94"/>
    </row>
    <row r="89" spans="1:14" x14ac:dyDescent="0.25">
      <c r="A89" s="22" t="s">
        <v>245</v>
      </c>
      <c r="B89" s="309">
        <v>4</v>
      </c>
      <c r="E89" s="94"/>
      <c r="F89" s="137" t="s">
        <v>221</v>
      </c>
      <c r="G89" s="138"/>
      <c r="H89" s="138"/>
      <c r="I89" s="138"/>
      <c r="J89" s="138"/>
      <c r="K89" s="138" t="s">
        <v>216</v>
      </c>
      <c r="L89" s="138"/>
      <c r="M89" s="139"/>
      <c r="N89" s="94"/>
    </row>
    <row r="90" spans="1:14" x14ac:dyDescent="0.25">
      <c r="A90" s="22" t="s">
        <v>350</v>
      </c>
      <c r="B90" s="309">
        <v>600</v>
      </c>
      <c r="E90" s="94"/>
      <c r="F90" s="137" t="s">
        <v>219</v>
      </c>
      <c r="G90" s="138"/>
      <c r="H90" s="138"/>
      <c r="I90" s="138"/>
      <c r="J90" s="138"/>
      <c r="K90" s="138" t="s">
        <v>222</v>
      </c>
      <c r="L90" s="138"/>
      <c r="M90" s="139"/>
      <c r="N90" s="94"/>
    </row>
    <row r="91" spans="1:14" ht="15.75" thickBot="1" x14ac:dyDescent="0.3">
      <c r="A91" s="22" t="s">
        <v>351</v>
      </c>
      <c r="B91" s="309">
        <v>600</v>
      </c>
      <c r="E91" s="94"/>
      <c r="F91" s="140" t="s">
        <v>224</v>
      </c>
      <c r="G91" s="141"/>
      <c r="H91" s="141"/>
      <c r="I91" s="141"/>
      <c r="J91" s="141"/>
      <c r="K91" s="141" t="s">
        <v>223</v>
      </c>
      <c r="L91" s="141"/>
      <c r="M91" s="142"/>
      <c r="N91" s="94"/>
    </row>
    <row r="92" spans="1:14" x14ac:dyDescent="0.25">
      <c r="E92" s="94"/>
      <c r="F92" s="94"/>
      <c r="G92" s="94"/>
      <c r="H92" s="94"/>
      <c r="I92" s="94"/>
      <c r="J92" s="94"/>
      <c r="K92" s="94"/>
      <c r="L92" s="94"/>
      <c r="M92" s="94"/>
      <c r="N92" s="94"/>
    </row>
    <row r="93" spans="1:14" x14ac:dyDescent="0.25">
      <c r="A93" s="305" t="s">
        <v>444</v>
      </c>
      <c r="B93" s="306"/>
      <c r="E93" s="94"/>
      <c r="F93" s="95" t="s">
        <v>225</v>
      </c>
      <c r="G93" s="94"/>
      <c r="H93" s="94"/>
      <c r="I93" s="94"/>
      <c r="J93" s="94"/>
      <c r="K93" s="94"/>
      <c r="L93" s="94"/>
      <c r="M93" s="94"/>
      <c r="N93" s="94"/>
    </row>
    <row r="94" spans="1:14" x14ac:dyDescent="0.25">
      <c r="A94" s="307" t="s">
        <v>417</v>
      </c>
      <c r="B94" s="310">
        <v>10</v>
      </c>
      <c r="E94" s="94"/>
      <c r="F94" s="94" t="s">
        <v>900</v>
      </c>
      <c r="G94" s="94"/>
      <c r="H94" s="94"/>
      <c r="I94" s="94"/>
      <c r="J94" s="94"/>
      <c r="K94" s="94"/>
      <c r="L94" s="94"/>
      <c r="M94" s="94"/>
      <c r="N94" s="94"/>
    </row>
    <row r="95" spans="1:14" x14ac:dyDescent="0.25">
      <c r="A95" s="307" t="s">
        <v>418</v>
      </c>
      <c r="B95" s="310">
        <v>60</v>
      </c>
      <c r="E95" s="94"/>
      <c r="F95" s="94" t="s">
        <v>461</v>
      </c>
      <c r="G95" s="94"/>
      <c r="H95" s="94"/>
      <c r="I95" s="94"/>
      <c r="J95" s="94"/>
      <c r="K95" s="94"/>
      <c r="L95" s="94"/>
      <c r="M95" s="94"/>
      <c r="N95" s="94"/>
    </row>
    <row r="96" spans="1:14" x14ac:dyDescent="0.25">
      <c r="A96" s="307" t="s">
        <v>448</v>
      </c>
      <c r="B96" s="310" t="s">
        <v>447</v>
      </c>
      <c r="E96" s="94"/>
      <c r="F96" s="94" t="s">
        <v>462</v>
      </c>
      <c r="G96" s="94"/>
      <c r="H96" s="94"/>
      <c r="I96" s="94"/>
      <c r="J96" s="94"/>
      <c r="K96" s="94"/>
      <c r="L96" s="94"/>
      <c r="M96" s="94"/>
      <c r="N96" s="94"/>
    </row>
    <row r="97" spans="1:14" x14ac:dyDescent="0.25">
      <c r="A97" s="307" t="s">
        <v>419</v>
      </c>
      <c r="B97" s="310" t="str">
        <f>"A"&amp;перваяСтрока&amp;":D"&amp;(перваяСтрока+всегоСтрок-1)</f>
        <v>A10:D69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</row>
    <row r="98" spans="1:14" x14ac:dyDescent="0.25">
      <c r="A98" s="307" t="s">
        <v>420</v>
      </c>
      <c r="B98" s="310" t="str">
        <f>"A"&amp;перваяСтрока&amp;":C"&amp;(перваяСтрока+всегоСтрок-1)</f>
        <v>A10:C69</v>
      </c>
    </row>
    <row r="99" spans="1:14" x14ac:dyDescent="0.25">
      <c r="A99" s="307" t="s">
        <v>416</v>
      </c>
      <c r="B99" s="310" t="str">
        <f>"A"&amp;перваяСтрока&amp;":B"&amp;(перваяСтрока+всегоСтрок-1)</f>
        <v>A10:B69</v>
      </c>
    </row>
    <row r="100" spans="1:14" x14ac:dyDescent="0.25">
      <c r="A100" s="307" t="s">
        <v>421</v>
      </c>
      <c r="B100" s="310" t="str">
        <f>"A"&amp;перваяСтрока&amp;":B"&amp;(перваяСтрока+всегоСтрок-1)</f>
        <v>A10:B69</v>
      </c>
    </row>
    <row r="101" spans="1:14" x14ac:dyDescent="0.25">
      <c r="A101" s="307" t="s">
        <v>422</v>
      </c>
      <c r="B101" s="310" t="str">
        <f>"A"&amp;перваяСтрока&amp;":B"&amp;(перваяСтрока+всегоСтрок-1)</f>
        <v>A10:B69</v>
      </c>
    </row>
    <row r="102" spans="1:14" x14ac:dyDescent="0.25">
      <c r="A102" s="307" t="s">
        <v>423</v>
      </c>
      <c r="B102" s="310" t="str">
        <f>"A"&amp;перваяСтрока&amp;":C"&amp;(перваяСтрока+всегоСтрок-1)</f>
        <v>A10:C69</v>
      </c>
    </row>
    <row r="103" spans="1:14" x14ac:dyDescent="0.25">
      <c r="A103" s="307" t="s">
        <v>424</v>
      </c>
      <c r="B103" s="310" t="str">
        <f>"A"&amp;перваяСтрока&amp;":C"&amp;(перваяСтрока+всегоСтрок-1)</f>
        <v>A10:C69</v>
      </c>
    </row>
    <row r="104" spans="1:14" x14ac:dyDescent="0.25">
      <c r="A104" s="307" t="s">
        <v>425</v>
      </c>
      <c r="B104" s="310" t="str">
        <f>"A"&amp;перваяСтрока&amp;":I"&amp;(перваяСтрока+всегоСтрок-1)</f>
        <v>A10:I69</v>
      </c>
    </row>
    <row r="105" spans="1:14" x14ac:dyDescent="0.25">
      <c r="A105" s="307" t="s">
        <v>426</v>
      </c>
      <c r="B105" s="310" t="str">
        <f>"A"&amp;перваяСтрока&amp;":I"&amp;(перваяСтрока+всегоСтрок-1)</f>
        <v>A10:I69</v>
      </c>
    </row>
    <row r="107" spans="1:14" x14ac:dyDescent="0.25">
      <c r="A107" s="305" t="s">
        <v>460</v>
      </c>
      <c r="B107" s="306"/>
      <c r="C107" s="306"/>
    </row>
    <row r="108" spans="1:14" x14ac:dyDescent="0.25">
      <c r="A108" s="307" t="s">
        <v>237</v>
      </c>
      <c r="B108" s="315" t="s">
        <v>454</v>
      </c>
      <c r="C108" s="316" t="s">
        <v>458</v>
      </c>
    </row>
    <row r="109" spans="1:14" x14ac:dyDescent="0.25">
      <c r="A109" s="307" t="s">
        <v>238</v>
      </c>
      <c r="B109" s="315" t="s">
        <v>455</v>
      </c>
      <c r="C109" s="316" t="s">
        <v>459</v>
      </c>
    </row>
    <row r="110" spans="1:14" x14ac:dyDescent="0.25">
      <c r="A110" s="307" t="s">
        <v>236</v>
      </c>
      <c r="B110" s="315" t="s">
        <v>457</v>
      </c>
      <c r="C110" s="316" t="s">
        <v>456</v>
      </c>
    </row>
  </sheetData>
  <dataConsolidate/>
  <conditionalFormatting sqref="I10:I69">
    <cfRule type="cellIs" dxfId="250" priority="25" operator="lessThan">
      <formula>0</formula>
    </cfRule>
  </conditionalFormatting>
  <conditionalFormatting sqref="I36">
    <cfRule type="cellIs" dxfId="249" priority="24" operator="lessThan">
      <formula>0</formula>
    </cfRule>
  </conditionalFormatting>
  <conditionalFormatting sqref="I27">
    <cfRule type="cellIs" dxfId="248" priority="21" operator="lessThan">
      <formula>0</formula>
    </cfRule>
  </conditionalFormatting>
  <conditionalFormatting sqref="I26">
    <cfRule type="cellIs" dxfId="247" priority="22" operator="lessThan">
      <formula>0</formula>
    </cfRule>
  </conditionalFormatting>
  <conditionalFormatting sqref="H10:H69">
    <cfRule type="cellIs" dxfId="246" priority="10" operator="lessThan">
      <formula>0</formula>
    </cfRule>
  </conditionalFormatting>
  <conditionalFormatting sqref="H36">
    <cfRule type="cellIs" dxfId="245" priority="9" operator="lessThan">
      <formula>0</formula>
    </cfRule>
  </conditionalFormatting>
  <conditionalFormatting sqref="H27">
    <cfRule type="cellIs" dxfId="244" priority="7" operator="lessThan">
      <formula>0</formula>
    </cfRule>
  </conditionalFormatting>
  <conditionalFormatting sqref="H26">
    <cfRule type="cellIs" dxfId="243" priority="8" operator="lessThan">
      <formula>0</formula>
    </cfRule>
  </conditionalFormatting>
  <conditionalFormatting sqref="I24">
    <cfRule type="cellIs" dxfId="242" priority="4" operator="lessThan">
      <formula>0</formula>
    </cfRule>
  </conditionalFormatting>
  <conditionalFormatting sqref="H24">
    <cfRule type="cellIs" dxfId="241" priority="3" operator="lessThan">
      <formula>0</formula>
    </cfRule>
  </conditionalFormatting>
  <conditionalFormatting sqref="I50:I59">
    <cfRule type="cellIs" dxfId="240" priority="2" operator="lessThan">
      <formula>0</formula>
    </cfRule>
  </conditionalFormatting>
  <conditionalFormatting sqref="H50:H59">
    <cfRule type="cellIs" dxfId="239" priority="1" operator="lessThan">
      <formula>0</formula>
    </cfRule>
  </conditionalFormatting>
  <pageMargins left="0.7" right="0.7" top="0.75" bottom="0.75" header="0.3" footer="0.3"/>
  <pageSetup paperSize="9" scale="37" orientation="landscape" horizont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Button 1">
              <controlPr defaultSize="0" print="0" autoFill="0" autoPict="0" macro="[0]!makeProtocols_Click">
                <anchor moveWithCells="1" sizeWithCells="1">
                  <from>
                    <xdr:col>5</xdr:col>
                    <xdr:colOff>95250</xdr:colOff>
                    <xdr:row>1</xdr:row>
                    <xdr:rowOff>38100</xdr:rowOff>
                  </from>
                  <to>
                    <xdr:col>7</xdr:col>
                    <xdr:colOff>466725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Button 2">
              <controlPr defaultSize="0" print="0" autoFill="0" autoPict="0" macro="[0]!checkProtocols_Click">
                <anchor moveWithCells="1" sizeWithCells="1">
                  <from>
                    <xdr:col>5</xdr:col>
                    <xdr:colOff>95250</xdr:colOff>
                    <xdr:row>3</xdr:row>
                    <xdr:rowOff>28575</xdr:rowOff>
                  </from>
                  <to>
                    <xdr:col>7</xdr:col>
                    <xdr:colOff>466725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Button 3">
              <controlPr defaultSize="0" print="0" autoFill="0" autoPict="0" macro="[0]!processServiceColumn">
                <anchor moveWithCells="1" sizeWithCells="1">
                  <from>
                    <xdr:col>11</xdr:col>
                    <xdr:colOff>123825</xdr:colOff>
                    <xdr:row>1</xdr:row>
                    <xdr:rowOff>38100</xdr:rowOff>
                  </from>
                  <to>
                    <xdr:col>13</xdr:col>
                    <xdr:colOff>495300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Button 4">
              <controlPr defaultSize="0" print="0" autoFill="0" autoPict="0" macro="[0]!showDistAndRows">
                <anchor moveWithCells="1" sizeWithCells="1">
                  <from>
                    <xdr:col>8</xdr:col>
                    <xdr:colOff>66675</xdr:colOff>
                    <xdr:row>1</xdr:row>
                    <xdr:rowOff>38100</xdr:rowOff>
                  </from>
                  <to>
                    <xdr:col>10</xdr:col>
                    <xdr:colOff>438150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Button 5">
              <controlPr defaultSize="0" print="0" autoFill="0" autoPict="0" macro="[0]!showProLegend">
                <anchor moveWithCells="1" sizeWithCells="1">
                  <from>
                    <xdr:col>8</xdr:col>
                    <xdr:colOff>66675</xdr:colOff>
                    <xdr:row>3</xdr:row>
                    <xdr:rowOff>28575</xdr:rowOff>
                  </from>
                  <to>
                    <xdr:col>10</xdr:col>
                    <xdr:colOff>438150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Button 6">
              <controlPr defaultSize="0" print="0" autoFill="0" autoPict="0" macro="[0]!changeDist">
                <anchor moveWithCells="1" sizeWithCells="1">
                  <from>
                    <xdr:col>2</xdr:col>
                    <xdr:colOff>295275</xdr:colOff>
                    <xdr:row>5</xdr:row>
                    <xdr:rowOff>38100</xdr:rowOff>
                  </from>
                  <to>
                    <xdr:col>4</xdr:col>
                    <xdr:colOff>666750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0" name="Button 8">
              <controlPr defaultSize="0" print="0" autoFill="0" autoPict="0" macro="[0]!splitProtocols">
                <anchor moveWithCells="1" sizeWithCells="1">
                  <from>
                    <xdr:col>5</xdr:col>
                    <xdr:colOff>95250</xdr:colOff>
                    <xdr:row>5</xdr:row>
                    <xdr:rowOff>38100</xdr:rowOff>
                  </from>
                  <to>
                    <xdr:col>7</xdr:col>
                    <xdr:colOff>466725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1" name="Button 9">
              <controlPr defaultSize="0" print="0" autoFill="0" autoPict="0" macro="[0]!showLightLegend">
                <anchor moveWithCells="1" sizeWithCells="1">
                  <from>
                    <xdr:col>8</xdr:col>
                    <xdr:colOff>47625</xdr:colOff>
                    <xdr:row>5</xdr:row>
                    <xdr:rowOff>57150</xdr:rowOff>
                  </from>
                  <to>
                    <xdr:col>10</xdr:col>
                    <xdr:colOff>419100</xdr:colOff>
                    <xdr:row>6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tableParts count="1"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</sheetPr>
  <dimension ref="A1:K66"/>
  <sheetViews>
    <sheetView view="pageBreakPreview" zoomScale="85" zoomScaleSheetLayoutView="85" workbookViewId="0">
      <selection activeCell="D72" sqref="D72"/>
    </sheetView>
  </sheetViews>
  <sheetFormatPr defaultRowHeight="15" x14ac:dyDescent="0.25"/>
  <cols>
    <col min="1" max="2" width="15.7109375" style="2" customWidth="1"/>
    <col min="3" max="3" width="45.7109375" style="2" customWidth="1"/>
    <col min="4" max="4" width="15.7109375" style="2" customWidth="1"/>
    <col min="5" max="255" width="9.140625" style="2"/>
    <col min="256" max="257" width="15.7109375" style="2" customWidth="1"/>
    <col min="258" max="258" width="0" style="2" hidden="1" customWidth="1"/>
    <col min="259" max="259" width="45.7109375" style="2" customWidth="1"/>
    <col min="260" max="260" width="15.7109375" style="2" customWidth="1"/>
    <col min="261" max="511" width="9.140625" style="2"/>
    <col min="512" max="513" width="15.7109375" style="2" customWidth="1"/>
    <col min="514" max="514" width="0" style="2" hidden="1" customWidth="1"/>
    <col min="515" max="515" width="45.7109375" style="2" customWidth="1"/>
    <col min="516" max="516" width="15.7109375" style="2" customWidth="1"/>
    <col min="517" max="767" width="9.140625" style="2"/>
    <col min="768" max="769" width="15.7109375" style="2" customWidth="1"/>
    <col min="770" max="770" width="0" style="2" hidden="1" customWidth="1"/>
    <col min="771" max="771" width="45.7109375" style="2" customWidth="1"/>
    <col min="772" max="772" width="15.7109375" style="2" customWidth="1"/>
    <col min="773" max="1023" width="9.140625" style="2"/>
    <col min="1024" max="1025" width="15.7109375" style="2" customWidth="1"/>
    <col min="1026" max="1026" width="0" style="2" hidden="1" customWidth="1"/>
    <col min="1027" max="1027" width="45.7109375" style="2" customWidth="1"/>
    <col min="1028" max="1028" width="15.7109375" style="2" customWidth="1"/>
    <col min="1029" max="1279" width="9.140625" style="2"/>
    <col min="1280" max="1281" width="15.7109375" style="2" customWidth="1"/>
    <col min="1282" max="1282" width="0" style="2" hidden="1" customWidth="1"/>
    <col min="1283" max="1283" width="45.7109375" style="2" customWidth="1"/>
    <col min="1284" max="1284" width="15.7109375" style="2" customWidth="1"/>
    <col min="1285" max="1535" width="9.140625" style="2"/>
    <col min="1536" max="1537" width="15.7109375" style="2" customWidth="1"/>
    <col min="1538" max="1538" width="0" style="2" hidden="1" customWidth="1"/>
    <col min="1539" max="1539" width="45.7109375" style="2" customWidth="1"/>
    <col min="1540" max="1540" width="15.7109375" style="2" customWidth="1"/>
    <col min="1541" max="1791" width="9.140625" style="2"/>
    <col min="1792" max="1793" width="15.7109375" style="2" customWidth="1"/>
    <col min="1794" max="1794" width="0" style="2" hidden="1" customWidth="1"/>
    <col min="1795" max="1795" width="45.7109375" style="2" customWidth="1"/>
    <col min="1796" max="1796" width="15.7109375" style="2" customWidth="1"/>
    <col min="1797" max="2047" width="9.140625" style="2"/>
    <col min="2048" max="2049" width="15.7109375" style="2" customWidth="1"/>
    <col min="2050" max="2050" width="0" style="2" hidden="1" customWidth="1"/>
    <col min="2051" max="2051" width="45.7109375" style="2" customWidth="1"/>
    <col min="2052" max="2052" width="15.7109375" style="2" customWidth="1"/>
    <col min="2053" max="2303" width="9.140625" style="2"/>
    <col min="2304" max="2305" width="15.7109375" style="2" customWidth="1"/>
    <col min="2306" max="2306" width="0" style="2" hidden="1" customWidth="1"/>
    <col min="2307" max="2307" width="45.7109375" style="2" customWidth="1"/>
    <col min="2308" max="2308" width="15.7109375" style="2" customWidth="1"/>
    <col min="2309" max="2559" width="9.140625" style="2"/>
    <col min="2560" max="2561" width="15.7109375" style="2" customWidth="1"/>
    <col min="2562" max="2562" width="0" style="2" hidden="1" customWidth="1"/>
    <col min="2563" max="2563" width="45.7109375" style="2" customWidth="1"/>
    <col min="2564" max="2564" width="15.7109375" style="2" customWidth="1"/>
    <col min="2565" max="2815" width="9.140625" style="2"/>
    <col min="2816" max="2817" width="15.7109375" style="2" customWidth="1"/>
    <col min="2818" max="2818" width="0" style="2" hidden="1" customWidth="1"/>
    <col min="2819" max="2819" width="45.7109375" style="2" customWidth="1"/>
    <col min="2820" max="2820" width="15.7109375" style="2" customWidth="1"/>
    <col min="2821" max="3071" width="9.140625" style="2"/>
    <col min="3072" max="3073" width="15.7109375" style="2" customWidth="1"/>
    <col min="3074" max="3074" width="0" style="2" hidden="1" customWidth="1"/>
    <col min="3075" max="3075" width="45.7109375" style="2" customWidth="1"/>
    <col min="3076" max="3076" width="15.7109375" style="2" customWidth="1"/>
    <col min="3077" max="3327" width="9.140625" style="2"/>
    <col min="3328" max="3329" width="15.7109375" style="2" customWidth="1"/>
    <col min="3330" max="3330" width="0" style="2" hidden="1" customWidth="1"/>
    <col min="3331" max="3331" width="45.7109375" style="2" customWidth="1"/>
    <col min="3332" max="3332" width="15.7109375" style="2" customWidth="1"/>
    <col min="3333" max="3583" width="9.140625" style="2"/>
    <col min="3584" max="3585" width="15.7109375" style="2" customWidth="1"/>
    <col min="3586" max="3586" width="0" style="2" hidden="1" customWidth="1"/>
    <col min="3587" max="3587" width="45.7109375" style="2" customWidth="1"/>
    <col min="3588" max="3588" width="15.7109375" style="2" customWidth="1"/>
    <col min="3589" max="3839" width="9.140625" style="2"/>
    <col min="3840" max="3841" width="15.7109375" style="2" customWidth="1"/>
    <col min="3842" max="3842" width="0" style="2" hidden="1" customWidth="1"/>
    <col min="3843" max="3843" width="45.7109375" style="2" customWidth="1"/>
    <col min="3844" max="3844" width="15.7109375" style="2" customWidth="1"/>
    <col min="3845" max="4095" width="9.140625" style="2"/>
    <col min="4096" max="4097" width="15.7109375" style="2" customWidth="1"/>
    <col min="4098" max="4098" width="0" style="2" hidden="1" customWidth="1"/>
    <col min="4099" max="4099" width="45.7109375" style="2" customWidth="1"/>
    <col min="4100" max="4100" width="15.7109375" style="2" customWidth="1"/>
    <col min="4101" max="4351" width="9.140625" style="2"/>
    <col min="4352" max="4353" width="15.7109375" style="2" customWidth="1"/>
    <col min="4354" max="4354" width="0" style="2" hidden="1" customWidth="1"/>
    <col min="4355" max="4355" width="45.7109375" style="2" customWidth="1"/>
    <col min="4356" max="4356" width="15.7109375" style="2" customWidth="1"/>
    <col min="4357" max="4607" width="9.140625" style="2"/>
    <col min="4608" max="4609" width="15.7109375" style="2" customWidth="1"/>
    <col min="4610" max="4610" width="0" style="2" hidden="1" customWidth="1"/>
    <col min="4611" max="4611" width="45.7109375" style="2" customWidth="1"/>
    <col min="4612" max="4612" width="15.7109375" style="2" customWidth="1"/>
    <col min="4613" max="4863" width="9.140625" style="2"/>
    <col min="4864" max="4865" width="15.7109375" style="2" customWidth="1"/>
    <col min="4866" max="4866" width="0" style="2" hidden="1" customWidth="1"/>
    <col min="4867" max="4867" width="45.7109375" style="2" customWidth="1"/>
    <col min="4868" max="4868" width="15.7109375" style="2" customWidth="1"/>
    <col min="4869" max="5119" width="9.140625" style="2"/>
    <col min="5120" max="5121" width="15.7109375" style="2" customWidth="1"/>
    <col min="5122" max="5122" width="0" style="2" hidden="1" customWidth="1"/>
    <col min="5123" max="5123" width="45.7109375" style="2" customWidth="1"/>
    <col min="5124" max="5124" width="15.7109375" style="2" customWidth="1"/>
    <col min="5125" max="5375" width="9.140625" style="2"/>
    <col min="5376" max="5377" width="15.7109375" style="2" customWidth="1"/>
    <col min="5378" max="5378" width="0" style="2" hidden="1" customWidth="1"/>
    <col min="5379" max="5379" width="45.7109375" style="2" customWidth="1"/>
    <col min="5380" max="5380" width="15.7109375" style="2" customWidth="1"/>
    <col min="5381" max="5631" width="9.140625" style="2"/>
    <col min="5632" max="5633" width="15.7109375" style="2" customWidth="1"/>
    <col min="5634" max="5634" width="0" style="2" hidden="1" customWidth="1"/>
    <col min="5635" max="5635" width="45.7109375" style="2" customWidth="1"/>
    <col min="5636" max="5636" width="15.7109375" style="2" customWidth="1"/>
    <col min="5637" max="5887" width="9.140625" style="2"/>
    <col min="5888" max="5889" width="15.7109375" style="2" customWidth="1"/>
    <col min="5890" max="5890" width="0" style="2" hidden="1" customWidth="1"/>
    <col min="5891" max="5891" width="45.7109375" style="2" customWidth="1"/>
    <col min="5892" max="5892" width="15.7109375" style="2" customWidth="1"/>
    <col min="5893" max="6143" width="9.140625" style="2"/>
    <col min="6144" max="6145" width="15.7109375" style="2" customWidth="1"/>
    <col min="6146" max="6146" width="0" style="2" hidden="1" customWidth="1"/>
    <col min="6147" max="6147" width="45.7109375" style="2" customWidth="1"/>
    <col min="6148" max="6148" width="15.7109375" style="2" customWidth="1"/>
    <col min="6149" max="6399" width="9.140625" style="2"/>
    <col min="6400" max="6401" width="15.7109375" style="2" customWidth="1"/>
    <col min="6402" max="6402" width="0" style="2" hidden="1" customWidth="1"/>
    <col min="6403" max="6403" width="45.7109375" style="2" customWidth="1"/>
    <col min="6404" max="6404" width="15.7109375" style="2" customWidth="1"/>
    <col min="6405" max="6655" width="9.140625" style="2"/>
    <col min="6656" max="6657" width="15.7109375" style="2" customWidth="1"/>
    <col min="6658" max="6658" width="0" style="2" hidden="1" customWidth="1"/>
    <col min="6659" max="6659" width="45.7109375" style="2" customWidth="1"/>
    <col min="6660" max="6660" width="15.7109375" style="2" customWidth="1"/>
    <col min="6661" max="6911" width="9.140625" style="2"/>
    <col min="6912" max="6913" width="15.7109375" style="2" customWidth="1"/>
    <col min="6914" max="6914" width="0" style="2" hidden="1" customWidth="1"/>
    <col min="6915" max="6915" width="45.7109375" style="2" customWidth="1"/>
    <col min="6916" max="6916" width="15.7109375" style="2" customWidth="1"/>
    <col min="6917" max="7167" width="9.140625" style="2"/>
    <col min="7168" max="7169" width="15.7109375" style="2" customWidth="1"/>
    <col min="7170" max="7170" width="0" style="2" hidden="1" customWidth="1"/>
    <col min="7171" max="7171" width="45.7109375" style="2" customWidth="1"/>
    <col min="7172" max="7172" width="15.7109375" style="2" customWidth="1"/>
    <col min="7173" max="7423" width="9.140625" style="2"/>
    <col min="7424" max="7425" width="15.7109375" style="2" customWidth="1"/>
    <col min="7426" max="7426" width="0" style="2" hidden="1" customWidth="1"/>
    <col min="7427" max="7427" width="45.7109375" style="2" customWidth="1"/>
    <col min="7428" max="7428" width="15.7109375" style="2" customWidth="1"/>
    <col min="7429" max="7679" width="9.140625" style="2"/>
    <col min="7680" max="7681" width="15.7109375" style="2" customWidth="1"/>
    <col min="7682" max="7682" width="0" style="2" hidden="1" customWidth="1"/>
    <col min="7683" max="7683" width="45.7109375" style="2" customWidth="1"/>
    <col min="7684" max="7684" width="15.7109375" style="2" customWidth="1"/>
    <col min="7685" max="7935" width="9.140625" style="2"/>
    <col min="7936" max="7937" width="15.7109375" style="2" customWidth="1"/>
    <col min="7938" max="7938" width="0" style="2" hidden="1" customWidth="1"/>
    <col min="7939" max="7939" width="45.7109375" style="2" customWidth="1"/>
    <col min="7940" max="7940" width="15.7109375" style="2" customWidth="1"/>
    <col min="7941" max="8191" width="9.140625" style="2"/>
    <col min="8192" max="8193" width="15.7109375" style="2" customWidth="1"/>
    <col min="8194" max="8194" width="0" style="2" hidden="1" customWidth="1"/>
    <col min="8195" max="8195" width="45.7109375" style="2" customWidth="1"/>
    <col min="8196" max="8196" width="15.7109375" style="2" customWidth="1"/>
    <col min="8197" max="8447" width="9.140625" style="2"/>
    <col min="8448" max="8449" width="15.7109375" style="2" customWidth="1"/>
    <col min="8450" max="8450" width="0" style="2" hidden="1" customWidth="1"/>
    <col min="8451" max="8451" width="45.7109375" style="2" customWidth="1"/>
    <col min="8452" max="8452" width="15.7109375" style="2" customWidth="1"/>
    <col min="8453" max="8703" width="9.140625" style="2"/>
    <col min="8704" max="8705" width="15.7109375" style="2" customWidth="1"/>
    <col min="8706" max="8706" width="0" style="2" hidden="1" customWidth="1"/>
    <col min="8707" max="8707" width="45.7109375" style="2" customWidth="1"/>
    <col min="8708" max="8708" width="15.7109375" style="2" customWidth="1"/>
    <col min="8709" max="8959" width="9.140625" style="2"/>
    <col min="8960" max="8961" width="15.7109375" style="2" customWidth="1"/>
    <col min="8962" max="8962" width="0" style="2" hidden="1" customWidth="1"/>
    <col min="8963" max="8963" width="45.7109375" style="2" customWidth="1"/>
    <col min="8964" max="8964" width="15.7109375" style="2" customWidth="1"/>
    <col min="8965" max="9215" width="9.140625" style="2"/>
    <col min="9216" max="9217" width="15.7109375" style="2" customWidth="1"/>
    <col min="9218" max="9218" width="0" style="2" hidden="1" customWidth="1"/>
    <col min="9219" max="9219" width="45.7109375" style="2" customWidth="1"/>
    <col min="9220" max="9220" width="15.7109375" style="2" customWidth="1"/>
    <col min="9221" max="9471" width="9.140625" style="2"/>
    <col min="9472" max="9473" width="15.7109375" style="2" customWidth="1"/>
    <col min="9474" max="9474" width="0" style="2" hidden="1" customWidth="1"/>
    <col min="9475" max="9475" width="45.7109375" style="2" customWidth="1"/>
    <col min="9476" max="9476" width="15.7109375" style="2" customWidth="1"/>
    <col min="9477" max="9727" width="9.140625" style="2"/>
    <col min="9728" max="9729" width="15.7109375" style="2" customWidth="1"/>
    <col min="9730" max="9730" width="0" style="2" hidden="1" customWidth="1"/>
    <col min="9731" max="9731" width="45.7109375" style="2" customWidth="1"/>
    <col min="9732" max="9732" width="15.7109375" style="2" customWidth="1"/>
    <col min="9733" max="9983" width="9.140625" style="2"/>
    <col min="9984" max="9985" width="15.7109375" style="2" customWidth="1"/>
    <col min="9986" max="9986" width="0" style="2" hidden="1" customWidth="1"/>
    <col min="9987" max="9987" width="45.7109375" style="2" customWidth="1"/>
    <col min="9988" max="9988" width="15.7109375" style="2" customWidth="1"/>
    <col min="9989" max="10239" width="9.140625" style="2"/>
    <col min="10240" max="10241" width="15.7109375" style="2" customWidth="1"/>
    <col min="10242" max="10242" width="0" style="2" hidden="1" customWidth="1"/>
    <col min="10243" max="10243" width="45.7109375" style="2" customWidth="1"/>
    <col min="10244" max="10244" width="15.7109375" style="2" customWidth="1"/>
    <col min="10245" max="10495" width="9.140625" style="2"/>
    <col min="10496" max="10497" width="15.7109375" style="2" customWidth="1"/>
    <col min="10498" max="10498" width="0" style="2" hidden="1" customWidth="1"/>
    <col min="10499" max="10499" width="45.7109375" style="2" customWidth="1"/>
    <col min="10500" max="10500" width="15.7109375" style="2" customWidth="1"/>
    <col min="10501" max="10751" width="9.140625" style="2"/>
    <col min="10752" max="10753" width="15.7109375" style="2" customWidth="1"/>
    <col min="10754" max="10754" width="0" style="2" hidden="1" customWidth="1"/>
    <col min="10755" max="10755" width="45.7109375" style="2" customWidth="1"/>
    <col min="10756" max="10756" width="15.7109375" style="2" customWidth="1"/>
    <col min="10757" max="11007" width="9.140625" style="2"/>
    <col min="11008" max="11009" width="15.7109375" style="2" customWidth="1"/>
    <col min="11010" max="11010" width="0" style="2" hidden="1" customWidth="1"/>
    <col min="11011" max="11011" width="45.7109375" style="2" customWidth="1"/>
    <col min="11012" max="11012" width="15.7109375" style="2" customWidth="1"/>
    <col min="11013" max="11263" width="9.140625" style="2"/>
    <col min="11264" max="11265" width="15.7109375" style="2" customWidth="1"/>
    <col min="11266" max="11266" width="0" style="2" hidden="1" customWidth="1"/>
    <col min="11267" max="11267" width="45.7109375" style="2" customWidth="1"/>
    <col min="11268" max="11268" width="15.7109375" style="2" customWidth="1"/>
    <col min="11269" max="11519" width="9.140625" style="2"/>
    <col min="11520" max="11521" width="15.7109375" style="2" customWidth="1"/>
    <col min="11522" max="11522" width="0" style="2" hidden="1" customWidth="1"/>
    <col min="11523" max="11523" width="45.7109375" style="2" customWidth="1"/>
    <col min="11524" max="11524" width="15.7109375" style="2" customWidth="1"/>
    <col min="11525" max="11775" width="9.140625" style="2"/>
    <col min="11776" max="11777" width="15.7109375" style="2" customWidth="1"/>
    <col min="11778" max="11778" width="0" style="2" hidden="1" customWidth="1"/>
    <col min="11779" max="11779" width="45.7109375" style="2" customWidth="1"/>
    <col min="11780" max="11780" width="15.7109375" style="2" customWidth="1"/>
    <col min="11781" max="12031" width="9.140625" style="2"/>
    <col min="12032" max="12033" width="15.7109375" style="2" customWidth="1"/>
    <col min="12034" max="12034" width="0" style="2" hidden="1" customWidth="1"/>
    <col min="12035" max="12035" width="45.7109375" style="2" customWidth="1"/>
    <col min="12036" max="12036" width="15.7109375" style="2" customWidth="1"/>
    <col min="12037" max="12287" width="9.140625" style="2"/>
    <col min="12288" max="12289" width="15.7109375" style="2" customWidth="1"/>
    <col min="12290" max="12290" width="0" style="2" hidden="1" customWidth="1"/>
    <col min="12291" max="12291" width="45.7109375" style="2" customWidth="1"/>
    <col min="12292" max="12292" width="15.7109375" style="2" customWidth="1"/>
    <col min="12293" max="12543" width="9.140625" style="2"/>
    <col min="12544" max="12545" width="15.7109375" style="2" customWidth="1"/>
    <col min="12546" max="12546" width="0" style="2" hidden="1" customWidth="1"/>
    <col min="12547" max="12547" width="45.7109375" style="2" customWidth="1"/>
    <col min="12548" max="12548" width="15.7109375" style="2" customWidth="1"/>
    <col min="12549" max="12799" width="9.140625" style="2"/>
    <col min="12800" max="12801" width="15.7109375" style="2" customWidth="1"/>
    <col min="12802" max="12802" width="0" style="2" hidden="1" customWidth="1"/>
    <col min="12803" max="12803" width="45.7109375" style="2" customWidth="1"/>
    <col min="12804" max="12804" width="15.7109375" style="2" customWidth="1"/>
    <col min="12805" max="13055" width="9.140625" style="2"/>
    <col min="13056" max="13057" width="15.7109375" style="2" customWidth="1"/>
    <col min="13058" max="13058" width="0" style="2" hidden="1" customWidth="1"/>
    <col min="13059" max="13059" width="45.7109375" style="2" customWidth="1"/>
    <col min="13060" max="13060" width="15.7109375" style="2" customWidth="1"/>
    <col min="13061" max="13311" width="9.140625" style="2"/>
    <col min="13312" max="13313" width="15.7109375" style="2" customWidth="1"/>
    <col min="13314" max="13314" width="0" style="2" hidden="1" customWidth="1"/>
    <col min="13315" max="13315" width="45.7109375" style="2" customWidth="1"/>
    <col min="13316" max="13316" width="15.7109375" style="2" customWidth="1"/>
    <col min="13317" max="13567" width="9.140625" style="2"/>
    <col min="13568" max="13569" width="15.7109375" style="2" customWidth="1"/>
    <col min="13570" max="13570" width="0" style="2" hidden="1" customWidth="1"/>
    <col min="13571" max="13571" width="45.7109375" style="2" customWidth="1"/>
    <col min="13572" max="13572" width="15.7109375" style="2" customWidth="1"/>
    <col min="13573" max="13823" width="9.140625" style="2"/>
    <col min="13824" max="13825" width="15.7109375" style="2" customWidth="1"/>
    <col min="13826" max="13826" width="0" style="2" hidden="1" customWidth="1"/>
    <col min="13827" max="13827" width="45.7109375" style="2" customWidth="1"/>
    <col min="13828" max="13828" width="15.7109375" style="2" customWidth="1"/>
    <col min="13829" max="14079" width="9.140625" style="2"/>
    <col min="14080" max="14081" width="15.7109375" style="2" customWidth="1"/>
    <col min="14082" max="14082" width="0" style="2" hidden="1" customWidth="1"/>
    <col min="14083" max="14083" width="45.7109375" style="2" customWidth="1"/>
    <col min="14084" max="14084" width="15.7109375" style="2" customWidth="1"/>
    <col min="14085" max="14335" width="9.140625" style="2"/>
    <col min="14336" max="14337" width="15.7109375" style="2" customWidth="1"/>
    <col min="14338" max="14338" width="0" style="2" hidden="1" customWidth="1"/>
    <col min="14339" max="14339" width="45.7109375" style="2" customWidth="1"/>
    <col min="14340" max="14340" width="15.7109375" style="2" customWidth="1"/>
    <col min="14341" max="14591" width="9.140625" style="2"/>
    <col min="14592" max="14593" width="15.7109375" style="2" customWidth="1"/>
    <col min="14594" max="14594" width="0" style="2" hidden="1" customWidth="1"/>
    <col min="14595" max="14595" width="45.7109375" style="2" customWidth="1"/>
    <col min="14596" max="14596" width="15.7109375" style="2" customWidth="1"/>
    <col min="14597" max="14847" width="9.140625" style="2"/>
    <col min="14848" max="14849" width="15.7109375" style="2" customWidth="1"/>
    <col min="14850" max="14850" width="0" style="2" hidden="1" customWidth="1"/>
    <col min="14851" max="14851" width="45.7109375" style="2" customWidth="1"/>
    <col min="14852" max="14852" width="15.7109375" style="2" customWidth="1"/>
    <col min="14853" max="15103" width="9.140625" style="2"/>
    <col min="15104" max="15105" width="15.7109375" style="2" customWidth="1"/>
    <col min="15106" max="15106" width="0" style="2" hidden="1" customWidth="1"/>
    <col min="15107" max="15107" width="45.7109375" style="2" customWidth="1"/>
    <col min="15108" max="15108" width="15.7109375" style="2" customWidth="1"/>
    <col min="15109" max="15359" width="9.140625" style="2"/>
    <col min="15360" max="15361" width="15.7109375" style="2" customWidth="1"/>
    <col min="15362" max="15362" width="0" style="2" hidden="1" customWidth="1"/>
    <col min="15363" max="15363" width="45.7109375" style="2" customWidth="1"/>
    <col min="15364" max="15364" width="15.7109375" style="2" customWidth="1"/>
    <col min="15365" max="15615" width="9.140625" style="2"/>
    <col min="15616" max="15617" width="15.7109375" style="2" customWidth="1"/>
    <col min="15618" max="15618" width="0" style="2" hidden="1" customWidth="1"/>
    <col min="15619" max="15619" width="45.7109375" style="2" customWidth="1"/>
    <col min="15620" max="15620" width="15.7109375" style="2" customWidth="1"/>
    <col min="15621" max="15871" width="9.140625" style="2"/>
    <col min="15872" max="15873" width="15.7109375" style="2" customWidth="1"/>
    <col min="15874" max="15874" width="0" style="2" hidden="1" customWidth="1"/>
    <col min="15875" max="15875" width="45.7109375" style="2" customWidth="1"/>
    <col min="15876" max="15876" width="15.7109375" style="2" customWidth="1"/>
    <col min="15877" max="16127" width="9.140625" style="2"/>
    <col min="16128" max="16129" width="15.7109375" style="2" customWidth="1"/>
    <col min="16130" max="16130" width="0" style="2" hidden="1" customWidth="1"/>
    <col min="16131" max="16131" width="45.7109375" style="2" customWidth="1"/>
    <col min="16132" max="16132" width="15.7109375" style="2" customWidth="1"/>
    <col min="16133" max="16384" width="9.140625" style="2"/>
  </cols>
  <sheetData>
    <row r="1" spans="1:11" ht="21" customHeight="1" x14ac:dyDescent="0.25">
      <c r="A1" s="63" t="s">
        <v>91</v>
      </c>
      <c r="B1" s="64"/>
      <c r="C1" s="64"/>
      <c r="D1" s="256" t="s">
        <v>396</v>
      </c>
    </row>
    <row r="2" spans="1:11" ht="21" customHeight="1" x14ac:dyDescent="0.25">
      <c r="A2" s="257" t="s">
        <v>386</v>
      </c>
      <c r="B2" s="258"/>
      <c r="C2" s="259" t="s">
        <v>387</v>
      </c>
      <c r="D2" s="258"/>
    </row>
    <row r="3" spans="1:11" ht="21" customHeight="1" x14ac:dyDescent="0.25">
      <c r="A3" s="257" t="s">
        <v>92</v>
      </c>
      <c r="B3" s="258"/>
      <c r="C3" s="259" t="s">
        <v>86</v>
      </c>
      <c r="D3" s="258"/>
    </row>
    <row r="4" spans="1:11" ht="21" customHeight="1" x14ac:dyDescent="0.25">
      <c r="A4" s="257" t="s">
        <v>393</v>
      </c>
      <c r="B4" s="258"/>
      <c r="C4" s="259" t="s">
        <v>394</v>
      </c>
      <c r="D4" s="258"/>
    </row>
    <row r="5" spans="1:11" ht="21" customHeight="1" x14ac:dyDescent="0.25">
      <c r="A5" s="257" t="s">
        <v>93</v>
      </c>
      <c r="B5" s="258"/>
      <c r="C5" s="259" t="s">
        <v>87</v>
      </c>
      <c r="D5" s="258"/>
    </row>
    <row r="6" spans="1:11" ht="21" customHeight="1" x14ac:dyDescent="0.25">
      <c r="A6" s="257" t="s">
        <v>393</v>
      </c>
      <c r="B6" s="258"/>
      <c r="C6" s="259" t="s">
        <v>395</v>
      </c>
      <c r="D6" s="258"/>
    </row>
    <row r="7" spans="1:11" ht="46.5" x14ac:dyDescent="0.25">
      <c r="A7" s="728" t="s">
        <v>401</v>
      </c>
      <c r="B7" s="728"/>
      <c r="C7" s="728"/>
      <c r="D7" s="728"/>
    </row>
    <row r="8" spans="1:11" s="24" customFormat="1" ht="21" customHeight="1" x14ac:dyDescent="0.25">
      <c r="A8" s="260" t="s">
        <v>402</v>
      </c>
      <c r="C8" s="31"/>
      <c r="D8" s="31"/>
    </row>
    <row r="9" spans="1:11" ht="21" customHeight="1" x14ac:dyDescent="0.25">
      <c r="A9" s="65" t="s">
        <v>0</v>
      </c>
      <c r="B9" s="729" t="s">
        <v>88</v>
      </c>
      <c r="C9" s="730"/>
      <c r="D9" s="278" t="s">
        <v>406</v>
      </c>
      <c r="J9" s="25"/>
      <c r="K9" s="26"/>
    </row>
    <row r="10" spans="1:11" ht="30" customHeight="1" x14ac:dyDescent="0.25">
      <c r="A10" s="29"/>
      <c r="B10" s="726"/>
      <c r="C10" s="727"/>
      <c r="D10" s="29"/>
    </row>
    <row r="11" spans="1:11" ht="30" customHeight="1" x14ac:dyDescent="0.25">
      <c r="A11" s="29"/>
      <c r="B11" s="726"/>
      <c r="C11" s="727"/>
      <c r="D11" s="29"/>
    </row>
    <row r="12" spans="1:11" ht="30" customHeight="1" x14ac:dyDescent="0.25">
      <c r="A12" s="29"/>
      <c r="B12" s="726"/>
      <c r="C12" s="727"/>
      <c r="D12" s="29"/>
    </row>
    <row r="13" spans="1:11" ht="30" customHeight="1" x14ac:dyDescent="0.25">
      <c r="A13" s="29"/>
      <c r="B13" s="726"/>
      <c r="C13" s="727"/>
      <c r="D13" s="29"/>
    </row>
    <row r="14" spans="1:11" ht="30" customHeight="1" x14ac:dyDescent="0.25">
      <c r="A14" s="29"/>
      <c r="B14" s="726"/>
      <c r="C14" s="727"/>
      <c r="D14" s="29"/>
    </row>
    <row r="15" spans="1:11" ht="30" customHeight="1" x14ac:dyDescent="0.25">
      <c r="A15" s="29"/>
      <c r="B15" s="726"/>
      <c r="C15" s="727"/>
      <c r="D15" s="29"/>
    </row>
    <row r="16" spans="1:11" ht="30" customHeight="1" x14ac:dyDescent="0.25">
      <c r="A16" s="29"/>
      <c r="B16" s="726"/>
      <c r="C16" s="727"/>
      <c r="D16" s="29"/>
    </row>
    <row r="17" spans="1:4" ht="30" customHeight="1" x14ac:dyDescent="0.25">
      <c r="A17" s="29"/>
      <c r="B17" s="726"/>
      <c r="C17" s="727"/>
      <c r="D17" s="29"/>
    </row>
    <row r="18" spans="1:4" ht="30" customHeight="1" x14ac:dyDescent="0.25">
      <c r="A18" s="29"/>
      <c r="B18" s="726"/>
      <c r="C18" s="727"/>
      <c r="D18" s="29"/>
    </row>
    <row r="19" spans="1:4" ht="30" customHeight="1" x14ac:dyDescent="0.25">
      <c r="A19" s="29"/>
      <c r="B19" s="726"/>
      <c r="C19" s="727"/>
      <c r="D19" s="29"/>
    </row>
    <row r="20" spans="1:4" ht="30" customHeight="1" x14ac:dyDescent="0.25">
      <c r="A20" s="29"/>
      <c r="B20" s="726"/>
      <c r="C20" s="727"/>
      <c r="D20" s="29"/>
    </row>
    <row r="21" spans="1:4" ht="30" customHeight="1" x14ac:dyDescent="0.25">
      <c r="A21" s="29"/>
      <c r="B21" s="726"/>
      <c r="C21" s="727"/>
      <c r="D21" s="29"/>
    </row>
    <row r="22" spans="1:4" ht="30" customHeight="1" x14ac:dyDescent="0.25">
      <c r="A22" s="29"/>
      <c r="B22" s="726"/>
      <c r="C22" s="727"/>
      <c r="D22" s="29"/>
    </row>
    <row r="23" spans="1:4" ht="30" customHeight="1" x14ac:dyDescent="0.25">
      <c r="A23" s="29"/>
      <c r="B23" s="726"/>
      <c r="C23" s="727"/>
      <c r="D23" s="29"/>
    </row>
    <row r="24" spans="1:4" ht="30" customHeight="1" x14ac:dyDescent="0.25">
      <c r="A24" s="29"/>
      <c r="B24" s="726"/>
      <c r="C24" s="727"/>
      <c r="D24" s="29"/>
    </row>
    <row r="25" spans="1:4" ht="30" customHeight="1" x14ac:dyDescent="0.25">
      <c r="A25" s="29"/>
      <c r="B25" s="726"/>
      <c r="C25" s="727"/>
      <c r="D25" s="29"/>
    </row>
    <row r="26" spans="1:4" ht="30" customHeight="1" x14ac:dyDescent="0.25">
      <c r="A26" s="29"/>
      <c r="B26" s="726"/>
      <c r="C26" s="727"/>
      <c r="D26" s="29"/>
    </row>
    <row r="27" spans="1:4" ht="30" customHeight="1" x14ac:dyDescent="0.25">
      <c r="A27" s="29"/>
      <c r="B27" s="726"/>
      <c r="C27" s="727"/>
      <c r="D27" s="29"/>
    </row>
    <row r="28" spans="1:4" ht="30" customHeight="1" x14ac:dyDescent="0.25">
      <c r="A28" s="29"/>
      <c r="B28" s="726"/>
      <c r="C28" s="727"/>
      <c r="D28" s="29"/>
    </row>
    <row r="29" spans="1:4" ht="30" customHeight="1" x14ac:dyDescent="0.25">
      <c r="A29" s="29"/>
      <c r="B29" s="726"/>
      <c r="C29" s="727"/>
      <c r="D29" s="29"/>
    </row>
    <row r="30" spans="1:4" ht="30" customHeight="1" x14ac:dyDescent="0.25">
      <c r="A30" s="29"/>
      <c r="B30" s="726"/>
      <c r="C30" s="727"/>
      <c r="D30" s="29"/>
    </row>
    <row r="31" spans="1:4" ht="30" customHeight="1" x14ac:dyDescent="0.25">
      <c r="A31" s="29"/>
      <c r="B31" s="726"/>
      <c r="C31" s="727"/>
      <c r="D31" s="29"/>
    </row>
    <row r="32" spans="1:4" ht="30" customHeight="1" x14ac:dyDescent="0.25">
      <c r="A32" s="29"/>
      <c r="B32" s="726"/>
      <c r="C32" s="727"/>
      <c r="D32" s="29"/>
    </row>
    <row r="33" spans="1:4" ht="30" customHeight="1" x14ac:dyDescent="0.25">
      <c r="A33" s="29"/>
      <c r="B33" s="726"/>
      <c r="C33" s="727"/>
      <c r="D33" s="29"/>
    </row>
    <row r="34" spans="1:4" ht="30" customHeight="1" x14ac:dyDescent="0.25">
      <c r="A34" s="29"/>
      <c r="B34" s="726"/>
      <c r="C34" s="727"/>
      <c r="D34" s="29"/>
    </row>
    <row r="35" spans="1:4" ht="30" customHeight="1" x14ac:dyDescent="0.25">
      <c r="A35" s="29"/>
      <c r="B35" s="726"/>
      <c r="C35" s="727"/>
      <c r="D35" s="29"/>
    </row>
    <row r="36" spans="1:4" ht="30" customHeight="1" x14ac:dyDescent="0.25">
      <c r="A36" s="29"/>
      <c r="B36" s="726"/>
      <c r="C36" s="727"/>
      <c r="D36" s="29"/>
    </row>
    <row r="37" spans="1:4" ht="30" customHeight="1" x14ac:dyDescent="0.25">
      <c r="A37" s="29"/>
      <c r="B37" s="726"/>
      <c r="C37" s="727"/>
      <c r="D37" s="29"/>
    </row>
    <row r="38" spans="1:4" ht="30" customHeight="1" x14ac:dyDescent="0.25">
      <c r="A38" s="29"/>
      <c r="B38" s="726"/>
      <c r="C38" s="727"/>
      <c r="D38" s="29"/>
    </row>
    <row r="39" spans="1:4" ht="30" customHeight="1" x14ac:dyDescent="0.25">
      <c r="A39" s="29"/>
      <c r="B39" s="726"/>
      <c r="C39" s="727"/>
      <c r="D39" s="29"/>
    </row>
    <row r="40" spans="1:4" ht="30" customHeight="1" x14ac:dyDescent="0.25">
      <c r="A40" s="29"/>
      <c r="B40" s="726"/>
      <c r="C40" s="727"/>
      <c r="D40" s="29"/>
    </row>
    <row r="41" spans="1:4" ht="30" customHeight="1" x14ac:dyDescent="0.25">
      <c r="A41" s="29"/>
      <c r="B41" s="726"/>
      <c r="C41" s="727"/>
      <c r="D41" s="29"/>
    </row>
    <row r="42" spans="1:4" ht="30" customHeight="1" x14ac:dyDescent="0.25">
      <c r="A42" s="29"/>
      <c r="B42" s="726"/>
      <c r="C42" s="727"/>
      <c r="D42" s="29"/>
    </row>
    <row r="43" spans="1:4" ht="30" customHeight="1" x14ac:dyDescent="0.25">
      <c r="A43" s="29"/>
      <c r="B43" s="726"/>
      <c r="C43" s="727"/>
      <c r="D43" s="29"/>
    </row>
    <row r="44" spans="1:4" ht="30" customHeight="1" x14ac:dyDescent="0.25">
      <c r="A44" s="29"/>
      <c r="B44" s="726"/>
      <c r="C44" s="727"/>
      <c r="D44" s="29"/>
    </row>
    <row r="45" spans="1:4" ht="30" customHeight="1" x14ac:dyDescent="0.25">
      <c r="A45" s="29"/>
      <c r="B45" s="726"/>
      <c r="C45" s="727"/>
      <c r="D45" s="29"/>
    </row>
    <row r="46" spans="1:4" ht="30" customHeight="1" x14ac:dyDescent="0.25">
      <c r="A46" s="29"/>
      <c r="B46" s="726"/>
      <c r="C46" s="727"/>
      <c r="D46" s="29"/>
    </row>
    <row r="47" spans="1:4" ht="30" customHeight="1" x14ac:dyDescent="0.25">
      <c r="A47" s="29"/>
      <c r="B47" s="726"/>
      <c r="C47" s="727"/>
      <c r="D47" s="29"/>
    </row>
    <row r="48" spans="1:4" ht="30" customHeight="1" x14ac:dyDescent="0.25">
      <c r="A48" s="29"/>
      <c r="B48" s="726"/>
      <c r="C48" s="727"/>
      <c r="D48" s="29"/>
    </row>
    <row r="49" spans="1:4" ht="30" customHeight="1" x14ac:dyDescent="0.25">
      <c r="A49" s="29"/>
      <c r="B49" s="726"/>
      <c r="C49" s="727"/>
      <c r="D49" s="29"/>
    </row>
    <row r="50" spans="1:4" ht="30" customHeight="1" x14ac:dyDescent="0.25">
      <c r="A50" s="29"/>
      <c r="B50" s="726"/>
      <c r="C50" s="727"/>
      <c r="D50" s="29"/>
    </row>
    <row r="51" spans="1:4" ht="30" customHeight="1" x14ac:dyDescent="0.25">
      <c r="A51" s="29"/>
      <c r="B51" s="726"/>
      <c r="C51" s="727"/>
      <c r="D51" s="29"/>
    </row>
    <row r="52" spans="1:4" ht="30" customHeight="1" x14ac:dyDescent="0.25">
      <c r="A52" s="29"/>
      <c r="B52" s="726"/>
      <c r="C52" s="727"/>
      <c r="D52" s="29"/>
    </row>
    <row r="53" spans="1:4" ht="30" customHeight="1" x14ac:dyDescent="0.25">
      <c r="A53" s="29"/>
      <c r="B53" s="726"/>
      <c r="C53" s="727"/>
      <c r="D53" s="29"/>
    </row>
    <row r="54" spans="1:4" ht="30" customHeight="1" x14ac:dyDescent="0.25">
      <c r="A54" s="29"/>
      <c r="B54" s="726"/>
      <c r="C54" s="727"/>
      <c r="D54" s="29"/>
    </row>
    <row r="55" spans="1:4" ht="30" customHeight="1" x14ac:dyDescent="0.25">
      <c r="A55" s="29"/>
      <c r="B55" s="726"/>
      <c r="C55" s="727"/>
      <c r="D55" s="29"/>
    </row>
    <row r="56" spans="1:4" ht="30" customHeight="1" x14ac:dyDescent="0.25">
      <c r="A56" s="29"/>
      <c r="B56" s="726"/>
      <c r="C56" s="727"/>
      <c r="D56" s="29"/>
    </row>
    <row r="57" spans="1:4" ht="30" customHeight="1" x14ac:dyDescent="0.25">
      <c r="A57" s="29"/>
      <c r="B57" s="726"/>
      <c r="C57" s="727"/>
      <c r="D57" s="29"/>
    </row>
    <row r="58" spans="1:4" ht="30" customHeight="1" x14ac:dyDescent="0.25">
      <c r="A58" s="29"/>
      <c r="B58" s="726"/>
      <c r="C58" s="727"/>
      <c r="D58" s="29"/>
    </row>
    <row r="59" spans="1:4" ht="30" customHeight="1" x14ac:dyDescent="0.25">
      <c r="A59" s="29"/>
      <c r="B59" s="726"/>
      <c r="C59" s="727"/>
      <c r="D59" s="29"/>
    </row>
    <row r="60" spans="1:4" ht="30" customHeight="1" x14ac:dyDescent="0.25">
      <c r="A60" s="29"/>
      <c r="B60" s="726"/>
      <c r="C60" s="727"/>
      <c r="D60" s="29"/>
    </row>
    <row r="61" spans="1:4" ht="30" customHeight="1" x14ac:dyDescent="0.25">
      <c r="A61" s="29"/>
      <c r="B61" s="726"/>
      <c r="C61" s="727"/>
      <c r="D61" s="29"/>
    </row>
    <row r="62" spans="1:4" ht="30" customHeight="1" x14ac:dyDescent="0.25">
      <c r="A62" s="29"/>
      <c r="B62" s="726"/>
      <c r="C62" s="727"/>
      <c r="D62" s="29"/>
    </row>
    <row r="63" spans="1:4" ht="30" customHeight="1" x14ac:dyDescent="0.25">
      <c r="A63" s="29"/>
      <c r="B63" s="726"/>
      <c r="C63" s="727"/>
      <c r="D63" s="29"/>
    </row>
    <row r="64" spans="1:4" ht="30" customHeight="1" x14ac:dyDescent="0.25">
      <c r="A64" s="29"/>
      <c r="B64" s="726"/>
      <c r="C64" s="727"/>
      <c r="D64" s="29"/>
    </row>
    <row r="65" spans="1:4" ht="30" customHeight="1" x14ac:dyDescent="0.25">
      <c r="A65" s="29"/>
      <c r="B65" s="726"/>
      <c r="C65" s="727"/>
      <c r="D65" s="29"/>
    </row>
    <row r="66" spans="1:4" ht="30" customHeight="1" x14ac:dyDescent="0.25">
      <c r="A66" s="29"/>
      <c r="B66" s="726"/>
      <c r="C66" s="727"/>
      <c r="D66" s="29"/>
    </row>
  </sheetData>
  <sheetProtection sheet="1" objects="1" scenarios="1"/>
  <mergeCells count="59">
    <mergeCell ref="B66:C66"/>
    <mergeCell ref="B61:C61"/>
    <mergeCell ref="B62:C62"/>
    <mergeCell ref="B63:C63"/>
    <mergeCell ref="B64:C64"/>
    <mergeCell ref="B65:C65"/>
    <mergeCell ref="B33:C33"/>
    <mergeCell ref="B32:C32"/>
    <mergeCell ref="B31:C31"/>
    <mergeCell ref="B30:C30"/>
    <mergeCell ref="B60:C60"/>
    <mergeCell ref="B38:C38"/>
    <mergeCell ref="B37:C37"/>
    <mergeCell ref="B36:C36"/>
    <mergeCell ref="B35:C35"/>
    <mergeCell ref="B34:C34"/>
    <mergeCell ref="B57:C57"/>
    <mergeCell ref="B58:C58"/>
    <mergeCell ref="B59:C59"/>
    <mergeCell ref="B51:C51"/>
    <mergeCell ref="B52:C52"/>
    <mergeCell ref="B53:C53"/>
    <mergeCell ref="A7:D7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14:C14"/>
    <mergeCell ref="B9:C9"/>
    <mergeCell ref="B10:C10"/>
    <mergeCell ref="B11:C11"/>
    <mergeCell ref="B12:C12"/>
    <mergeCell ref="B13:C13"/>
    <mergeCell ref="B27:C27"/>
    <mergeCell ref="B28:C28"/>
    <mergeCell ref="B54:C54"/>
    <mergeCell ref="B55:C55"/>
    <mergeCell ref="B56:C56"/>
    <mergeCell ref="B29:C29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F0"/>
  </sheetPr>
  <dimension ref="A1:K66"/>
  <sheetViews>
    <sheetView view="pageBreakPreview" topLeftCell="A34" zoomScale="85" zoomScaleSheetLayoutView="85" workbookViewId="0"/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399</v>
      </c>
      <c r="B7" s="725"/>
      <c r="C7" s="725"/>
      <c r="D7" s="725"/>
    </row>
    <row r="8" spans="1:11" s="268" customFormat="1" ht="21" customHeight="1" x14ac:dyDescent="0.25">
      <c r="A8" s="271" t="s">
        <v>405</v>
      </c>
      <c r="B8" s="270" t="s">
        <v>185</v>
      </c>
      <c r="C8" s="270" t="s">
        <v>185</v>
      </c>
      <c r="D8" s="269"/>
    </row>
    <row r="9" spans="1:11" ht="21" x14ac:dyDescent="0.25">
      <c r="A9" s="69" t="s">
        <v>0</v>
      </c>
      <c r="B9" s="70" t="s">
        <v>186</v>
      </c>
      <c r="C9" s="70" t="s">
        <v>187</v>
      </c>
      <c r="D9" s="70" t="s">
        <v>88</v>
      </c>
      <c r="J9" s="25"/>
      <c r="K9" s="26"/>
    </row>
    <row r="10" spans="1:11" ht="30" customHeight="1" x14ac:dyDescent="0.25">
      <c r="A10" s="239">
        <f>IF(ISBLANK(стартоваяВедомость!B10),"",стартоваяВедомость!B10)</f>
        <v>1</v>
      </c>
      <c r="B10" s="75">
        <f>IF(A10="","",стартоваяВедомость!H10)</f>
        <v>0.41736111111111113</v>
      </c>
      <c r="C10" s="76"/>
      <c r="D10" s="71"/>
    </row>
    <row r="11" spans="1:11" ht="30" customHeight="1" x14ac:dyDescent="0.25">
      <c r="A11" s="239">
        <f>IF(ISBLANK(стартоваяВедомость!B11),"",стартоваяВедомость!B11)</f>
        <v>2</v>
      </c>
      <c r="B11" s="75">
        <f>IF(A11="","",стартоваяВедомость!H11)</f>
        <v>0.41805555555555557</v>
      </c>
      <c r="C11" s="76"/>
      <c r="D11" s="71"/>
    </row>
    <row r="12" spans="1:11" ht="30" customHeight="1" x14ac:dyDescent="0.25">
      <c r="A12" s="239">
        <f>IF(ISBLANK(стартоваяВедомость!B12),"",стартоваяВедомость!B12)</f>
        <v>3</v>
      </c>
      <c r="B12" s="75">
        <f>IF(A12="","",стартоваяВедомость!H12)</f>
        <v>0.41875000000000001</v>
      </c>
      <c r="C12" s="76"/>
      <c r="D12" s="71"/>
    </row>
    <row r="13" spans="1:11" ht="30" customHeight="1" x14ac:dyDescent="0.25">
      <c r="A13" s="239">
        <f>IF(ISBLANK(стартоваяВедомость!B13),"",стартоваяВедомость!B13)</f>
        <v>4</v>
      </c>
      <c r="B13" s="75">
        <f>IF(A13="","",стартоваяВедомость!H13)</f>
        <v>0.41944444444444445</v>
      </c>
      <c r="C13" s="76"/>
      <c r="D13" s="71"/>
    </row>
    <row r="14" spans="1:11" ht="30" customHeight="1" x14ac:dyDescent="0.25">
      <c r="A14" s="239">
        <f>IF(ISBLANK(стартоваяВедомость!B14),"",стартоваяВедомость!B14)</f>
        <v>5</v>
      </c>
      <c r="B14" s="75">
        <f>IF(A14="","",стартоваяВедомость!H14)</f>
        <v>0.4201388888888889</v>
      </c>
      <c r="C14" s="76"/>
      <c r="D14" s="71"/>
    </row>
    <row r="15" spans="1:11" ht="30" customHeight="1" x14ac:dyDescent="0.25">
      <c r="A15" s="239">
        <f>IF(ISBLANK(стартоваяВедомость!B15),"",стартоваяВедомость!B15)</f>
        <v>6</v>
      </c>
      <c r="B15" s="75">
        <f>IF(A15="","",стартоваяВедомость!H15)</f>
        <v>0.42083333333333334</v>
      </c>
      <c r="C15" s="76"/>
      <c r="D15" s="71"/>
    </row>
    <row r="16" spans="1:11" ht="30" customHeight="1" x14ac:dyDescent="0.25">
      <c r="A16" s="239">
        <f>IF(ISBLANK(стартоваяВедомость!B16),"",стартоваяВедомость!B16)</f>
        <v>7</v>
      </c>
      <c r="B16" s="75">
        <f>IF(A16="","",стартоваяВедомость!H16)</f>
        <v>0.42152777777777778</v>
      </c>
      <c r="C16" s="76"/>
      <c r="D16" s="71"/>
    </row>
    <row r="17" spans="1:4" ht="30" customHeight="1" x14ac:dyDescent="0.25">
      <c r="A17" s="239">
        <f>IF(ISBLANK(стартоваяВедомость!B17),"",стартоваяВедомость!B17)</f>
        <v>8</v>
      </c>
      <c r="B17" s="75">
        <f>IF(A17="","",стартоваяВедомость!H17)</f>
        <v>0.42222222222222222</v>
      </c>
      <c r="C17" s="76"/>
      <c r="D17" s="71"/>
    </row>
    <row r="18" spans="1:4" ht="30" customHeight="1" x14ac:dyDescent="0.25">
      <c r="A18" s="239">
        <f>IF(ISBLANK(стартоваяВедомость!B18),"",стартоваяВедомость!B18)</f>
        <v>9</v>
      </c>
      <c r="B18" s="75">
        <f>IF(A18="","",стартоваяВедомость!H18)</f>
        <v>0.42291666666666666</v>
      </c>
      <c r="C18" s="76"/>
      <c r="D18" s="71"/>
    </row>
    <row r="19" spans="1:4" ht="30" customHeight="1" x14ac:dyDescent="0.25">
      <c r="A19" s="239">
        <f>IF(ISBLANK(стартоваяВедомость!B19),"",стартоваяВедомость!B19)</f>
        <v>10</v>
      </c>
      <c r="B19" s="75">
        <f>IF(A19="","",стартоваяВедомость!H19)</f>
        <v>0.4236111111111111</v>
      </c>
      <c r="C19" s="76"/>
      <c r="D19" s="71"/>
    </row>
    <row r="20" spans="1:4" ht="30" customHeight="1" x14ac:dyDescent="0.25">
      <c r="A20" s="239">
        <f>IF(ISBLANK(стартоваяВедомость!B20),"",стартоваяВедомость!B20)</f>
        <v>11</v>
      </c>
      <c r="B20" s="75">
        <f>IF(A20="","",стартоваяВедомость!H20)</f>
        <v>0.42430555555555555</v>
      </c>
      <c r="C20" s="76"/>
      <c r="D20" s="71"/>
    </row>
    <row r="21" spans="1:4" ht="30" customHeight="1" x14ac:dyDescent="0.25">
      <c r="A21" s="239">
        <f>IF(ISBLANK(стартоваяВедомость!B21),"",стартоваяВедомость!B21)</f>
        <v>12</v>
      </c>
      <c r="B21" s="75">
        <f>IF(A21="","",стартоваяВедомость!H21)</f>
        <v>0.42499999999999999</v>
      </c>
      <c r="C21" s="76"/>
      <c r="D21" s="71"/>
    </row>
    <row r="22" spans="1:4" ht="30" customHeight="1" x14ac:dyDescent="0.25">
      <c r="A22" s="239">
        <f>IF(ISBLANK(стартоваяВедомость!B22),"",стартоваяВедомость!B22)</f>
        <v>13</v>
      </c>
      <c r="B22" s="75">
        <f>IF(A22="","",стартоваяВедомость!H22)</f>
        <v>0.42569444444444443</v>
      </c>
      <c r="C22" s="76"/>
      <c r="D22" s="71"/>
    </row>
    <row r="23" spans="1:4" ht="30" customHeight="1" x14ac:dyDescent="0.25">
      <c r="A23" s="239">
        <f>IF(ISBLANK(стартоваяВедомость!B23),"",стартоваяВедомость!B23)</f>
        <v>14</v>
      </c>
      <c r="B23" s="75">
        <f>IF(A23="","",стартоваяВедомость!H23)</f>
        <v>0.42638888888888887</v>
      </c>
      <c r="C23" s="76"/>
      <c r="D23" s="71"/>
    </row>
    <row r="24" spans="1:4" ht="30" customHeight="1" x14ac:dyDescent="0.25">
      <c r="A24" s="239">
        <f>IF(ISBLANK(стартоваяВедомость!B24),"",стартоваяВедомость!B24)</f>
        <v>16</v>
      </c>
      <c r="B24" s="75">
        <f>IF(A24="","",стартоваяВедомость!H24)</f>
        <v>0.42708333333333331</v>
      </c>
      <c r="C24" s="76"/>
      <c r="D24" s="71"/>
    </row>
    <row r="25" spans="1:4" ht="30" customHeight="1" x14ac:dyDescent="0.25">
      <c r="A25" s="239">
        <f>IF(ISBLANK(стартоваяВедомость!B25),"",стартоваяВедомость!B25)</f>
        <v>17</v>
      </c>
      <c r="B25" s="75">
        <f>IF(A25="","",стартоваяВедомость!H25)</f>
        <v>0.42777777777777776</v>
      </c>
      <c r="C25" s="76"/>
      <c r="D25" s="71"/>
    </row>
    <row r="26" spans="1:4" ht="30" customHeight="1" x14ac:dyDescent="0.25">
      <c r="A26" s="239">
        <f>IF(ISBLANK(стартоваяВедомость!B26),"",стартоваяВедомость!B26)</f>
        <v>18</v>
      </c>
      <c r="B26" s="75">
        <f>IF(A26="","",стартоваяВедомость!H26)</f>
        <v>0.4284722222222222</v>
      </c>
      <c r="C26" s="76"/>
      <c r="D26" s="71"/>
    </row>
    <row r="27" spans="1:4" ht="30" customHeight="1" x14ac:dyDescent="0.25">
      <c r="A27" s="239">
        <f>IF(ISBLANK(стартоваяВедомость!B27),"",стартоваяВедомость!B27)</f>
        <v>20</v>
      </c>
      <c r="B27" s="75">
        <f>IF(A27="","",стартоваяВедомость!H27)</f>
        <v>0.42916666666666664</v>
      </c>
      <c r="C27" s="76"/>
      <c r="D27" s="71"/>
    </row>
    <row r="28" spans="1:4" ht="30" customHeight="1" x14ac:dyDescent="0.25">
      <c r="A28" s="239">
        <f>IF(ISBLANK(стартоваяВедомость!B28),"",стартоваяВедомость!B28)</f>
        <v>21</v>
      </c>
      <c r="B28" s="75">
        <f>IF(A28="","",стартоваяВедомость!H28)</f>
        <v>0.42986111111111108</v>
      </c>
      <c r="C28" s="76"/>
      <c r="D28" s="71"/>
    </row>
    <row r="29" spans="1:4" ht="30" customHeight="1" x14ac:dyDescent="0.25">
      <c r="A29" s="239">
        <f>IF(ISBLANK(стартоваяВедомость!B29),"",стартоваяВедомость!B29)</f>
        <v>22</v>
      </c>
      <c r="B29" s="75">
        <f>IF(A29="","",стартоваяВедомость!H29)</f>
        <v>0.43055555555555552</v>
      </c>
      <c r="C29" s="76"/>
      <c r="D29" s="71"/>
    </row>
    <row r="30" spans="1:4" ht="30" customHeight="1" x14ac:dyDescent="0.25">
      <c r="A30" s="239">
        <f>IF(ISBLANK(стартоваяВедомость!B30),"",стартоваяВедомость!B30)</f>
        <v>23</v>
      </c>
      <c r="B30" s="75">
        <f>IF(A30="","",стартоваяВедомость!H30)</f>
        <v>0.43124999999999997</v>
      </c>
      <c r="C30" s="76"/>
      <c r="D30" s="71"/>
    </row>
    <row r="31" spans="1:4" ht="30" customHeight="1" x14ac:dyDescent="0.25">
      <c r="A31" s="239">
        <f>IF(ISBLANK(стартоваяВедомость!B31),"",стартоваяВедомость!B31)</f>
        <v>24</v>
      </c>
      <c r="B31" s="75">
        <f>IF(A31="","",стартоваяВедомость!H31)</f>
        <v>0.43194444444444441</v>
      </c>
      <c r="C31" s="76"/>
      <c r="D31" s="71"/>
    </row>
    <row r="32" spans="1:4" ht="30" customHeight="1" x14ac:dyDescent="0.25">
      <c r="A32" s="239">
        <f>IF(ISBLANK(стартоваяВедомость!B32),"",стартоваяВедомость!B32)</f>
        <v>25</v>
      </c>
      <c r="B32" s="75">
        <f>IF(A32="","",стартоваяВедомость!H32)</f>
        <v>0.43263888888888885</v>
      </c>
      <c r="C32" s="76"/>
      <c r="D32" s="71"/>
    </row>
    <row r="33" spans="1:4" ht="30" customHeight="1" x14ac:dyDescent="0.25">
      <c r="A33" s="239">
        <f>IF(ISBLANK(стартоваяВедомость!B33),"",стартоваяВедомость!B33)</f>
        <v>26</v>
      </c>
      <c r="B33" s="75">
        <f>IF(A33="","",стартоваяВедомость!H33)</f>
        <v>0.43333333333333329</v>
      </c>
      <c r="C33" s="76"/>
      <c r="D33" s="71"/>
    </row>
    <row r="34" spans="1:4" ht="30" customHeight="1" x14ac:dyDescent="0.25">
      <c r="A34" s="239">
        <f>IF(ISBLANK(стартоваяВедомость!B34),"",стартоваяВедомость!B34)</f>
        <v>29</v>
      </c>
      <c r="B34" s="75">
        <f>IF(A34="","",стартоваяВедомость!H34)</f>
        <v>0.43402777777777773</v>
      </c>
      <c r="C34" s="76"/>
      <c r="D34" s="71"/>
    </row>
    <row r="35" spans="1:4" ht="30" customHeight="1" x14ac:dyDescent="0.25">
      <c r="A35" s="239">
        <f>IF(ISBLANK(стартоваяВедомость!B35),"",стартоваяВедомость!B35)</f>
        <v>30</v>
      </c>
      <c r="B35" s="75">
        <f>IF(A35="","",стартоваяВедомость!H35)</f>
        <v>0.43472222222222218</v>
      </c>
      <c r="C35" s="76"/>
      <c r="D35" s="71"/>
    </row>
    <row r="36" spans="1:4" ht="30" customHeight="1" x14ac:dyDescent="0.25">
      <c r="A36" s="239">
        <f>IF(ISBLANK(стартоваяВедомость!B36),"",стартоваяВедомость!B36)</f>
        <v>31</v>
      </c>
      <c r="B36" s="75">
        <f>IF(A36="","",стартоваяВедомость!H36)</f>
        <v>0.43541666666666662</v>
      </c>
      <c r="C36" s="76"/>
      <c r="D36" s="71"/>
    </row>
    <row r="37" spans="1:4" ht="30" customHeight="1" x14ac:dyDescent="0.25">
      <c r="A37" s="239">
        <f>IF(ISBLANK(стартоваяВедомость!B37),"",стартоваяВедомость!B37)</f>
        <v>32</v>
      </c>
      <c r="B37" s="75">
        <f>IF(A37="","",стартоваяВедомость!H37)</f>
        <v>0.43611111111111106</v>
      </c>
      <c r="C37" s="76"/>
      <c r="D37" s="71"/>
    </row>
    <row r="38" spans="1:4" ht="30" customHeight="1" x14ac:dyDescent="0.25">
      <c r="A38" s="239">
        <f>IF(ISBLANK(стартоваяВедомость!B38),"",стартоваяВедомость!B38)</f>
        <v>33</v>
      </c>
      <c r="B38" s="75">
        <f>IF(A38="","",стартоваяВедомость!H38)</f>
        <v>0.4368055555555555</v>
      </c>
      <c r="C38" s="76"/>
      <c r="D38" s="71"/>
    </row>
    <row r="39" spans="1:4" ht="30" customHeight="1" x14ac:dyDescent="0.25">
      <c r="A39" s="239">
        <f>IF(ISBLANK(стартоваяВедомость!B39),"",стартоваяВедомость!B39)</f>
        <v>34</v>
      </c>
      <c r="B39" s="75">
        <f>IF(A39="","",стартоваяВедомость!H39)</f>
        <v>0.43749999999999994</v>
      </c>
      <c r="C39" s="76"/>
      <c r="D39" s="71"/>
    </row>
    <row r="40" spans="1:4" ht="30" customHeight="1" x14ac:dyDescent="0.25">
      <c r="A40" s="239">
        <f>IF(ISBLANK(стартоваяВедомость!B40),"",стартоваяВедомость!B40)</f>
        <v>35</v>
      </c>
      <c r="B40" s="75">
        <f>IF(A40="","",стартоваяВедомость!H40)</f>
        <v>0.43819444444444439</v>
      </c>
      <c r="C40" s="76"/>
      <c r="D40" s="71"/>
    </row>
    <row r="41" spans="1:4" ht="30" customHeight="1" x14ac:dyDescent="0.25">
      <c r="A41" s="239">
        <f>IF(ISBLANK(стартоваяВедомость!B41),"",стартоваяВедомость!B41)</f>
        <v>37</v>
      </c>
      <c r="B41" s="75">
        <f>IF(A41="","",стартоваяВедомость!H41)</f>
        <v>0.43888888888888883</v>
      </c>
      <c r="C41" s="76"/>
      <c r="D41" s="71"/>
    </row>
    <row r="42" spans="1:4" ht="30" customHeight="1" x14ac:dyDescent="0.25">
      <c r="A42" s="239">
        <f>IF(ISBLANK(стартоваяВедомость!B42),"",стартоваяВедомость!B42)</f>
        <v>38</v>
      </c>
      <c r="B42" s="75">
        <f>IF(A42="","",стартоваяВедомость!H42)</f>
        <v>0.43958333333333327</v>
      </c>
      <c r="C42" s="76"/>
      <c r="D42" s="71"/>
    </row>
    <row r="43" spans="1:4" ht="30" customHeight="1" x14ac:dyDescent="0.25">
      <c r="A43" s="239">
        <f>IF(ISBLANK(стартоваяВедомость!B43),"",стартоваяВедомость!B43)</f>
        <v>39</v>
      </c>
      <c r="B43" s="75">
        <f>IF(A43="","",стартоваяВедомость!H43)</f>
        <v>0.44027777777777771</v>
      </c>
      <c r="C43" s="76"/>
      <c r="D43" s="71"/>
    </row>
    <row r="44" spans="1:4" ht="30" customHeight="1" x14ac:dyDescent="0.25">
      <c r="A44" s="239">
        <f>IF(ISBLANK(стартоваяВедомость!B44),"",стартоваяВедомость!B44)</f>
        <v>40</v>
      </c>
      <c r="B44" s="75">
        <f>IF(A44="","",стартоваяВедомость!H44)</f>
        <v>0.44097222222222215</v>
      </c>
      <c r="C44" s="76"/>
      <c r="D44" s="71"/>
    </row>
    <row r="45" spans="1:4" ht="30" customHeight="1" x14ac:dyDescent="0.25">
      <c r="A45" s="239">
        <f>IF(ISBLANK(стартоваяВедомость!B45),"",стартоваяВедомость!B45)</f>
        <v>41</v>
      </c>
      <c r="B45" s="75">
        <f>IF(A45="","",стартоваяВедомость!H45)</f>
        <v>0.4416666666666666</v>
      </c>
      <c r="C45" s="76"/>
      <c r="D45" s="71"/>
    </row>
    <row r="46" spans="1:4" ht="30" customHeight="1" x14ac:dyDescent="0.25">
      <c r="A46" s="239">
        <f>IF(ISBLANK(стартоваяВедомость!B46),"",стартоваяВедомость!B46)</f>
        <v>42</v>
      </c>
      <c r="B46" s="75">
        <f>IF(A46="","",стартоваяВедомость!H46)</f>
        <v>0.44236111111111104</v>
      </c>
      <c r="C46" s="76"/>
      <c r="D46" s="71"/>
    </row>
    <row r="47" spans="1:4" ht="30" customHeight="1" x14ac:dyDescent="0.25">
      <c r="A47" s="239">
        <f>IF(ISBLANK(стартоваяВедомость!B47),"",стартоваяВедомость!B47)</f>
        <v>43</v>
      </c>
      <c r="B47" s="75">
        <f>IF(A47="","",стартоваяВедомость!H47)</f>
        <v>0.44305555555555548</v>
      </c>
      <c r="C47" s="76"/>
      <c r="D47" s="71"/>
    </row>
    <row r="48" spans="1:4" ht="30" customHeight="1" x14ac:dyDescent="0.25">
      <c r="A48" s="239">
        <f>IF(ISBLANK(стартоваяВедомость!B48),"",стартоваяВедомость!B48)</f>
        <v>44</v>
      </c>
      <c r="B48" s="75">
        <f>IF(A48="","",стартоваяВедомость!H48)</f>
        <v>0.44374999999999992</v>
      </c>
      <c r="C48" s="76"/>
      <c r="D48" s="71"/>
    </row>
    <row r="49" spans="1:4" ht="30" customHeight="1" x14ac:dyDescent="0.25">
      <c r="A49" s="239">
        <f>IF(ISBLANK(стартоваяВедомость!B49),"",стартоваяВедомость!B49)</f>
        <v>45</v>
      </c>
      <c r="B49" s="75">
        <f>IF(A49="","",стартоваяВедомость!H49)</f>
        <v>0.44444444444444436</v>
      </c>
      <c r="C49" s="76"/>
      <c r="D49" s="71"/>
    </row>
    <row r="50" spans="1:4" ht="30" customHeight="1" x14ac:dyDescent="0.25">
      <c r="A50" s="239">
        <f>IF(ISBLANK(стартоваяВедомость!B50),"",стартоваяВедомость!B50)</f>
        <v>47</v>
      </c>
      <c r="B50" s="75">
        <f>IF(A50="","",стартоваяВедомость!H50)</f>
        <v>0.44513888888888881</v>
      </c>
      <c r="C50" s="76"/>
      <c r="D50" s="71"/>
    </row>
    <row r="51" spans="1:4" ht="30" customHeight="1" x14ac:dyDescent="0.25">
      <c r="A51" s="239">
        <f>IF(ISBLANK(стартоваяВедомость!B51),"",стартоваяВедомость!B51)</f>
        <v>36</v>
      </c>
      <c r="B51" s="75">
        <f>IF(A51="","",стартоваяВедомость!H51)</f>
        <v>0.44583333333333325</v>
      </c>
      <c r="C51" s="76"/>
      <c r="D51" s="71"/>
    </row>
    <row r="52" spans="1:4" ht="30" customHeight="1" x14ac:dyDescent="0.25">
      <c r="A52" s="239" t="str">
        <f>IF(ISBLANK(стартоваяВедомость!B52),"",стартоваяВедомость!B52)</f>
        <v/>
      </c>
      <c r="B52" s="75" t="str">
        <f>IF(A52="","",стартоваяВедомость!H52)</f>
        <v/>
      </c>
      <c r="C52" s="76"/>
      <c r="D52" s="71"/>
    </row>
    <row r="53" spans="1:4" ht="30" customHeight="1" x14ac:dyDescent="0.25">
      <c r="A53" s="239" t="str">
        <f>IF(ISBLANK(стартоваяВедомость!B53),"",стартоваяВедомость!B53)</f>
        <v/>
      </c>
      <c r="B53" s="75" t="str">
        <f>IF(A53="","",стартоваяВедомость!H53)</f>
        <v/>
      </c>
      <c r="C53" s="76"/>
      <c r="D53" s="71"/>
    </row>
    <row r="54" spans="1:4" ht="30" customHeight="1" x14ac:dyDescent="0.25">
      <c r="A54" s="239" t="str">
        <f>IF(ISBLANK(стартоваяВедомость!B54),"",стартоваяВедомость!B54)</f>
        <v/>
      </c>
      <c r="B54" s="75" t="str">
        <f>IF(A54="","",стартоваяВедомость!H54)</f>
        <v/>
      </c>
      <c r="C54" s="76"/>
      <c r="D54" s="71"/>
    </row>
    <row r="55" spans="1:4" ht="30" customHeight="1" x14ac:dyDescent="0.25">
      <c r="A55" s="239" t="str">
        <f>IF(ISBLANK(стартоваяВедомость!B55),"",стартоваяВедомость!B55)</f>
        <v/>
      </c>
      <c r="B55" s="75" t="str">
        <f>IF(A55="","",стартоваяВедомость!H55)</f>
        <v/>
      </c>
      <c r="C55" s="76"/>
      <c r="D55" s="71"/>
    </row>
    <row r="56" spans="1:4" ht="30" customHeight="1" x14ac:dyDescent="0.25">
      <c r="A56" s="239" t="str">
        <f>IF(ISBLANK(стартоваяВедомость!B56),"",стартоваяВедомость!B56)</f>
        <v/>
      </c>
      <c r="B56" s="75" t="str">
        <f>IF(A56="","",стартоваяВедомость!H56)</f>
        <v/>
      </c>
      <c r="C56" s="76"/>
      <c r="D56" s="71"/>
    </row>
    <row r="57" spans="1:4" ht="30" customHeight="1" x14ac:dyDescent="0.25">
      <c r="A57" s="239" t="str">
        <f>IF(ISBLANK(стартоваяВедомость!B57),"",стартоваяВедомость!B57)</f>
        <v/>
      </c>
      <c r="B57" s="75" t="str">
        <f>IF(A57="","",стартоваяВедомость!H57)</f>
        <v/>
      </c>
      <c r="C57" s="76"/>
      <c r="D57" s="71"/>
    </row>
    <row r="58" spans="1:4" ht="30" customHeight="1" x14ac:dyDescent="0.25">
      <c r="A58" s="239" t="str">
        <f>IF(ISBLANK(стартоваяВедомость!B58),"",стартоваяВедомость!B58)</f>
        <v/>
      </c>
      <c r="B58" s="75" t="str">
        <f>IF(A58="","",стартоваяВедомость!H58)</f>
        <v/>
      </c>
      <c r="C58" s="76"/>
      <c r="D58" s="71"/>
    </row>
    <row r="59" spans="1:4" ht="30" customHeight="1" x14ac:dyDescent="0.25">
      <c r="A59" s="239" t="str">
        <f>IF(ISBLANK(стартоваяВедомость!B59),"",стартоваяВедомость!B59)</f>
        <v/>
      </c>
      <c r="B59" s="75" t="str">
        <f>IF(A59="","",стартоваяВедомость!H59)</f>
        <v/>
      </c>
      <c r="C59" s="76"/>
      <c r="D59" s="71"/>
    </row>
    <row r="60" spans="1:4" ht="30" customHeight="1" x14ac:dyDescent="0.25">
      <c r="A60" s="239" t="str">
        <f>IF(ISBLANK(стартоваяВедомость!B60),"",стартоваяВедомость!B60)</f>
        <v/>
      </c>
      <c r="B60" s="75" t="str">
        <f>IF(A60="","",стартоваяВедомость!H60)</f>
        <v/>
      </c>
      <c r="C60" s="76"/>
      <c r="D60" s="71"/>
    </row>
    <row r="61" spans="1:4" ht="30" customHeight="1" x14ac:dyDescent="0.25">
      <c r="A61" s="239" t="str">
        <f>IF(ISBLANK(стартоваяВедомость!B61),"",стартоваяВедомость!B61)</f>
        <v/>
      </c>
      <c r="B61" s="75" t="str">
        <f>IF(A61="","",стартоваяВедомость!H61)</f>
        <v/>
      </c>
      <c r="C61" s="76"/>
      <c r="D61" s="71"/>
    </row>
    <row r="62" spans="1:4" ht="30" customHeight="1" x14ac:dyDescent="0.25">
      <c r="A62" s="239" t="str">
        <f>IF(ISBLANK(стартоваяВедомость!B62),"",стартоваяВедомость!B62)</f>
        <v/>
      </c>
      <c r="B62" s="75" t="str">
        <f>IF(A62="","",стартоваяВедомость!H62)</f>
        <v/>
      </c>
      <c r="C62" s="76"/>
      <c r="D62" s="71"/>
    </row>
    <row r="63" spans="1:4" ht="30" customHeight="1" x14ac:dyDescent="0.25">
      <c r="A63" s="239" t="str">
        <f>IF(ISBLANK(стартоваяВедомость!B63),"",стартоваяВедомость!B63)</f>
        <v/>
      </c>
      <c r="B63" s="75" t="str">
        <f>IF(A63="","",стартоваяВедомость!H63)</f>
        <v/>
      </c>
      <c r="C63" s="76"/>
      <c r="D63" s="71"/>
    </row>
    <row r="64" spans="1:4" ht="30" customHeight="1" x14ac:dyDescent="0.25">
      <c r="A64" s="239" t="str">
        <f>IF(ISBLANK(стартоваяВедомость!B64),"",стартоваяВедомость!B64)</f>
        <v/>
      </c>
      <c r="B64" s="75" t="str">
        <f>IF(A64="","",стартоваяВедомость!H64)</f>
        <v/>
      </c>
      <c r="C64" s="76"/>
      <c r="D64" s="71"/>
    </row>
    <row r="65" spans="1:4" ht="30" customHeight="1" x14ac:dyDescent="0.25">
      <c r="A65" s="239" t="str">
        <f>IF(ISBLANK(стартоваяВедомость!B65),"",стартоваяВедомость!B65)</f>
        <v/>
      </c>
      <c r="B65" s="75" t="str">
        <f>IF(A65="","",стартоваяВедомость!H65)</f>
        <v/>
      </c>
      <c r="C65" s="76"/>
      <c r="D65" s="71"/>
    </row>
    <row r="66" spans="1:4" ht="30" customHeight="1" x14ac:dyDescent="0.25">
      <c r="A66" s="239" t="str">
        <f>IF(ISBLANK(стартоваяВедомость!B66),"",стартоваяВедомость!B66)</f>
        <v/>
      </c>
      <c r="B66" s="75" t="str">
        <f>IF(A66="","",стартоваяВедомость!H66)</f>
        <v/>
      </c>
      <c r="C66" s="76"/>
      <c r="D66" s="71"/>
    </row>
  </sheetData>
  <sheetProtection sheet="1" objects="1" scenarios="1"/>
  <mergeCells count="1">
    <mergeCell ref="A7:D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F0"/>
  </sheetPr>
  <dimension ref="A1:K66"/>
  <sheetViews>
    <sheetView view="pageBreakPreview" zoomScale="85" zoomScaleSheetLayoutView="85" workbookViewId="0">
      <selection activeCell="A8" sqref="A8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193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/>
      <c r="B10" s="76"/>
      <c r="C10" s="726"/>
      <c r="D10" s="727"/>
    </row>
    <row r="11" spans="1:11" ht="30" customHeight="1" x14ac:dyDescent="0.25">
      <c r="A11" s="29"/>
      <c r="B11" s="76"/>
      <c r="C11" s="726"/>
      <c r="D11" s="727"/>
    </row>
    <row r="12" spans="1:11" ht="30" customHeight="1" x14ac:dyDescent="0.25">
      <c r="A12" s="29"/>
      <c r="B12" s="76"/>
      <c r="C12" s="726"/>
      <c r="D12" s="727"/>
    </row>
    <row r="13" spans="1:11" ht="30" customHeight="1" x14ac:dyDescent="0.25">
      <c r="A13" s="29"/>
      <c r="B13" s="76"/>
      <c r="C13" s="726"/>
      <c r="D13" s="727"/>
    </row>
    <row r="14" spans="1:11" ht="30" customHeight="1" x14ac:dyDescent="0.25">
      <c r="A14" s="29"/>
      <c r="B14" s="76"/>
      <c r="C14" s="726"/>
      <c r="D14" s="727"/>
    </row>
    <row r="15" spans="1:11" ht="30" customHeight="1" x14ac:dyDescent="0.25">
      <c r="A15" s="29"/>
      <c r="B15" s="76"/>
      <c r="C15" s="726"/>
      <c r="D15" s="727"/>
    </row>
    <row r="16" spans="1:11" ht="30" customHeight="1" x14ac:dyDescent="0.25">
      <c r="A16" s="29"/>
      <c r="B16" s="76"/>
      <c r="C16" s="726"/>
      <c r="D16" s="727"/>
    </row>
    <row r="17" spans="1:4" ht="30" customHeight="1" x14ac:dyDescent="0.25">
      <c r="A17" s="29"/>
      <c r="B17" s="76"/>
      <c r="C17" s="726"/>
      <c r="D17" s="727"/>
    </row>
    <row r="18" spans="1:4" ht="30" customHeight="1" x14ac:dyDescent="0.25">
      <c r="A18" s="29"/>
      <c r="B18" s="76"/>
      <c r="C18" s="726"/>
      <c r="D18" s="727"/>
    </row>
    <row r="19" spans="1:4" ht="30" customHeight="1" x14ac:dyDescent="0.25">
      <c r="A19" s="29"/>
      <c r="B19" s="76"/>
      <c r="C19" s="726"/>
      <c r="D19" s="727"/>
    </row>
    <row r="20" spans="1:4" ht="30" customHeight="1" x14ac:dyDescent="0.25">
      <c r="A20" s="29"/>
      <c r="B20" s="76"/>
      <c r="C20" s="726"/>
      <c r="D20" s="727"/>
    </row>
    <row r="21" spans="1:4" ht="30" customHeight="1" x14ac:dyDescent="0.25">
      <c r="A21" s="29"/>
      <c r="B21" s="76"/>
      <c r="C21" s="726"/>
      <c r="D21" s="727"/>
    </row>
    <row r="22" spans="1:4" ht="30" customHeight="1" x14ac:dyDescent="0.25">
      <c r="A22" s="29"/>
      <c r="B22" s="76"/>
      <c r="C22" s="726"/>
      <c r="D22" s="727"/>
    </row>
    <row r="23" spans="1:4" ht="30" customHeight="1" x14ac:dyDescent="0.25">
      <c r="A23" s="29"/>
      <c r="B23" s="76"/>
      <c r="C23" s="726"/>
      <c r="D23" s="727"/>
    </row>
    <row r="24" spans="1:4" ht="30" customHeight="1" x14ac:dyDescent="0.25">
      <c r="A24" s="29"/>
      <c r="B24" s="76"/>
      <c r="C24" s="726"/>
      <c r="D24" s="727"/>
    </row>
    <row r="25" spans="1:4" ht="30" customHeight="1" x14ac:dyDescent="0.25">
      <c r="A25" s="29"/>
      <c r="B25" s="76"/>
      <c r="C25" s="726"/>
      <c r="D25" s="727"/>
    </row>
    <row r="26" spans="1:4" ht="30" customHeight="1" x14ac:dyDescent="0.25">
      <c r="A26" s="29"/>
      <c r="B26" s="76"/>
      <c r="C26" s="726"/>
      <c r="D26" s="727"/>
    </row>
    <row r="27" spans="1:4" ht="30" customHeight="1" x14ac:dyDescent="0.25">
      <c r="A27" s="29"/>
      <c r="B27" s="76"/>
      <c r="C27" s="726"/>
      <c r="D27" s="727"/>
    </row>
    <row r="28" spans="1:4" ht="30" customHeight="1" x14ac:dyDescent="0.25">
      <c r="A28" s="29"/>
      <c r="B28" s="76"/>
      <c r="C28" s="726"/>
      <c r="D28" s="727"/>
    </row>
    <row r="29" spans="1:4" ht="30" customHeight="1" x14ac:dyDescent="0.25">
      <c r="A29" s="29"/>
      <c r="B29" s="76"/>
      <c r="C29" s="726"/>
      <c r="D29" s="727"/>
    </row>
    <row r="30" spans="1:4" ht="30" customHeight="1" x14ac:dyDescent="0.25">
      <c r="A30" s="29"/>
      <c r="B30" s="76"/>
      <c r="C30" s="726"/>
      <c r="D30" s="727"/>
    </row>
    <row r="31" spans="1:4" ht="30" customHeight="1" x14ac:dyDescent="0.25">
      <c r="A31" s="29"/>
      <c r="B31" s="76"/>
      <c r="C31" s="726"/>
      <c r="D31" s="727"/>
    </row>
    <row r="32" spans="1:4" ht="30" customHeight="1" x14ac:dyDescent="0.25">
      <c r="A32" s="29"/>
      <c r="B32" s="76"/>
      <c r="C32" s="726"/>
      <c r="D32" s="727"/>
    </row>
    <row r="33" spans="1:4" ht="30" customHeight="1" x14ac:dyDescent="0.25">
      <c r="A33" s="29"/>
      <c r="B33" s="76"/>
      <c r="C33" s="726"/>
      <c r="D33" s="727"/>
    </row>
    <row r="34" spans="1:4" ht="30" customHeight="1" x14ac:dyDescent="0.25">
      <c r="A34" s="29"/>
      <c r="B34" s="76"/>
      <c r="C34" s="726"/>
      <c r="D34" s="727"/>
    </row>
    <row r="35" spans="1:4" ht="30" customHeight="1" x14ac:dyDescent="0.25">
      <c r="A35" s="29"/>
      <c r="B35" s="76"/>
      <c r="C35" s="726"/>
      <c r="D35" s="727"/>
    </row>
    <row r="36" spans="1:4" ht="30" customHeight="1" x14ac:dyDescent="0.25">
      <c r="A36" s="29"/>
      <c r="B36" s="76"/>
      <c r="C36" s="726"/>
      <c r="D36" s="727"/>
    </row>
    <row r="37" spans="1:4" ht="30" customHeight="1" x14ac:dyDescent="0.25">
      <c r="A37" s="29"/>
      <c r="B37" s="76"/>
      <c r="C37" s="726"/>
      <c r="D37" s="727"/>
    </row>
    <row r="38" spans="1:4" ht="30" customHeight="1" x14ac:dyDescent="0.25">
      <c r="A38" s="29"/>
      <c r="B38" s="76"/>
      <c r="C38" s="726"/>
      <c r="D38" s="727"/>
    </row>
    <row r="39" spans="1:4" ht="30" customHeight="1" x14ac:dyDescent="0.25">
      <c r="A39" s="29"/>
      <c r="B39" s="76"/>
      <c r="C39" s="726"/>
      <c r="D39" s="727"/>
    </row>
    <row r="40" spans="1:4" ht="30" customHeight="1" x14ac:dyDescent="0.25">
      <c r="A40" s="29"/>
      <c r="B40" s="76"/>
      <c r="C40" s="726"/>
      <c r="D40" s="727"/>
    </row>
    <row r="41" spans="1:4" ht="30" customHeight="1" x14ac:dyDescent="0.25">
      <c r="A41" s="29"/>
      <c r="B41" s="76"/>
      <c r="C41" s="726"/>
      <c r="D41" s="727"/>
    </row>
    <row r="42" spans="1:4" ht="30" customHeight="1" x14ac:dyDescent="0.25">
      <c r="A42" s="29"/>
      <c r="B42" s="76"/>
      <c r="C42" s="726"/>
      <c r="D42" s="727"/>
    </row>
    <row r="43" spans="1:4" ht="30" customHeight="1" x14ac:dyDescent="0.25">
      <c r="A43" s="29"/>
      <c r="B43" s="76"/>
      <c r="C43" s="726"/>
      <c r="D43" s="727"/>
    </row>
    <row r="44" spans="1:4" ht="30" customHeight="1" x14ac:dyDescent="0.25">
      <c r="A44" s="29"/>
      <c r="B44" s="76"/>
      <c r="C44" s="726"/>
      <c r="D44" s="727"/>
    </row>
    <row r="45" spans="1:4" ht="30" customHeight="1" x14ac:dyDescent="0.25">
      <c r="A45" s="29"/>
      <c r="B45" s="76"/>
      <c r="C45" s="726"/>
      <c r="D45" s="727"/>
    </row>
    <row r="46" spans="1:4" ht="30" customHeight="1" x14ac:dyDescent="0.25">
      <c r="A46" s="29"/>
      <c r="B46" s="76"/>
      <c r="C46" s="726"/>
      <c r="D46" s="727"/>
    </row>
    <row r="47" spans="1:4" ht="30" customHeight="1" x14ac:dyDescent="0.25">
      <c r="A47" s="29"/>
      <c r="B47" s="76"/>
      <c r="C47" s="726"/>
      <c r="D47" s="727"/>
    </row>
    <row r="48" spans="1:4" ht="30" customHeight="1" x14ac:dyDescent="0.25">
      <c r="A48" s="29"/>
      <c r="B48" s="76"/>
      <c r="C48" s="726"/>
      <c r="D48" s="727"/>
    </row>
    <row r="49" spans="1:4" ht="30" customHeight="1" x14ac:dyDescent="0.25">
      <c r="A49" s="29"/>
      <c r="B49" s="76"/>
      <c r="C49" s="726"/>
      <c r="D49" s="727"/>
    </row>
    <row r="50" spans="1:4" ht="30" customHeight="1" x14ac:dyDescent="0.25">
      <c r="A50" s="29"/>
      <c r="B50" s="76"/>
      <c r="C50" s="726"/>
      <c r="D50" s="727"/>
    </row>
    <row r="51" spans="1:4" ht="30" customHeight="1" x14ac:dyDescent="0.25">
      <c r="A51" s="29"/>
      <c r="B51" s="76"/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5:D65"/>
    <mergeCell ref="C66:D66"/>
    <mergeCell ref="C60:D60"/>
    <mergeCell ref="C61:D61"/>
    <mergeCell ref="C62:D62"/>
    <mergeCell ref="C63:D63"/>
    <mergeCell ref="C64:D64"/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55:D55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A7:D7"/>
    <mergeCell ref="C13:D13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rgb="FF00B0F0"/>
  </sheetPr>
  <dimension ref="A1:K66"/>
  <sheetViews>
    <sheetView view="pageBreakPreview" zoomScale="85" zoomScaleSheetLayoutView="85" workbookViewId="0">
      <selection activeCell="A10" sqref="A10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684</v>
      </c>
      <c r="B7" s="725"/>
      <c r="C7" s="725"/>
      <c r="D7" s="725"/>
    </row>
    <row r="8" spans="1:11" s="268" customFormat="1" ht="21" customHeight="1" x14ac:dyDescent="0.25">
      <c r="A8" s="271" t="s">
        <v>405</v>
      </c>
      <c r="B8" s="270" t="s">
        <v>185</v>
      </c>
      <c r="C8" s="270" t="s">
        <v>185</v>
      </c>
      <c r="D8" s="269"/>
    </row>
    <row r="9" spans="1:11" ht="21" x14ac:dyDescent="0.25">
      <c r="A9" s="69" t="s">
        <v>0</v>
      </c>
      <c r="B9" s="70" t="s">
        <v>62</v>
      </c>
      <c r="C9" s="464" t="s">
        <v>685</v>
      </c>
      <c r="D9" s="70" t="s">
        <v>88</v>
      </c>
      <c r="J9" s="25"/>
      <c r="K9" s="26"/>
    </row>
    <row r="10" spans="1:11" ht="30" customHeight="1" x14ac:dyDescent="0.25">
      <c r="A10" s="29"/>
      <c r="B10" s="76"/>
      <c r="C10" s="76"/>
      <c r="D10" s="71"/>
    </row>
    <row r="11" spans="1:11" ht="30" customHeight="1" x14ac:dyDescent="0.25">
      <c r="A11" s="29"/>
      <c r="B11" s="76"/>
      <c r="C11" s="76"/>
      <c r="D11" s="71"/>
    </row>
    <row r="12" spans="1:11" ht="30" customHeight="1" x14ac:dyDescent="0.25">
      <c r="A12" s="29"/>
      <c r="B12" s="76"/>
      <c r="C12" s="76"/>
      <c r="D12" s="71"/>
    </row>
    <row r="13" spans="1:11" ht="30" customHeight="1" x14ac:dyDescent="0.25">
      <c r="A13" s="29"/>
      <c r="B13" s="76"/>
      <c r="C13" s="76"/>
      <c r="D13" s="71"/>
    </row>
    <row r="14" spans="1:11" ht="30" customHeight="1" x14ac:dyDescent="0.25">
      <c r="A14" s="29"/>
      <c r="B14" s="76"/>
      <c r="C14" s="76"/>
      <c r="D14" s="71"/>
    </row>
    <row r="15" spans="1:11" ht="30" customHeight="1" x14ac:dyDescent="0.25">
      <c r="A15" s="29"/>
      <c r="B15" s="76"/>
      <c r="C15" s="76"/>
      <c r="D15" s="71"/>
    </row>
    <row r="16" spans="1:11" ht="30" customHeight="1" x14ac:dyDescent="0.25">
      <c r="A16" s="29"/>
      <c r="B16" s="76"/>
      <c r="C16" s="76"/>
      <c r="D16" s="71"/>
    </row>
    <row r="17" spans="1:4" ht="30" customHeight="1" x14ac:dyDescent="0.25">
      <c r="A17" s="29"/>
      <c r="B17" s="76"/>
      <c r="C17" s="76"/>
      <c r="D17" s="71"/>
    </row>
    <row r="18" spans="1:4" ht="30" customHeight="1" x14ac:dyDescent="0.25">
      <c r="A18" s="29"/>
      <c r="B18" s="76"/>
      <c r="C18" s="76"/>
      <c r="D18" s="71"/>
    </row>
    <row r="19" spans="1:4" ht="30" customHeight="1" x14ac:dyDescent="0.25">
      <c r="A19" s="29"/>
      <c r="B19" s="76"/>
      <c r="C19" s="76"/>
      <c r="D19" s="71"/>
    </row>
    <row r="20" spans="1:4" ht="30" customHeight="1" x14ac:dyDescent="0.25">
      <c r="A20" s="29"/>
      <c r="B20" s="76"/>
      <c r="C20" s="76"/>
      <c r="D20" s="71"/>
    </row>
    <row r="21" spans="1:4" ht="30" customHeight="1" x14ac:dyDescent="0.25">
      <c r="A21" s="29"/>
      <c r="B21" s="76"/>
      <c r="C21" s="76"/>
      <c r="D21" s="71"/>
    </row>
    <row r="22" spans="1:4" ht="30" customHeight="1" x14ac:dyDescent="0.25">
      <c r="A22" s="29"/>
      <c r="B22" s="76"/>
      <c r="C22" s="76"/>
      <c r="D22" s="71"/>
    </row>
    <row r="23" spans="1:4" ht="30" customHeight="1" x14ac:dyDescent="0.25">
      <c r="A23" s="29"/>
      <c r="B23" s="76"/>
      <c r="C23" s="76"/>
      <c r="D23" s="71"/>
    </row>
    <row r="24" spans="1:4" ht="30" customHeight="1" x14ac:dyDescent="0.25">
      <c r="A24" s="29"/>
      <c r="B24" s="76"/>
      <c r="C24" s="76"/>
      <c r="D24" s="71"/>
    </row>
    <row r="25" spans="1:4" ht="30" customHeight="1" x14ac:dyDescent="0.25">
      <c r="A25" s="29"/>
      <c r="B25" s="76"/>
      <c r="C25" s="76"/>
      <c r="D25" s="71"/>
    </row>
    <row r="26" spans="1:4" ht="30" customHeight="1" x14ac:dyDescent="0.25">
      <c r="A26" s="29"/>
      <c r="B26" s="76"/>
      <c r="C26" s="76"/>
      <c r="D26" s="71"/>
    </row>
    <row r="27" spans="1:4" ht="30" customHeight="1" x14ac:dyDescent="0.25">
      <c r="A27" s="29"/>
      <c r="B27" s="76"/>
      <c r="C27" s="76"/>
      <c r="D27" s="71"/>
    </row>
    <row r="28" spans="1:4" ht="30" customHeight="1" x14ac:dyDescent="0.25">
      <c r="A28" s="29"/>
      <c r="B28" s="76"/>
      <c r="C28" s="76"/>
      <c r="D28" s="71"/>
    </row>
    <row r="29" spans="1:4" ht="30" customHeight="1" x14ac:dyDescent="0.25">
      <c r="A29" s="29"/>
      <c r="B29" s="76"/>
      <c r="C29" s="76"/>
      <c r="D29" s="71"/>
    </row>
    <row r="30" spans="1:4" ht="30" customHeight="1" x14ac:dyDescent="0.25">
      <c r="A30" s="29"/>
      <c r="B30" s="76"/>
      <c r="C30" s="76"/>
      <c r="D30" s="71"/>
    </row>
    <row r="31" spans="1:4" ht="30" customHeight="1" x14ac:dyDescent="0.25">
      <c r="A31" s="29"/>
      <c r="B31" s="76"/>
      <c r="C31" s="76"/>
      <c r="D31" s="71"/>
    </row>
    <row r="32" spans="1:4" ht="30" customHeight="1" x14ac:dyDescent="0.25">
      <c r="A32" s="29"/>
      <c r="B32" s="76"/>
      <c r="C32" s="76"/>
      <c r="D32" s="71"/>
    </row>
    <row r="33" spans="1:4" ht="30" customHeight="1" x14ac:dyDescent="0.25">
      <c r="A33" s="29"/>
      <c r="B33" s="76"/>
      <c r="C33" s="76"/>
      <c r="D33" s="71"/>
    </row>
    <row r="34" spans="1:4" ht="30" customHeight="1" x14ac:dyDescent="0.25">
      <c r="A34" s="29"/>
      <c r="B34" s="76"/>
      <c r="C34" s="76"/>
      <c r="D34" s="71"/>
    </row>
    <row r="35" spans="1:4" ht="30" customHeight="1" x14ac:dyDescent="0.25">
      <c r="A35" s="29"/>
      <c r="B35" s="76"/>
      <c r="C35" s="76"/>
      <c r="D35" s="71"/>
    </row>
    <row r="36" spans="1:4" ht="30" customHeight="1" x14ac:dyDescent="0.25">
      <c r="A36" s="29"/>
      <c r="B36" s="76"/>
      <c r="C36" s="76"/>
      <c r="D36" s="71"/>
    </row>
    <row r="37" spans="1:4" ht="30" customHeight="1" x14ac:dyDescent="0.25">
      <c r="A37" s="29"/>
      <c r="B37" s="76"/>
      <c r="C37" s="76"/>
      <c r="D37" s="71"/>
    </row>
    <row r="38" spans="1:4" ht="30" customHeight="1" x14ac:dyDescent="0.25">
      <c r="A38" s="29"/>
      <c r="B38" s="76"/>
      <c r="C38" s="76"/>
      <c r="D38" s="71"/>
    </row>
    <row r="39" spans="1:4" ht="30" customHeight="1" x14ac:dyDescent="0.25">
      <c r="A39" s="29"/>
      <c r="B39" s="76"/>
      <c r="C39" s="76"/>
      <c r="D39" s="71"/>
    </row>
    <row r="40" spans="1:4" ht="30" customHeight="1" x14ac:dyDescent="0.25">
      <c r="A40" s="29"/>
      <c r="B40" s="76"/>
      <c r="C40" s="76"/>
      <c r="D40" s="71"/>
    </row>
    <row r="41" spans="1:4" ht="30" customHeight="1" x14ac:dyDescent="0.25">
      <c r="A41" s="29"/>
      <c r="B41" s="76"/>
      <c r="C41" s="76"/>
      <c r="D41" s="71"/>
    </row>
    <row r="42" spans="1:4" ht="30" customHeight="1" x14ac:dyDescent="0.25">
      <c r="A42" s="29"/>
      <c r="B42" s="76"/>
      <c r="C42" s="76"/>
      <c r="D42" s="71"/>
    </row>
    <row r="43" spans="1:4" ht="30" customHeight="1" x14ac:dyDescent="0.25">
      <c r="A43" s="29"/>
      <c r="B43" s="76"/>
      <c r="C43" s="76"/>
      <c r="D43" s="71"/>
    </row>
    <row r="44" spans="1:4" ht="30" customHeight="1" x14ac:dyDescent="0.25">
      <c r="A44" s="29"/>
      <c r="B44" s="76"/>
      <c r="C44" s="76"/>
      <c r="D44" s="71"/>
    </row>
    <row r="45" spans="1:4" ht="30" customHeight="1" x14ac:dyDescent="0.25">
      <c r="A45" s="29"/>
      <c r="B45" s="76"/>
      <c r="C45" s="76"/>
      <c r="D45" s="71"/>
    </row>
    <row r="46" spans="1:4" ht="30" customHeight="1" x14ac:dyDescent="0.25">
      <c r="A46" s="29"/>
      <c r="B46" s="76"/>
      <c r="C46" s="76"/>
      <c r="D46" s="71"/>
    </row>
    <row r="47" spans="1:4" ht="30" customHeight="1" x14ac:dyDescent="0.25">
      <c r="A47" s="29"/>
      <c r="B47" s="76"/>
      <c r="C47" s="76"/>
      <c r="D47" s="71"/>
    </row>
    <row r="48" spans="1:4" ht="30" customHeight="1" x14ac:dyDescent="0.25">
      <c r="A48" s="29"/>
      <c r="B48" s="76"/>
      <c r="C48" s="76"/>
      <c r="D48" s="71"/>
    </row>
    <row r="49" spans="1:4" ht="30" customHeight="1" x14ac:dyDescent="0.25">
      <c r="A49" s="29"/>
      <c r="B49" s="76"/>
      <c r="C49" s="76"/>
      <c r="D49" s="71"/>
    </row>
    <row r="50" spans="1:4" ht="30" customHeight="1" x14ac:dyDescent="0.25">
      <c r="A50" s="29"/>
      <c r="B50" s="76"/>
      <c r="C50" s="76"/>
      <c r="D50" s="71"/>
    </row>
    <row r="51" spans="1:4" ht="30" customHeight="1" x14ac:dyDescent="0.25">
      <c r="A51" s="29"/>
      <c r="B51" s="76"/>
      <c r="C51" s="76"/>
      <c r="D51" s="71"/>
    </row>
    <row r="52" spans="1:4" ht="30" customHeight="1" x14ac:dyDescent="0.25">
      <c r="A52" s="29"/>
      <c r="B52" s="76"/>
      <c r="C52" s="76"/>
      <c r="D52" s="71"/>
    </row>
    <row r="53" spans="1:4" ht="30" customHeight="1" x14ac:dyDescent="0.25">
      <c r="A53" s="29"/>
      <c r="B53" s="76"/>
      <c r="C53" s="76"/>
      <c r="D53" s="71"/>
    </row>
    <row r="54" spans="1:4" ht="30" customHeight="1" x14ac:dyDescent="0.25">
      <c r="A54" s="29"/>
      <c r="B54" s="76"/>
      <c r="C54" s="76"/>
      <c r="D54" s="71"/>
    </row>
    <row r="55" spans="1:4" ht="30" customHeight="1" x14ac:dyDescent="0.25">
      <c r="A55" s="29"/>
      <c r="B55" s="76"/>
      <c r="C55" s="76"/>
      <c r="D55" s="71"/>
    </row>
    <row r="56" spans="1:4" ht="30" customHeight="1" x14ac:dyDescent="0.25">
      <c r="A56" s="29"/>
      <c r="B56" s="76"/>
      <c r="C56" s="76"/>
      <c r="D56" s="71"/>
    </row>
    <row r="57" spans="1:4" ht="30" customHeight="1" x14ac:dyDescent="0.25">
      <c r="A57" s="29"/>
      <c r="B57" s="76"/>
      <c r="C57" s="76"/>
      <c r="D57" s="71"/>
    </row>
    <row r="58" spans="1:4" ht="30" customHeight="1" x14ac:dyDescent="0.25">
      <c r="A58" s="29"/>
      <c r="B58" s="76"/>
      <c r="C58" s="76"/>
      <c r="D58" s="71"/>
    </row>
    <row r="59" spans="1:4" ht="30" customHeight="1" x14ac:dyDescent="0.25">
      <c r="A59" s="29"/>
      <c r="B59" s="76"/>
      <c r="C59" s="76"/>
      <c r="D59" s="71"/>
    </row>
    <row r="60" spans="1:4" ht="30" customHeight="1" x14ac:dyDescent="0.25">
      <c r="A60" s="29"/>
      <c r="B60" s="76"/>
      <c r="C60" s="76"/>
      <c r="D60" s="71"/>
    </row>
    <row r="61" spans="1:4" ht="30" customHeight="1" x14ac:dyDescent="0.25">
      <c r="A61" s="29"/>
      <c r="B61" s="76"/>
      <c r="C61" s="76"/>
      <c r="D61" s="71"/>
    </row>
    <row r="62" spans="1:4" ht="30" customHeight="1" x14ac:dyDescent="0.25">
      <c r="A62" s="29"/>
      <c r="B62" s="76"/>
      <c r="C62" s="76"/>
      <c r="D62" s="71"/>
    </row>
    <row r="63" spans="1:4" ht="30" customHeight="1" x14ac:dyDescent="0.25">
      <c r="A63" s="29"/>
      <c r="B63" s="76"/>
      <c r="C63" s="76"/>
      <c r="D63" s="71"/>
    </row>
    <row r="64" spans="1:4" ht="30" customHeight="1" x14ac:dyDescent="0.25">
      <c r="A64" s="29"/>
      <c r="B64" s="76"/>
      <c r="C64" s="76"/>
      <c r="D64" s="71"/>
    </row>
    <row r="65" spans="1:4" ht="30" customHeight="1" x14ac:dyDescent="0.25">
      <c r="A65" s="29"/>
      <c r="B65" s="76"/>
      <c r="C65" s="76"/>
      <c r="D65" s="71"/>
    </row>
    <row r="66" spans="1:4" ht="30" customHeight="1" x14ac:dyDescent="0.25">
      <c r="A66" s="29"/>
      <c r="B66" s="76"/>
      <c r="C66" s="76"/>
      <c r="D66" s="71"/>
    </row>
  </sheetData>
  <sheetProtection sheet="1" objects="1" scenarios="1"/>
  <mergeCells count="1">
    <mergeCell ref="A7:D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00B0F0"/>
  </sheetPr>
  <dimension ref="A1:K66"/>
  <sheetViews>
    <sheetView view="pageBreakPreview" topLeftCell="A2" zoomScale="85" zoomScaleSheetLayoutView="85" workbookViewId="0">
      <selection activeCell="A8" sqref="A8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193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102</v>
      </c>
      <c r="C9" s="731" t="s">
        <v>88</v>
      </c>
      <c r="D9" s="732"/>
      <c r="J9" s="25"/>
      <c r="K9" s="26"/>
    </row>
    <row r="10" spans="1:11" ht="30" customHeight="1" x14ac:dyDescent="0.25">
      <c r="A10" s="29"/>
      <c r="B10" s="76"/>
      <c r="C10" s="726"/>
      <c r="D10" s="727"/>
    </row>
    <row r="11" spans="1:11" ht="30" customHeight="1" x14ac:dyDescent="0.25">
      <c r="A11" s="29"/>
      <c r="B11" s="76"/>
      <c r="C11" s="726"/>
      <c r="D11" s="727"/>
    </row>
    <row r="12" spans="1:11" ht="30" customHeight="1" x14ac:dyDescent="0.25">
      <c r="A12" s="29"/>
      <c r="B12" s="76"/>
      <c r="C12" s="726"/>
      <c r="D12" s="727"/>
    </row>
    <row r="13" spans="1:11" ht="30" customHeight="1" x14ac:dyDescent="0.25">
      <c r="A13" s="29"/>
      <c r="B13" s="76"/>
      <c r="C13" s="726"/>
      <c r="D13" s="727"/>
    </row>
    <row r="14" spans="1:11" ht="30" customHeight="1" x14ac:dyDescent="0.25">
      <c r="A14" s="29"/>
      <c r="B14" s="76"/>
      <c r="C14" s="726"/>
      <c r="D14" s="727"/>
    </row>
    <row r="15" spans="1:11" ht="30" customHeight="1" x14ac:dyDescent="0.25">
      <c r="A15" s="29"/>
      <c r="B15" s="76"/>
      <c r="C15" s="726"/>
      <c r="D15" s="727"/>
    </row>
    <row r="16" spans="1:11" ht="30" customHeight="1" x14ac:dyDescent="0.25">
      <c r="A16" s="29"/>
      <c r="B16" s="76"/>
      <c r="C16" s="726"/>
      <c r="D16" s="727"/>
    </row>
    <row r="17" spans="1:4" ht="30" customHeight="1" x14ac:dyDescent="0.25">
      <c r="A17" s="29"/>
      <c r="B17" s="76"/>
      <c r="C17" s="726"/>
      <c r="D17" s="727"/>
    </row>
    <row r="18" spans="1:4" ht="30" customHeight="1" x14ac:dyDescent="0.25">
      <c r="A18" s="29"/>
      <c r="B18" s="76"/>
      <c r="C18" s="726"/>
      <c r="D18" s="727"/>
    </row>
    <row r="19" spans="1:4" ht="30" customHeight="1" x14ac:dyDescent="0.25">
      <c r="A19" s="29"/>
      <c r="B19" s="76"/>
      <c r="C19" s="726"/>
      <c r="D19" s="727"/>
    </row>
    <row r="20" spans="1:4" ht="30" customHeight="1" x14ac:dyDescent="0.25">
      <c r="A20" s="29"/>
      <c r="B20" s="76"/>
      <c r="C20" s="726"/>
      <c r="D20" s="727"/>
    </row>
    <row r="21" spans="1:4" ht="30" customHeight="1" x14ac:dyDescent="0.25">
      <c r="A21" s="29"/>
      <c r="B21" s="76"/>
      <c r="C21" s="726"/>
      <c r="D21" s="727"/>
    </row>
    <row r="22" spans="1:4" ht="30" customHeight="1" x14ac:dyDescent="0.25">
      <c r="A22" s="29"/>
      <c r="B22" s="76"/>
      <c r="C22" s="726"/>
      <c r="D22" s="727"/>
    </row>
    <row r="23" spans="1:4" ht="30" customHeight="1" x14ac:dyDescent="0.25">
      <c r="A23" s="29"/>
      <c r="B23" s="76"/>
      <c r="C23" s="726"/>
      <c r="D23" s="727"/>
    </row>
    <row r="24" spans="1:4" ht="30" customHeight="1" x14ac:dyDescent="0.25">
      <c r="A24" s="29"/>
      <c r="B24" s="76"/>
      <c r="C24" s="726"/>
      <c r="D24" s="727"/>
    </row>
    <row r="25" spans="1:4" ht="30" customHeight="1" x14ac:dyDescent="0.25">
      <c r="A25" s="29"/>
      <c r="B25" s="76"/>
      <c r="C25" s="726"/>
      <c r="D25" s="727"/>
    </row>
    <row r="26" spans="1:4" ht="30" customHeight="1" x14ac:dyDescent="0.25">
      <c r="A26" s="29"/>
      <c r="B26" s="76"/>
      <c r="C26" s="726"/>
      <c r="D26" s="727"/>
    </row>
    <row r="27" spans="1:4" ht="30" customHeight="1" x14ac:dyDescent="0.25">
      <c r="A27" s="29"/>
      <c r="B27" s="76"/>
      <c r="C27" s="726"/>
      <c r="D27" s="727"/>
    </row>
    <row r="28" spans="1:4" ht="30" customHeight="1" x14ac:dyDescent="0.25">
      <c r="A28" s="29"/>
      <c r="B28" s="76"/>
      <c r="C28" s="726"/>
      <c r="D28" s="727"/>
    </row>
    <row r="29" spans="1:4" ht="30" customHeight="1" x14ac:dyDescent="0.25">
      <c r="A29" s="29"/>
      <c r="B29" s="76"/>
      <c r="C29" s="726"/>
      <c r="D29" s="727"/>
    </row>
    <row r="30" spans="1:4" ht="30" customHeight="1" x14ac:dyDescent="0.25">
      <c r="A30" s="29"/>
      <c r="B30" s="76"/>
      <c r="C30" s="726"/>
      <c r="D30" s="727"/>
    </row>
    <row r="31" spans="1:4" ht="30" customHeight="1" x14ac:dyDescent="0.25">
      <c r="A31" s="29"/>
      <c r="B31" s="76"/>
      <c r="C31" s="726"/>
      <c r="D31" s="727"/>
    </row>
    <row r="32" spans="1:4" ht="30" customHeight="1" x14ac:dyDescent="0.25">
      <c r="A32" s="29"/>
      <c r="B32" s="76"/>
      <c r="C32" s="726"/>
      <c r="D32" s="727"/>
    </row>
    <row r="33" spans="1:4" ht="30" customHeight="1" x14ac:dyDescent="0.25">
      <c r="A33" s="29"/>
      <c r="B33" s="76"/>
      <c r="C33" s="726"/>
      <c r="D33" s="727"/>
    </row>
    <row r="34" spans="1:4" ht="30" customHeight="1" x14ac:dyDescent="0.25">
      <c r="A34" s="29"/>
      <c r="B34" s="76"/>
      <c r="C34" s="726"/>
      <c r="D34" s="727"/>
    </row>
    <row r="35" spans="1:4" ht="30" customHeight="1" x14ac:dyDescent="0.25">
      <c r="A35" s="29"/>
      <c r="B35" s="76"/>
      <c r="C35" s="726"/>
      <c r="D35" s="727"/>
    </row>
    <row r="36" spans="1:4" ht="30" customHeight="1" x14ac:dyDescent="0.25">
      <c r="A36" s="29"/>
      <c r="B36" s="76"/>
      <c r="C36" s="726"/>
      <c r="D36" s="727"/>
    </row>
    <row r="37" spans="1:4" ht="30" customHeight="1" x14ac:dyDescent="0.25">
      <c r="A37" s="29"/>
      <c r="B37" s="76"/>
      <c r="C37" s="726"/>
      <c r="D37" s="727"/>
    </row>
    <row r="38" spans="1:4" ht="30" customHeight="1" x14ac:dyDescent="0.25">
      <c r="A38" s="29"/>
      <c r="B38" s="76"/>
      <c r="C38" s="726"/>
      <c r="D38" s="727"/>
    </row>
    <row r="39" spans="1:4" ht="30" customHeight="1" x14ac:dyDescent="0.25">
      <c r="A39" s="29"/>
      <c r="B39" s="76"/>
      <c r="C39" s="726"/>
      <c r="D39" s="727"/>
    </row>
    <row r="40" spans="1:4" ht="30" customHeight="1" x14ac:dyDescent="0.25">
      <c r="A40" s="29"/>
      <c r="B40" s="76"/>
      <c r="C40" s="726"/>
      <c r="D40" s="727"/>
    </row>
    <row r="41" spans="1:4" ht="30" customHeight="1" x14ac:dyDescent="0.25">
      <c r="A41" s="29"/>
      <c r="B41" s="76"/>
      <c r="C41" s="726"/>
      <c r="D41" s="727"/>
    </row>
    <row r="42" spans="1:4" ht="30" customHeight="1" x14ac:dyDescent="0.25">
      <c r="A42" s="29"/>
      <c r="B42" s="76"/>
      <c r="C42" s="726"/>
      <c r="D42" s="727"/>
    </row>
    <row r="43" spans="1:4" ht="30" customHeight="1" x14ac:dyDescent="0.25">
      <c r="A43" s="29"/>
      <c r="B43" s="76"/>
      <c r="C43" s="726"/>
      <c r="D43" s="727"/>
    </row>
    <row r="44" spans="1:4" ht="30" customHeight="1" x14ac:dyDescent="0.25">
      <c r="A44" s="29"/>
      <c r="B44" s="76"/>
      <c r="C44" s="726"/>
      <c r="D44" s="727"/>
    </row>
    <row r="45" spans="1:4" ht="30" customHeight="1" x14ac:dyDescent="0.25">
      <c r="A45" s="29"/>
      <c r="B45" s="76"/>
      <c r="C45" s="726"/>
      <c r="D45" s="727"/>
    </row>
    <row r="46" spans="1:4" ht="30" customHeight="1" x14ac:dyDescent="0.25">
      <c r="A46" s="29"/>
      <c r="B46" s="76"/>
      <c r="C46" s="726"/>
      <c r="D46" s="727"/>
    </row>
    <row r="47" spans="1:4" ht="30" customHeight="1" x14ac:dyDescent="0.25">
      <c r="A47" s="29"/>
      <c r="B47" s="76"/>
      <c r="C47" s="726"/>
      <c r="D47" s="727"/>
    </row>
    <row r="48" spans="1:4" ht="30" customHeight="1" x14ac:dyDescent="0.25">
      <c r="A48" s="29"/>
      <c r="B48" s="76"/>
      <c r="C48" s="726"/>
      <c r="D48" s="727"/>
    </row>
    <row r="49" spans="1:4" ht="30" customHeight="1" x14ac:dyDescent="0.25">
      <c r="A49" s="29"/>
      <c r="B49" s="76"/>
      <c r="C49" s="726"/>
      <c r="D49" s="727"/>
    </row>
    <row r="50" spans="1:4" ht="30" customHeight="1" x14ac:dyDescent="0.25">
      <c r="A50" s="29"/>
      <c r="B50" s="76"/>
      <c r="C50" s="726"/>
      <c r="D50" s="727"/>
    </row>
    <row r="51" spans="1:4" ht="30" customHeight="1" x14ac:dyDescent="0.25">
      <c r="A51" s="29"/>
      <c r="B51" s="76"/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</sheetPr>
  <dimension ref="A1:K66"/>
  <sheetViews>
    <sheetView view="pageBreakPreview" zoomScale="85" zoomScaleSheetLayoutView="85" workbookViewId="0">
      <selection activeCell="A8" sqref="A8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194</v>
      </c>
      <c r="B7" s="725"/>
      <c r="C7" s="725"/>
      <c r="D7" s="725"/>
    </row>
    <row r="8" spans="1:11" s="268" customFormat="1" ht="21" customHeight="1" x14ac:dyDescent="0.25">
      <c r="A8" s="271" t="s">
        <v>403</v>
      </c>
      <c r="B8" s="270" t="s">
        <v>185</v>
      </c>
      <c r="C8" s="270" t="s">
        <v>185</v>
      </c>
      <c r="D8" s="269"/>
    </row>
    <row r="9" spans="1:11" ht="21" x14ac:dyDescent="0.25">
      <c r="A9" s="69" t="s">
        <v>0</v>
      </c>
      <c r="B9" s="70" t="s">
        <v>90</v>
      </c>
      <c r="C9" s="70" t="s">
        <v>102</v>
      </c>
      <c r="D9" s="70" t="s">
        <v>88</v>
      </c>
      <c r="J9" s="25"/>
      <c r="K9" s="26"/>
    </row>
    <row r="10" spans="1:11" ht="30" customHeight="1" x14ac:dyDescent="0.25">
      <c r="A10" s="29"/>
      <c r="B10" s="76"/>
      <c r="C10" s="76"/>
      <c r="D10" s="32"/>
    </row>
    <row r="11" spans="1:11" ht="30" customHeight="1" x14ac:dyDescent="0.25">
      <c r="A11" s="29"/>
      <c r="B11" s="76"/>
      <c r="C11" s="76"/>
      <c r="D11" s="32"/>
    </row>
    <row r="12" spans="1:11" ht="30" customHeight="1" x14ac:dyDescent="0.25">
      <c r="A12" s="29"/>
      <c r="B12" s="76"/>
      <c r="C12" s="76"/>
      <c r="D12" s="32"/>
    </row>
    <row r="13" spans="1:11" ht="30" customHeight="1" x14ac:dyDescent="0.25">
      <c r="A13" s="29"/>
      <c r="B13" s="76"/>
      <c r="C13" s="76"/>
      <c r="D13" s="32"/>
    </row>
    <row r="14" spans="1:11" ht="30" customHeight="1" x14ac:dyDescent="0.25">
      <c r="A14" s="29"/>
      <c r="B14" s="76"/>
      <c r="C14" s="76"/>
      <c r="D14" s="32"/>
    </row>
    <row r="15" spans="1:11" ht="30" customHeight="1" x14ac:dyDescent="0.25">
      <c r="A15" s="29"/>
      <c r="B15" s="76"/>
      <c r="C15" s="76"/>
      <c r="D15" s="32"/>
    </row>
    <row r="16" spans="1:11" ht="30" customHeight="1" x14ac:dyDescent="0.25">
      <c r="A16" s="29"/>
      <c r="B16" s="76"/>
      <c r="C16" s="76"/>
      <c r="D16" s="32"/>
    </row>
    <row r="17" spans="1:4" ht="30" customHeight="1" x14ac:dyDescent="0.25">
      <c r="A17" s="29"/>
      <c r="B17" s="76"/>
      <c r="C17" s="76"/>
      <c r="D17" s="32"/>
    </row>
    <row r="18" spans="1:4" ht="30" customHeight="1" x14ac:dyDescent="0.25">
      <c r="A18" s="29"/>
      <c r="B18" s="76"/>
      <c r="C18" s="76"/>
      <c r="D18" s="32"/>
    </row>
    <row r="19" spans="1:4" ht="30" customHeight="1" x14ac:dyDescent="0.25">
      <c r="A19" s="29"/>
      <c r="B19" s="76"/>
      <c r="C19" s="76"/>
      <c r="D19" s="32"/>
    </row>
    <row r="20" spans="1:4" ht="30" customHeight="1" x14ac:dyDescent="0.25">
      <c r="A20" s="29"/>
      <c r="B20" s="76"/>
      <c r="C20" s="76"/>
      <c r="D20" s="32"/>
    </row>
    <row r="21" spans="1:4" ht="30" customHeight="1" x14ac:dyDescent="0.25">
      <c r="A21" s="29"/>
      <c r="B21" s="76"/>
      <c r="C21" s="76"/>
      <c r="D21" s="32"/>
    </row>
    <row r="22" spans="1:4" ht="30" customHeight="1" x14ac:dyDescent="0.25">
      <c r="A22" s="29"/>
      <c r="B22" s="76"/>
      <c r="C22" s="76"/>
      <c r="D22" s="32"/>
    </row>
    <row r="23" spans="1:4" ht="30" customHeight="1" x14ac:dyDescent="0.25">
      <c r="A23" s="29"/>
      <c r="B23" s="76"/>
      <c r="C23" s="76"/>
      <c r="D23" s="32"/>
    </row>
    <row r="24" spans="1:4" ht="30" customHeight="1" x14ac:dyDescent="0.25">
      <c r="A24" s="29"/>
      <c r="B24" s="76"/>
      <c r="C24" s="76"/>
      <c r="D24" s="32"/>
    </row>
    <row r="25" spans="1:4" ht="30" customHeight="1" x14ac:dyDescent="0.25">
      <c r="A25" s="29"/>
      <c r="B25" s="76"/>
      <c r="C25" s="76"/>
      <c r="D25" s="32"/>
    </row>
    <row r="26" spans="1:4" ht="30" customHeight="1" x14ac:dyDescent="0.25">
      <c r="A26" s="29"/>
      <c r="B26" s="76"/>
      <c r="C26" s="76"/>
      <c r="D26" s="32"/>
    </row>
    <row r="27" spans="1:4" ht="30" customHeight="1" x14ac:dyDescent="0.25">
      <c r="A27" s="29"/>
      <c r="B27" s="76"/>
      <c r="C27" s="76"/>
      <c r="D27" s="32"/>
    </row>
    <row r="28" spans="1:4" ht="30" customHeight="1" x14ac:dyDescent="0.25">
      <c r="A28" s="29"/>
      <c r="B28" s="76"/>
      <c r="C28" s="76"/>
      <c r="D28" s="32"/>
    </row>
    <row r="29" spans="1:4" ht="30" customHeight="1" x14ac:dyDescent="0.25">
      <c r="A29" s="29"/>
      <c r="B29" s="76"/>
      <c r="C29" s="76"/>
      <c r="D29" s="32"/>
    </row>
    <row r="30" spans="1:4" ht="30" customHeight="1" x14ac:dyDescent="0.25">
      <c r="A30" s="29"/>
      <c r="B30" s="76"/>
      <c r="C30" s="76"/>
      <c r="D30" s="32"/>
    </row>
    <row r="31" spans="1:4" ht="30" customHeight="1" x14ac:dyDescent="0.25">
      <c r="A31" s="29"/>
      <c r="B31" s="76"/>
      <c r="C31" s="76"/>
      <c r="D31" s="32"/>
    </row>
    <row r="32" spans="1:4" ht="30" customHeight="1" x14ac:dyDescent="0.25">
      <c r="A32" s="29"/>
      <c r="B32" s="76"/>
      <c r="C32" s="76"/>
      <c r="D32" s="32"/>
    </row>
    <row r="33" spans="1:4" ht="30" customHeight="1" x14ac:dyDescent="0.25">
      <c r="A33" s="29"/>
      <c r="B33" s="76"/>
      <c r="C33" s="76"/>
      <c r="D33" s="32"/>
    </row>
    <row r="34" spans="1:4" ht="30" customHeight="1" x14ac:dyDescent="0.25">
      <c r="A34" s="29"/>
      <c r="B34" s="76"/>
      <c r="C34" s="76"/>
      <c r="D34" s="32"/>
    </row>
    <row r="35" spans="1:4" ht="30" customHeight="1" x14ac:dyDescent="0.25">
      <c r="A35" s="29"/>
      <c r="B35" s="76"/>
      <c r="C35" s="76"/>
      <c r="D35" s="32"/>
    </row>
    <row r="36" spans="1:4" ht="30" customHeight="1" x14ac:dyDescent="0.25">
      <c r="A36" s="29"/>
      <c r="B36" s="76"/>
      <c r="C36" s="76"/>
      <c r="D36" s="32"/>
    </row>
    <row r="37" spans="1:4" ht="30" customHeight="1" x14ac:dyDescent="0.25">
      <c r="A37" s="29"/>
      <c r="B37" s="76"/>
      <c r="C37" s="76"/>
      <c r="D37" s="32"/>
    </row>
    <row r="38" spans="1:4" ht="30" customHeight="1" x14ac:dyDescent="0.25">
      <c r="A38" s="29"/>
      <c r="B38" s="76"/>
      <c r="C38" s="76"/>
      <c r="D38" s="32"/>
    </row>
    <row r="39" spans="1:4" ht="30" customHeight="1" x14ac:dyDescent="0.25">
      <c r="A39" s="29"/>
      <c r="B39" s="76"/>
      <c r="C39" s="76"/>
      <c r="D39" s="32"/>
    </row>
    <row r="40" spans="1:4" ht="30" customHeight="1" x14ac:dyDescent="0.25">
      <c r="A40" s="29"/>
      <c r="B40" s="76"/>
      <c r="C40" s="76"/>
      <c r="D40" s="32"/>
    </row>
    <row r="41" spans="1:4" ht="30" customHeight="1" x14ac:dyDescent="0.25">
      <c r="A41" s="29"/>
      <c r="B41" s="76"/>
      <c r="C41" s="76"/>
      <c r="D41" s="32"/>
    </row>
    <row r="42" spans="1:4" ht="30" customHeight="1" x14ac:dyDescent="0.25">
      <c r="A42" s="29"/>
      <c r="B42" s="76"/>
      <c r="C42" s="76"/>
      <c r="D42" s="32"/>
    </row>
    <row r="43" spans="1:4" ht="30" customHeight="1" x14ac:dyDescent="0.25">
      <c r="A43" s="29"/>
      <c r="B43" s="76"/>
      <c r="C43" s="76"/>
      <c r="D43" s="32"/>
    </row>
    <row r="44" spans="1:4" ht="30" customHeight="1" x14ac:dyDescent="0.25">
      <c r="A44" s="29"/>
      <c r="B44" s="76"/>
      <c r="C44" s="76"/>
      <c r="D44" s="32"/>
    </row>
    <row r="45" spans="1:4" ht="30" customHeight="1" x14ac:dyDescent="0.25">
      <c r="A45" s="29"/>
      <c r="B45" s="76"/>
      <c r="C45" s="76"/>
      <c r="D45" s="32"/>
    </row>
    <row r="46" spans="1:4" ht="30" customHeight="1" x14ac:dyDescent="0.25">
      <c r="A46" s="29"/>
      <c r="B46" s="76"/>
      <c r="C46" s="76"/>
      <c r="D46" s="32"/>
    </row>
    <row r="47" spans="1:4" ht="30" customHeight="1" x14ac:dyDescent="0.25">
      <c r="A47" s="29"/>
      <c r="B47" s="76"/>
      <c r="C47" s="76"/>
      <c r="D47" s="32"/>
    </row>
    <row r="48" spans="1:4" ht="30" customHeight="1" x14ac:dyDescent="0.25">
      <c r="A48" s="29"/>
      <c r="B48" s="76"/>
      <c r="C48" s="76"/>
      <c r="D48" s="32"/>
    </row>
    <row r="49" spans="1:4" ht="30" customHeight="1" x14ac:dyDescent="0.25">
      <c r="A49" s="29"/>
      <c r="B49" s="76"/>
      <c r="C49" s="76"/>
      <c r="D49" s="32"/>
    </row>
    <row r="50" spans="1:4" ht="30" customHeight="1" x14ac:dyDescent="0.25">
      <c r="A50" s="29"/>
      <c r="B50" s="76"/>
      <c r="C50" s="76"/>
      <c r="D50" s="32"/>
    </row>
    <row r="51" spans="1:4" ht="30" customHeight="1" x14ac:dyDescent="0.25">
      <c r="A51" s="29"/>
      <c r="B51" s="76"/>
      <c r="C51" s="76"/>
      <c r="D51" s="32"/>
    </row>
    <row r="52" spans="1:4" ht="30" customHeight="1" x14ac:dyDescent="0.25">
      <c r="A52" s="29"/>
      <c r="B52" s="76"/>
      <c r="C52" s="76"/>
      <c r="D52" s="32"/>
    </row>
    <row r="53" spans="1:4" ht="30" customHeight="1" x14ac:dyDescent="0.25">
      <c r="A53" s="29"/>
      <c r="B53" s="76"/>
      <c r="C53" s="76"/>
      <c r="D53" s="32"/>
    </row>
    <row r="54" spans="1:4" ht="30" customHeight="1" x14ac:dyDescent="0.25">
      <c r="A54" s="29"/>
      <c r="B54" s="76"/>
      <c r="C54" s="76"/>
      <c r="D54" s="32"/>
    </row>
    <row r="55" spans="1:4" ht="30" customHeight="1" x14ac:dyDescent="0.25">
      <c r="A55" s="29"/>
      <c r="B55" s="76"/>
      <c r="C55" s="76"/>
      <c r="D55" s="32"/>
    </row>
    <row r="56" spans="1:4" ht="30" customHeight="1" x14ac:dyDescent="0.25">
      <c r="A56" s="29"/>
      <c r="B56" s="76"/>
      <c r="C56" s="76"/>
      <c r="D56" s="32"/>
    </row>
    <row r="57" spans="1:4" ht="30" customHeight="1" x14ac:dyDescent="0.25">
      <c r="A57" s="29"/>
      <c r="B57" s="76"/>
      <c r="C57" s="76"/>
      <c r="D57" s="32"/>
    </row>
    <row r="58" spans="1:4" ht="30" customHeight="1" x14ac:dyDescent="0.25">
      <c r="A58" s="29"/>
      <c r="B58" s="76"/>
      <c r="C58" s="76"/>
      <c r="D58" s="32"/>
    </row>
    <row r="59" spans="1:4" ht="30" customHeight="1" x14ac:dyDescent="0.25">
      <c r="A59" s="29"/>
      <c r="B59" s="76"/>
      <c r="C59" s="76"/>
      <c r="D59" s="32"/>
    </row>
    <row r="60" spans="1:4" ht="30" customHeight="1" x14ac:dyDescent="0.25">
      <c r="A60" s="29"/>
      <c r="B60" s="76"/>
      <c r="C60" s="76"/>
      <c r="D60" s="32"/>
    </row>
    <row r="61" spans="1:4" ht="30" customHeight="1" x14ac:dyDescent="0.25">
      <c r="A61" s="29"/>
      <c r="B61" s="76"/>
      <c r="C61" s="76"/>
      <c r="D61" s="32"/>
    </row>
    <row r="62" spans="1:4" ht="30" customHeight="1" x14ac:dyDescent="0.25">
      <c r="A62" s="29"/>
      <c r="B62" s="76"/>
      <c r="C62" s="76"/>
      <c r="D62" s="32"/>
    </row>
    <row r="63" spans="1:4" ht="30" customHeight="1" x14ac:dyDescent="0.25">
      <c r="A63" s="29"/>
      <c r="B63" s="76"/>
      <c r="C63" s="76"/>
      <c r="D63" s="32"/>
    </row>
    <row r="64" spans="1:4" ht="30" customHeight="1" x14ac:dyDescent="0.25">
      <c r="A64" s="29"/>
      <c r="B64" s="76"/>
      <c r="C64" s="76"/>
      <c r="D64" s="32"/>
    </row>
    <row r="65" spans="1:4" ht="30" customHeight="1" x14ac:dyDescent="0.25">
      <c r="A65" s="29"/>
      <c r="B65" s="76"/>
      <c r="C65" s="76"/>
      <c r="D65" s="32"/>
    </row>
    <row r="66" spans="1:4" ht="30" customHeight="1" x14ac:dyDescent="0.25">
      <c r="A66" s="29"/>
      <c r="B66" s="76"/>
      <c r="C66" s="76"/>
      <c r="D66" s="32"/>
    </row>
  </sheetData>
  <sheetProtection sheet="1" objects="1" scenarios="1"/>
  <mergeCells count="1">
    <mergeCell ref="A7:D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F0"/>
  </sheetPr>
  <dimension ref="A1:K66"/>
  <sheetViews>
    <sheetView view="pageBreakPreview" zoomScale="85" zoomScaleSheetLayoutView="85" workbookViewId="0">
      <selection activeCell="D72" sqref="D72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398</v>
      </c>
      <c r="B7" s="725"/>
      <c r="C7" s="725"/>
      <c r="D7" s="725"/>
    </row>
    <row r="8" spans="1:11" s="268" customFormat="1" ht="21" customHeight="1" x14ac:dyDescent="0.25">
      <c r="A8" s="271" t="s">
        <v>404</v>
      </c>
      <c r="B8" s="270" t="s">
        <v>188</v>
      </c>
      <c r="C8" s="269"/>
      <c r="D8" s="269"/>
    </row>
    <row r="9" spans="1:11" ht="21" x14ac:dyDescent="0.25">
      <c r="A9" s="69" t="s">
        <v>0</v>
      </c>
      <c r="B9" s="70" t="s">
        <v>397</v>
      </c>
      <c r="C9" s="731" t="s">
        <v>88</v>
      </c>
      <c r="D9" s="732"/>
      <c r="J9" s="25"/>
      <c r="K9" s="26"/>
    </row>
    <row r="10" spans="1:11" ht="30" customHeight="1" x14ac:dyDescent="0.25">
      <c r="A10" s="29"/>
      <c r="B10" s="28"/>
      <c r="C10" s="733"/>
      <c r="D10" s="734"/>
    </row>
    <row r="11" spans="1:11" ht="30" customHeight="1" x14ac:dyDescent="0.25">
      <c r="A11" s="29"/>
      <c r="B11" s="28"/>
      <c r="C11" s="733"/>
      <c r="D11" s="734"/>
    </row>
    <row r="12" spans="1:11" ht="30" customHeight="1" x14ac:dyDescent="0.25">
      <c r="A12" s="29"/>
      <c r="B12" s="28"/>
      <c r="C12" s="733"/>
      <c r="D12" s="734"/>
    </row>
    <row r="13" spans="1:11" ht="30" customHeight="1" x14ac:dyDescent="0.25">
      <c r="A13" s="29"/>
      <c r="B13" s="28"/>
      <c r="C13" s="733"/>
      <c r="D13" s="734"/>
    </row>
    <row r="14" spans="1:11" ht="30" customHeight="1" x14ac:dyDescent="0.25">
      <c r="A14" s="29"/>
      <c r="B14" s="28"/>
      <c r="C14" s="733"/>
      <c r="D14" s="734"/>
    </row>
    <row r="15" spans="1:11" ht="30" customHeight="1" x14ac:dyDescent="0.25">
      <c r="A15" s="29"/>
      <c r="B15" s="28"/>
      <c r="C15" s="733"/>
      <c r="D15" s="734"/>
    </row>
    <row r="16" spans="1:11" ht="30" customHeight="1" x14ac:dyDescent="0.25">
      <c r="A16" s="29"/>
      <c r="B16" s="28"/>
      <c r="C16" s="733"/>
      <c r="D16" s="734"/>
    </row>
    <row r="17" spans="1:4" ht="30" customHeight="1" x14ac:dyDescent="0.25">
      <c r="A17" s="29"/>
      <c r="B17" s="28"/>
      <c r="C17" s="733"/>
      <c r="D17" s="734"/>
    </row>
    <row r="18" spans="1:4" ht="30" customHeight="1" x14ac:dyDescent="0.25">
      <c r="A18" s="29"/>
      <c r="B18" s="28"/>
      <c r="C18" s="733"/>
      <c r="D18" s="734"/>
    </row>
    <row r="19" spans="1:4" ht="30" customHeight="1" x14ac:dyDescent="0.25">
      <c r="A19" s="29"/>
      <c r="B19" s="28"/>
      <c r="C19" s="733"/>
      <c r="D19" s="734"/>
    </row>
    <row r="20" spans="1:4" ht="30" customHeight="1" x14ac:dyDescent="0.25">
      <c r="A20" s="29"/>
      <c r="B20" s="28"/>
      <c r="C20" s="733"/>
      <c r="D20" s="734"/>
    </row>
    <row r="21" spans="1:4" ht="30" customHeight="1" x14ac:dyDescent="0.25">
      <c r="A21" s="29"/>
      <c r="B21" s="28"/>
      <c r="C21" s="733"/>
      <c r="D21" s="734"/>
    </row>
    <row r="22" spans="1:4" ht="30" customHeight="1" x14ac:dyDescent="0.25">
      <c r="A22" s="29"/>
      <c r="B22" s="28"/>
      <c r="C22" s="733"/>
      <c r="D22" s="734"/>
    </row>
    <row r="23" spans="1:4" ht="30" customHeight="1" x14ac:dyDescent="0.25">
      <c r="A23" s="29"/>
      <c r="B23" s="28"/>
      <c r="C23" s="733"/>
      <c r="D23" s="734"/>
    </row>
    <row r="24" spans="1:4" ht="30" customHeight="1" x14ac:dyDescent="0.25">
      <c r="A24" s="29"/>
      <c r="B24" s="28"/>
      <c r="C24" s="733"/>
      <c r="D24" s="734"/>
    </row>
    <row r="25" spans="1:4" ht="30" customHeight="1" x14ac:dyDescent="0.25">
      <c r="A25" s="29"/>
      <c r="B25" s="28"/>
      <c r="C25" s="733"/>
      <c r="D25" s="734"/>
    </row>
    <row r="26" spans="1:4" ht="30" customHeight="1" x14ac:dyDescent="0.25">
      <c r="A26" s="29"/>
      <c r="B26" s="28"/>
      <c r="C26" s="733"/>
      <c r="D26" s="734"/>
    </row>
    <row r="27" spans="1:4" ht="30" customHeight="1" x14ac:dyDescent="0.25">
      <c r="A27" s="29"/>
      <c r="B27" s="28"/>
      <c r="C27" s="733"/>
      <c r="D27" s="734"/>
    </row>
    <row r="28" spans="1:4" ht="30" customHeight="1" x14ac:dyDescent="0.25">
      <c r="A28" s="29"/>
      <c r="B28" s="28"/>
      <c r="C28" s="733"/>
      <c r="D28" s="734"/>
    </row>
    <row r="29" spans="1:4" ht="30" customHeight="1" x14ac:dyDescent="0.25">
      <c r="A29" s="29"/>
      <c r="B29" s="28"/>
      <c r="C29" s="733"/>
      <c r="D29" s="734"/>
    </row>
    <row r="30" spans="1:4" ht="30" customHeight="1" x14ac:dyDescent="0.25">
      <c r="A30" s="29"/>
      <c r="B30" s="28"/>
      <c r="C30" s="733"/>
      <c r="D30" s="734"/>
    </row>
    <row r="31" spans="1:4" ht="30" customHeight="1" x14ac:dyDescent="0.25">
      <c r="A31" s="29"/>
      <c r="B31" s="28"/>
      <c r="C31" s="733"/>
      <c r="D31" s="734"/>
    </row>
    <row r="32" spans="1:4" ht="30" customHeight="1" x14ac:dyDescent="0.25">
      <c r="A32" s="29"/>
      <c r="B32" s="28"/>
      <c r="C32" s="733"/>
      <c r="D32" s="734"/>
    </row>
    <row r="33" spans="1:4" ht="30" customHeight="1" x14ac:dyDescent="0.25">
      <c r="A33" s="29"/>
      <c r="B33" s="28"/>
      <c r="C33" s="733"/>
      <c r="D33" s="734"/>
    </row>
    <row r="34" spans="1:4" ht="30" customHeight="1" x14ac:dyDescent="0.25">
      <c r="A34" s="29"/>
      <c r="B34" s="28"/>
      <c r="C34" s="733"/>
      <c r="D34" s="734"/>
    </row>
    <row r="35" spans="1:4" ht="30" customHeight="1" x14ac:dyDescent="0.25">
      <c r="A35" s="29"/>
      <c r="B35" s="28"/>
      <c r="C35" s="733"/>
      <c r="D35" s="734"/>
    </row>
    <row r="36" spans="1:4" ht="30" customHeight="1" x14ac:dyDescent="0.25">
      <c r="A36" s="29"/>
      <c r="B36" s="28"/>
      <c r="C36" s="733"/>
      <c r="D36" s="734"/>
    </row>
    <row r="37" spans="1:4" ht="30" customHeight="1" x14ac:dyDescent="0.25">
      <c r="A37" s="29"/>
      <c r="B37" s="28"/>
      <c r="C37" s="733"/>
      <c r="D37" s="734"/>
    </row>
    <row r="38" spans="1:4" ht="30" customHeight="1" x14ac:dyDescent="0.25">
      <c r="A38" s="29"/>
      <c r="B38" s="28"/>
      <c r="C38" s="733"/>
      <c r="D38" s="734"/>
    </row>
    <row r="39" spans="1:4" ht="30" customHeight="1" x14ac:dyDescent="0.25">
      <c r="A39" s="29"/>
      <c r="B39" s="28"/>
      <c r="C39" s="733"/>
      <c r="D39" s="734"/>
    </row>
    <row r="40" spans="1:4" ht="30" customHeight="1" x14ac:dyDescent="0.25">
      <c r="A40" s="29"/>
      <c r="B40" s="28"/>
      <c r="C40" s="733"/>
      <c r="D40" s="734"/>
    </row>
    <row r="41" spans="1:4" ht="30" customHeight="1" x14ac:dyDescent="0.25">
      <c r="A41" s="29"/>
      <c r="B41" s="28"/>
      <c r="C41" s="733"/>
      <c r="D41" s="734"/>
    </row>
    <row r="42" spans="1:4" ht="30" customHeight="1" x14ac:dyDescent="0.25">
      <c r="A42" s="29"/>
      <c r="B42" s="28"/>
      <c r="C42" s="733"/>
      <c r="D42" s="734"/>
    </row>
    <row r="43" spans="1:4" ht="30" customHeight="1" x14ac:dyDescent="0.25">
      <c r="A43" s="29"/>
      <c r="B43" s="28"/>
      <c r="C43" s="733"/>
      <c r="D43" s="734"/>
    </row>
    <row r="44" spans="1:4" ht="30" customHeight="1" x14ac:dyDescent="0.25">
      <c r="A44" s="29"/>
      <c r="B44" s="28"/>
      <c r="C44" s="733"/>
      <c r="D44" s="734"/>
    </row>
    <row r="45" spans="1:4" ht="30" customHeight="1" x14ac:dyDescent="0.25">
      <c r="A45" s="29"/>
      <c r="B45" s="28"/>
      <c r="C45" s="733"/>
      <c r="D45" s="734"/>
    </row>
    <row r="46" spans="1:4" ht="30" customHeight="1" x14ac:dyDescent="0.25">
      <c r="A46" s="29"/>
      <c r="B46" s="28"/>
      <c r="C46" s="733"/>
      <c r="D46" s="734"/>
    </row>
    <row r="47" spans="1:4" ht="30" customHeight="1" x14ac:dyDescent="0.25">
      <c r="A47" s="29"/>
      <c r="B47" s="28"/>
      <c r="C47" s="733"/>
      <c r="D47" s="734"/>
    </row>
    <row r="48" spans="1:4" ht="30" customHeight="1" x14ac:dyDescent="0.25">
      <c r="A48" s="29"/>
      <c r="B48" s="28"/>
      <c r="C48" s="733"/>
      <c r="D48" s="734"/>
    </row>
    <row r="49" spans="1:4" ht="30" customHeight="1" x14ac:dyDescent="0.25">
      <c r="A49" s="29"/>
      <c r="B49" s="28"/>
      <c r="C49" s="733"/>
      <c r="D49" s="734"/>
    </row>
    <row r="50" spans="1:4" ht="30" customHeight="1" x14ac:dyDescent="0.25">
      <c r="A50" s="29"/>
      <c r="B50" s="28"/>
      <c r="C50" s="733"/>
      <c r="D50" s="734"/>
    </row>
    <row r="51" spans="1:4" ht="30" customHeight="1" x14ac:dyDescent="0.25">
      <c r="A51" s="29"/>
      <c r="B51" s="28"/>
      <c r="C51" s="733"/>
      <c r="D51" s="734"/>
    </row>
    <row r="52" spans="1:4" ht="30" customHeight="1" x14ac:dyDescent="0.25">
      <c r="A52" s="29"/>
      <c r="B52" s="28"/>
      <c r="C52" s="733"/>
      <c r="D52" s="734"/>
    </row>
    <row r="53" spans="1:4" ht="30" customHeight="1" x14ac:dyDescent="0.25">
      <c r="A53" s="29"/>
      <c r="B53" s="28"/>
      <c r="C53" s="733"/>
      <c r="D53" s="734"/>
    </row>
    <row r="54" spans="1:4" ht="30" customHeight="1" x14ac:dyDescent="0.25">
      <c r="A54" s="29"/>
      <c r="B54" s="28"/>
      <c r="C54" s="733"/>
      <c r="D54" s="734"/>
    </row>
    <row r="55" spans="1:4" ht="30" customHeight="1" x14ac:dyDescent="0.25">
      <c r="A55" s="29"/>
      <c r="B55" s="28"/>
      <c r="C55" s="733"/>
      <c r="D55" s="734"/>
    </row>
    <row r="56" spans="1:4" ht="30" customHeight="1" x14ac:dyDescent="0.25">
      <c r="A56" s="29"/>
      <c r="B56" s="28"/>
      <c r="C56" s="733"/>
      <c r="D56" s="734"/>
    </row>
    <row r="57" spans="1:4" ht="30" customHeight="1" x14ac:dyDescent="0.25">
      <c r="A57" s="29"/>
      <c r="B57" s="28"/>
      <c r="C57" s="733"/>
      <c r="D57" s="734"/>
    </row>
    <row r="58" spans="1:4" ht="30" customHeight="1" x14ac:dyDescent="0.25">
      <c r="A58" s="29"/>
      <c r="B58" s="28"/>
      <c r="C58" s="733"/>
      <c r="D58" s="734"/>
    </row>
    <row r="59" spans="1:4" ht="30" customHeight="1" x14ac:dyDescent="0.25">
      <c r="A59" s="29"/>
      <c r="B59" s="28"/>
      <c r="C59" s="733"/>
      <c r="D59" s="734"/>
    </row>
    <row r="60" spans="1:4" ht="30" customHeight="1" x14ac:dyDescent="0.25">
      <c r="A60" s="29"/>
      <c r="B60" s="28"/>
      <c r="C60" s="733"/>
      <c r="D60" s="734"/>
    </row>
    <row r="61" spans="1:4" ht="30" customHeight="1" x14ac:dyDescent="0.25">
      <c r="A61" s="29"/>
      <c r="B61" s="28"/>
      <c r="C61" s="733"/>
      <c r="D61" s="734"/>
    </row>
    <row r="62" spans="1:4" ht="30" customHeight="1" x14ac:dyDescent="0.25">
      <c r="A62" s="29"/>
      <c r="B62" s="28"/>
      <c r="C62" s="733"/>
      <c r="D62" s="734"/>
    </row>
    <row r="63" spans="1:4" ht="30" customHeight="1" x14ac:dyDescent="0.25">
      <c r="A63" s="29"/>
      <c r="B63" s="28"/>
      <c r="C63" s="733"/>
      <c r="D63" s="734"/>
    </row>
    <row r="64" spans="1:4" ht="30" customHeight="1" x14ac:dyDescent="0.25">
      <c r="A64" s="29"/>
      <c r="B64" s="28"/>
      <c r="C64" s="733"/>
      <c r="D64" s="734"/>
    </row>
    <row r="65" spans="1:4" ht="30" customHeight="1" x14ac:dyDescent="0.25">
      <c r="A65" s="29"/>
      <c r="B65" s="28"/>
      <c r="C65" s="733"/>
      <c r="D65" s="734"/>
    </row>
    <row r="66" spans="1:4" ht="30" customHeight="1" x14ac:dyDescent="0.25">
      <c r="A66" s="29"/>
      <c r="B66" s="28"/>
      <c r="C66" s="733"/>
      <c r="D66" s="734"/>
    </row>
  </sheetData>
  <sheetProtection sheet="1" objects="1" scenarios="1"/>
  <mergeCells count="59">
    <mergeCell ref="A7:D7"/>
    <mergeCell ref="C52:D52"/>
    <mergeCell ref="C53:D53"/>
    <mergeCell ref="C54:D54"/>
    <mergeCell ref="C55:D55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14:D14"/>
    <mergeCell ref="C9:D9"/>
    <mergeCell ref="C10:D10"/>
    <mergeCell ref="C11:D11"/>
    <mergeCell ref="C12:D12"/>
    <mergeCell ref="C13:D13"/>
    <mergeCell ref="C38:D38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50:D50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65:D65"/>
    <mergeCell ref="C66:D66"/>
    <mergeCell ref="C51:D51"/>
    <mergeCell ref="C60:D60"/>
    <mergeCell ref="C61:D61"/>
    <mergeCell ref="C62:D62"/>
    <mergeCell ref="C63:D63"/>
    <mergeCell ref="C64:D64"/>
    <mergeCell ref="C56:D56"/>
    <mergeCell ref="C57:D57"/>
    <mergeCell ref="C58:D58"/>
    <mergeCell ref="C59:D59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F0"/>
  </sheetPr>
  <dimension ref="A1:Q61"/>
  <sheetViews>
    <sheetView view="pageBreakPreview" zoomScale="85" zoomScaleSheetLayoutView="85" workbookViewId="0">
      <selection activeCell="D72" sqref="D72"/>
    </sheetView>
  </sheetViews>
  <sheetFormatPr defaultRowHeight="15" x14ac:dyDescent="0.25"/>
  <cols>
    <col min="1" max="3" width="15.7109375" style="2" customWidth="1"/>
    <col min="4" max="4" width="25.7109375" style="2" customWidth="1"/>
    <col min="5" max="5" width="13.7109375" style="2" customWidth="1"/>
    <col min="6" max="6" width="10.7109375" style="2" customWidth="1"/>
    <col min="7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7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7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7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7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7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7" s="261" customFormat="1" ht="46.5" x14ac:dyDescent="0.25">
      <c r="A7" s="735" t="s">
        <v>195</v>
      </c>
      <c r="B7" s="735"/>
      <c r="C7" s="735"/>
      <c r="D7" s="735"/>
      <c r="E7" s="735"/>
      <c r="F7" s="735"/>
      <c r="G7" s="735"/>
      <c r="H7" s="735"/>
      <c r="I7" s="735"/>
    </row>
    <row r="8" spans="1:17" s="24" customFormat="1" ht="21" customHeight="1" x14ac:dyDescent="0.25">
      <c r="A8" s="260" t="s">
        <v>403</v>
      </c>
      <c r="B8" s="68" t="s">
        <v>185</v>
      </c>
      <c r="C8" s="68" t="s">
        <v>185</v>
      </c>
      <c r="D8" s="31"/>
      <c r="E8" s="68" t="s">
        <v>190</v>
      </c>
      <c r="F8" s="68" t="s">
        <v>191</v>
      </c>
      <c r="G8" s="68" t="s">
        <v>192</v>
      </c>
      <c r="H8" s="68" t="s">
        <v>192</v>
      </c>
      <c r="I8" s="68" t="s">
        <v>192</v>
      </c>
    </row>
    <row r="9" spans="1:17" ht="37.5" x14ac:dyDescent="0.25">
      <c r="A9" s="65" t="s">
        <v>0</v>
      </c>
      <c r="B9" s="67" t="s">
        <v>90</v>
      </c>
      <c r="C9" s="66" t="s">
        <v>102</v>
      </c>
      <c r="D9" s="66" t="s">
        <v>88</v>
      </c>
      <c r="E9" s="67" t="s">
        <v>189</v>
      </c>
      <c r="F9" s="67" t="s">
        <v>103</v>
      </c>
      <c r="G9" s="67" t="s">
        <v>124</v>
      </c>
      <c r="H9" s="67" t="s">
        <v>125</v>
      </c>
      <c r="I9" s="67" t="s">
        <v>126</v>
      </c>
      <c r="P9" s="25"/>
      <c r="Q9" s="26"/>
    </row>
    <row r="10" spans="1:17" ht="24.95" customHeight="1" x14ac:dyDescent="0.25">
      <c r="A10" s="29"/>
      <c r="B10" s="76"/>
      <c r="C10" s="76"/>
      <c r="D10" s="27"/>
      <c r="E10" s="29"/>
      <c r="F10" s="30"/>
      <c r="G10" s="29"/>
      <c r="H10" s="29"/>
      <c r="I10" s="29"/>
    </row>
    <row r="11" spans="1:17" ht="24.95" customHeight="1" x14ac:dyDescent="0.25">
      <c r="A11" s="29"/>
      <c r="B11" s="76"/>
      <c r="C11" s="76"/>
      <c r="D11" s="27"/>
      <c r="E11" s="29"/>
      <c r="F11" s="30"/>
      <c r="G11" s="29"/>
      <c r="H11" s="29"/>
      <c r="I11" s="29" t="s">
        <v>94</v>
      </c>
    </row>
    <row r="12" spans="1:17" ht="24.95" customHeight="1" x14ac:dyDescent="0.25">
      <c r="A12" s="29"/>
      <c r="B12" s="76"/>
      <c r="C12" s="76"/>
      <c r="D12" s="27"/>
      <c r="E12" s="29"/>
      <c r="F12" s="30"/>
      <c r="G12" s="29"/>
      <c r="H12" s="29"/>
      <c r="I12" s="29"/>
    </row>
    <row r="13" spans="1:17" ht="24.95" customHeight="1" x14ac:dyDescent="0.25">
      <c r="A13" s="29"/>
      <c r="B13" s="76"/>
      <c r="C13" s="76"/>
      <c r="D13" s="27"/>
      <c r="E13" s="29"/>
      <c r="F13" s="30"/>
      <c r="G13" s="29"/>
      <c r="H13" s="29"/>
      <c r="I13" s="29"/>
    </row>
    <row r="14" spans="1:17" ht="24.95" customHeight="1" x14ac:dyDescent="0.25">
      <c r="A14" s="29"/>
      <c r="B14" s="76"/>
      <c r="C14" s="76"/>
      <c r="D14" s="27"/>
      <c r="E14" s="29"/>
      <c r="F14" s="30"/>
      <c r="G14" s="29"/>
      <c r="H14" s="29"/>
      <c r="I14" s="29"/>
    </row>
    <row r="15" spans="1:17" ht="24.95" customHeight="1" x14ac:dyDescent="0.25">
      <c r="A15" s="29"/>
      <c r="B15" s="76"/>
      <c r="C15" s="76"/>
      <c r="D15" s="27"/>
      <c r="E15" s="29"/>
      <c r="F15" s="30"/>
      <c r="G15" s="29"/>
      <c r="H15" s="29"/>
      <c r="I15" s="29"/>
    </row>
    <row r="16" spans="1:17" ht="24.95" customHeight="1" x14ac:dyDescent="0.25">
      <c r="A16" s="29"/>
      <c r="B16" s="76"/>
      <c r="C16" s="76"/>
      <c r="D16" s="27"/>
      <c r="E16" s="29"/>
      <c r="F16" s="30"/>
      <c r="G16" s="29"/>
      <c r="H16" s="29"/>
      <c r="I16" s="29"/>
    </row>
    <row r="17" spans="1:9" ht="24.95" customHeight="1" x14ac:dyDescent="0.25">
      <c r="A17" s="29"/>
      <c r="B17" s="76"/>
      <c r="C17" s="76"/>
      <c r="D17" s="27"/>
      <c r="E17" s="29"/>
      <c r="F17" s="30"/>
      <c r="G17" s="29"/>
      <c r="H17" s="29"/>
      <c r="I17" s="29"/>
    </row>
    <row r="18" spans="1:9" ht="24.95" customHeight="1" x14ac:dyDescent="0.25">
      <c r="A18" s="29"/>
      <c r="B18" s="76"/>
      <c r="C18" s="76"/>
      <c r="D18" s="27"/>
      <c r="E18" s="29"/>
      <c r="F18" s="30"/>
      <c r="G18" s="29"/>
      <c r="H18" s="29"/>
      <c r="I18" s="29"/>
    </row>
    <row r="19" spans="1:9" ht="24.95" customHeight="1" x14ac:dyDescent="0.25">
      <c r="A19" s="29"/>
      <c r="B19" s="76"/>
      <c r="C19" s="76"/>
      <c r="D19" s="27"/>
      <c r="E19" s="29"/>
      <c r="F19" s="30"/>
      <c r="G19" s="29"/>
      <c r="H19" s="29"/>
      <c r="I19" s="29"/>
    </row>
    <row r="20" spans="1:9" ht="24.95" customHeight="1" x14ac:dyDescent="0.25">
      <c r="A20" s="29"/>
      <c r="B20" s="76"/>
      <c r="C20" s="76"/>
      <c r="D20" s="27"/>
      <c r="E20" s="29"/>
      <c r="F20" s="30"/>
      <c r="G20" s="29"/>
      <c r="H20" s="29"/>
      <c r="I20" s="29"/>
    </row>
    <row r="21" spans="1:9" ht="24.95" customHeight="1" x14ac:dyDescent="0.25">
      <c r="A21" s="29"/>
      <c r="B21" s="76"/>
      <c r="C21" s="76"/>
      <c r="D21" s="27"/>
      <c r="E21" s="29"/>
      <c r="F21" s="30"/>
      <c r="G21" s="29"/>
      <c r="H21" s="29"/>
      <c r="I21" s="29"/>
    </row>
    <row r="22" spans="1:9" ht="24.95" customHeight="1" x14ac:dyDescent="0.25">
      <c r="A22" s="29"/>
      <c r="B22" s="76"/>
      <c r="C22" s="76"/>
      <c r="D22" s="27"/>
      <c r="E22" s="29"/>
      <c r="F22" s="30"/>
      <c r="G22" s="29"/>
      <c r="H22" s="29"/>
      <c r="I22" s="29"/>
    </row>
    <row r="23" spans="1:9" ht="24.95" customHeight="1" x14ac:dyDescent="0.25">
      <c r="A23" s="29"/>
      <c r="B23" s="76"/>
      <c r="C23" s="76"/>
      <c r="D23" s="27"/>
      <c r="E23" s="29"/>
      <c r="F23" s="30"/>
      <c r="G23" s="29"/>
      <c r="H23" s="29"/>
      <c r="I23" s="29"/>
    </row>
    <row r="24" spans="1:9" ht="24.95" customHeight="1" x14ac:dyDescent="0.25">
      <c r="A24" s="29"/>
      <c r="B24" s="76"/>
      <c r="C24" s="76"/>
      <c r="D24" s="27"/>
      <c r="E24" s="29"/>
      <c r="F24" s="30"/>
      <c r="G24" s="29"/>
      <c r="H24" s="29"/>
      <c r="I24" s="29"/>
    </row>
    <row r="25" spans="1:9" ht="24.95" customHeight="1" x14ac:dyDescent="0.25">
      <c r="A25" s="29"/>
      <c r="B25" s="76"/>
      <c r="C25" s="76"/>
      <c r="D25" s="27"/>
      <c r="E25" s="29"/>
      <c r="F25" s="30"/>
      <c r="G25" s="29"/>
      <c r="H25" s="29"/>
      <c r="I25" s="29"/>
    </row>
    <row r="26" spans="1:9" ht="24.95" customHeight="1" x14ac:dyDescent="0.25">
      <c r="A26" s="29"/>
      <c r="B26" s="76"/>
      <c r="C26" s="76"/>
      <c r="D26" s="27"/>
      <c r="E26" s="29"/>
      <c r="F26" s="30"/>
      <c r="G26" s="29"/>
      <c r="H26" s="29"/>
      <c r="I26" s="29"/>
    </row>
    <row r="27" spans="1:9" ht="24.95" customHeight="1" x14ac:dyDescent="0.25">
      <c r="A27" s="29"/>
      <c r="B27" s="76"/>
      <c r="C27" s="76"/>
      <c r="D27" s="27"/>
      <c r="E27" s="29"/>
      <c r="F27" s="30"/>
      <c r="G27" s="29"/>
      <c r="H27" s="29"/>
      <c r="I27" s="29"/>
    </row>
    <row r="28" spans="1:9" ht="24.95" customHeight="1" x14ac:dyDescent="0.25">
      <c r="A28" s="29"/>
      <c r="B28" s="76"/>
      <c r="C28" s="76"/>
      <c r="D28" s="27"/>
      <c r="E28" s="29"/>
      <c r="F28" s="30"/>
      <c r="G28" s="29"/>
      <c r="H28" s="29"/>
      <c r="I28" s="29"/>
    </row>
    <row r="29" spans="1:9" ht="24.95" customHeight="1" x14ac:dyDescent="0.25">
      <c r="A29" s="29"/>
      <c r="B29" s="76"/>
      <c r="C29" s="76"/>
      <c r="D29" s="27"/>
      <c r="E29" s="29"/>
      <c r="F29" s="30"/>
      <c r="G29" s="29"/>
      <c r="H29" s="29"/>
      <c r="I29" s="29"/>
    </row>
    <row r="30" spans="1:9" ht="24.95" customHeight="1" x14ac:dyDescent="0.25">
      <c r="A30" s="29"/>
      <c r="B30" s="76"/>
      <c r="C30" s="76"/>
      <c r="D30" s="27"/>
      <c r="E30" s="29"/>
      <c r="F30" s="30"/>
      <c r="G30" s="29"/>
      <c r="H30" s="29"/>
      <c r="I30" s="29"/>
    </row>
    <row r="31" spans="1:9" ht="24.95" customHeight="1" x14ac:dyDescent="0.25">
      <c r="A31" s="29"/>
      <c r="B31" s="76"/>
      <c r="C31" s="76"/>
      <c r="D31" s="27"/>
      <c r="E31" s="29"/>
      <c r="F31" s="30"/>
      <c r="G31" s="29"/>
      <c r="H31" s="29"/>
      <c r="I31" s="29"/>
    </row>
    <row r="32" spans="1:9" ht="24.95" customHeight="1" x14ac:dyDescent="0.25">
      <c r="A32" s="29"/>
      <c r="B32" s="76"/>
      <c r="C32" s="76"/>
      <c r="D32" s="27"/>
      <c r="E32" s="29"/>
      <c r="F32" s="30"/>
      <c r="G32" s="29"/>
      <c r="H32" s="29"/>
      <c r="I32" s="29"/>
    </row>
    <row r="33" spans="1:9" ht="24.95" customHeight="1" x14ac:dyDescent="0.25">
      <c r="A33" s="29"/>
      <c r="B33" s="76"/>
      <c r="C33" s="76"/>
      <c r="D33" s="27"/>
      <c r="E33" s="29"/>
      <c r="F33" s="30"/>
      <c r="G33" s="29"/>
      <c r="H33" s="29"/>
      <c r="I33" s="29"/>
    </row>
    <row r="34" spans="1:9" ht="24.95" customHeight="1" x14ac:dyDescent="0.25">
      <c r="A34" s="29"/>
      <c r="B34" s="76"/>
      <c r="C34" s="76"/>
      <c r="D34" s="27"/>
      <c r="E34" s="29"/>
      <c r="F34" s="30"/>
      <c r="G34" s="29"/>
      <c r="H34" s="29"/>
      <c r="I34" s="29"/>
    </row>
    <row r="35" spans="1:9" ht="24.95" customHeight="1" x14ac:dyDescent="0.25">
      <c r="A35" s="29"/>
      <c r="B35" s="76"/>
      <c r="C35" s="76"/>
      <c r="D35" s="27"/>
      <c r="E35" s="29"/>
      <c r="F35" s="30"/>
      <c r="G35" s="29"/>
      <c r="H35" s="29"/>
      <c r="I35" s="29"/>
    </row>
    <row r="36" spans="1:9" ht="24.95" customHeight="1" x14ac:dyDescent="0.25">
      <c r="A36" s="29"/>
      <c r="B36" s="76"/>
      <c r="C36" s="76"/>
      <c r="D36" s="27"/>
      <c r="E36" s="29"/>
      <c r="F36" s="30"/>
      <c r="G36" s="29"/>
      <c r="H36" s="29"/>
      <c r="I36" s="29"/>
    </row>
    <row r="37" spans="1:9" ht="24.95" customHeight="1" x14ac:dyDescent="0.25">
      <c r="A37" s="29"/>
      <c r="B37" s="76"/>
      <c r="C37" s="76"/>
      <c r="D37" s="27"/>
      <c r="E37" s="29"/>
      <c r="F37" s="30"/>
      <c r="G37" s="29"/>
      <c r="H37" s="29"/>
      <c r="I37" s="29"/>
    </row>
    <row r="38" spans="1:9" ht="24.95" customHeight="1" x14ac:dyDescent="0.25">
      <c r="A38" s="29"/>
      <c r="B38" s="76"/>
      <c r="C38" s="76"/>
      <c r="D38" s="27"/>
      <c r="E38" s="29"/>
      <c r="F38" s="30"/>
      <c r="G38" s="29"/>
      <c r="H38" s="29"/>
      <c r="I38" s="29"/>
    </row>
    <row r="39" spans="1:9" ht="24.95" customHeight="1" x14ac:dyDescent="0.25">
      <c r="A39" s="29"/>
      <c r="B39" s="76"/>
      <c r="C39" s="76"/>
      <c r="D39" s="27"/>
      <c r="E39" s="29"/>
      <c r="F39" s="30"/>
      <c r="G39" s="29"/>
      <c r="H39" s="29"/>
      <c r="I39" s="29"/>
    </row>
    <row r="40" spans="1:9" ht="24.95" customHeight="1" x14ac:dyDescent="0.25">
      <c r="A40" s="29"/>
      <c r="B40" s="76"/>
      <c r="C40" s="76"/>
      <c r="D40" s="27"/>
      <c r="E40" s="29"/>
      <c r="F40" s="30"/>
      <c r="G40" s="29"/>
      <c r="H40" s="29"/>
      <c r="I40" s="29"/>
    </row>
    <row r="41" spans="1:9" ht="24.95" customHeight="1" x14ac:dyDescent="0.25">
      <c r="A41" s="29"/>
      <c r="B41" s="76"/>
      <c r="C41" s="76"/>
      <c r="D41" s="27"/>
      <c r="E41" s="29"/>
      <c r="F41" s="30"/>
      <c r="G41" s="29"/>
      <c r="H41" s="29"/>
      <c r="I41" s="29"/>
    </row>
    <row r="42" spans="1:9" ht="24.95" customHeight="1" x14ac:dyDescent="0.25">
      <c r="A42" s="29"/>
      <c r="B42" s="76"/>
      <c r="C42" s="76"/>
      <c r="D42" s="27"/>
      <c r="E42" s="29"/>
      <c r="F42" s="30"/>
      <c r="G42" s="29"/>
      <c r="H42" s="29"/>
      <c r="I42" s="29"/>
    </row>
    <row r="43" spans="1:9" ht="24.95" customHeight="1" x14ac:dyDescent="0.25">
      <c r="A43" s="29"/>
      <c r="B43" s="76"/>
      <c r="C43" s="76"/>
      <c r="D43" s="27"/>
      <c r="E43" s="29"/>
      <c r="F43" s="30"/>
      <c r="G43" s="29"/>
      <c r="H43" s="29"/>
      <c r="I43" s="29"/>
    </row>
    <row r="44" spans="1:9" ht="24.95" customHeight="1" x14ac:dyDescent="0.25">
      <c r="A44" s="29"/>
      <c r="B44" s="76"/>
      <c r="C44" s="76"/>
      <c r="D44" s="27"/>
      <c r="E44" s="29"/>
      <c r="F44" s="30"/>
      <c r="G44" s="29"/>
      <c r="H44" s="29"/>
      <c r="I44" s="29"/>
    </row>
    <row r="45" spans="1:9" ht="24.95" customHeight="1" x14ac:dyDescent="0.25">
      <c r="A45" s="29"/>
      <c r="B45" s="76"/>
      <c r="C45" s="76"/>
      <c r="D45" s="27"/>
      <c r="E45" s="29"/>
      <c r="F45" s="30"/>
      <c r="G45" s="29"/>
      <c r="H45" s="29"/>
      <c r="I45" s="29"/>
    </row>
    <row r="46" spans="1:9" ht="24.95" customHeight="1" x14ac:dyDescent="0.25">
      <c r="A46" s="29"/>
      <c r="B46" s="76"/>
      <c r="C46" s="76"/>
      <c r="D46" s="27"/>
      <c r="E46" s="29"/>
      <c r="F46" s="30"/>
      <c r="G46" s="29"/>
      <c r="H46" s="29"/>
      <c r="I46" s="29"/>
    </row>
    <row r="47" spans="1:9" ht="24.95" customHeight="1" x14ac:dyDescent="0.25">
      <c r="A47" s="29"/>
      <c r="B47" s="76"/>
      <c r="C47" s="76"/>
      <c r="D47" s="27"/>
      <c r="E47" s="29"/>
      <c r="F47" s="30"/>
      <c r="G47" s="29"/>
      <c r="H47" s="29"/>
      <c r="I47" s="29"/>
    </row>
    <row r="48" spans="1:9" ht="24.95" customHeight="1" x14ac:dyDescent="0.25">
      <c r="A48" s="29"/>
      <c r="B48" s="76"/>
      <c r="C48" s="76"/>
      <c r="D48" s="27"/>
      <c r="E48" s="29"/>
      <c r="F48" s="30"/>
      <c r="G48" s="29"/>
      <c r="H48" s="29"/>
      <c r="I48" s="29"/>
    </row>
    <row r="49" spans="1:9" ht="24.95" customHeight="1" x14ac:dyDescent="0.25">
      <c r="A49" s="29"/>
      <c r="B49" s="76"/>
      <c r="C49" s="76"/>
      <c r="D49" s="27"/>
      <c r="E49" s="29"/>
      <c r="F49" s="30"/>
      <c r="G49" s="29"/>
      <c r="H49" s="29"/>
      <c r="I49" s="29"/>
    </row>
    <row r="50" spans="1:9" ht="24.95" customHeight="1" x14ac:dyDescent="0.25">
      <c r="A50" s="29"/>
      <c r="B50" s="76"/>
      <c r="C50" s="76"/>
      <c r="D50" s="27"/>
      <c r="E50" s="29"/>
      <c r="F50" s="30"/>
      <c r="G50" s="29"/>
      <c r="H50" s="29"/>
      <c r="I50" s="29"/>
    </row>
    <row r="51" spans="1:9" ht="24.95" customHeight="1" x14ac:dyDescent="0.25">
      <c r="A51" s="29"/>
      <c r="B51" s="76"/>
      <c r="C51" s="76"/>
      <c r="D51" s="27"/>
      <c r="E51" s="29"/>
      <c r="F51" s="30"/>
      <c r="G51" s="29"/>
      <c r="H51" s="29"/>
      <c r="I51" s="29"/>
    </row>
    <row r="52" spans="1:9" ht="24.95" customHeight="1" x14ac:dyDescent="0.25">
      <c r="A52" s="29"/>
      <c r="B52" s="76"/>
      <c r="C52" s="76"/>
      <c r="D52" s="27"/>
      <c r="E52" s="29"/>
      <c r="F52" s="30"/>
      <c r="G52" s="29"/>
      <c r="H52" s="29"/>
      <c r="I52" s="29"/>
    </row>
    <row r="53" spans="1:9" ht="24.95" customHeight="1" x14ac:dyDescent="0.25">
      <c r="A53" s="29"/>
      <c r="B53" s="76"/>
      <c r="C53" s="76"/>
      <c r="D53" s="27"/>
      <c r="E53" s="29"/>
      <c r="F53" s="30"/>
      <c r="G53" s="29"/>
      <c r="H53" s="29"/>
      <c r="I53" s="29"/>
    </row>
    <row r="54" spans="1:9" ht="24.95" customHeight="1" x14ac:dyDescent="0.25">
      <c r="A54" s="29"/>
      <c r="B54" s="76"/>
      <c r="C54" s="76"/>
      <c r="D54" s="27"/>
      <c r="E54" s="29"/>
      <c r="F54" s="30"/>
      <c r="G54" s="29"/>
      <c r="H54" s="29"/>
      <c r="I54" s="29"/>
    </row>
    <row r="55" spans="1:9" ht="24.95" customHeight="1" x14ac:dyDescent="0.25">
      <c r="A55" s="29"/>
      <c r="B55" s="76"/>
      <c r="C55" s="76"/>
      <c r="D55" s="27"/>
      <c r="E55" s="29"/>
      <c r="F55" s="30"/>
      <c r="G55" s="29"/>
      <c r="H55" s="29"/>
      <c r="I55" s="29"/>
    </row>
    <row r="56" spans="1:9" ht="24.95" customHeight="1" x14ac:dyDescent="0.25">
      <c r="A56" s="29"/>
      <c r="B56" s="76"/>
      <c r="C56" s="76"/>
      <c r="D56" s="27"/>
      <c r="E56" s="29"/>
      <c r="F56" s="30"/>
      <c r="G56" s="29"/>
      <c r="H56" s="29"/>
      <c r="I56" s="29"/>
    </row>
    <row r="57" spans="1:9" ht="24.95" customHeight="1" x14ac:dyDescent="0.25">
      <c r="A57" s="29"/>
      <c r="B57" s="76"/>
      <c r="C57" s="76"/>
      <c r="D57" s="27"/>
      <c r="E57" s="29"/>
      <c r="F57" s="30"/>
      <c r="G57" s="29"/>
      <c r="H57" s="29"/>
      <c r="I57" s="29"/>
    </row>
    <row r="58" spans="1:9" ht="24.95" customHeight="1" x14ac:dyDescent="0.25">
      <c r="A58" s="29"/>
      <c r="B58" s="76"/>
      <c r="C58" s="76"/>
      <c r="D58" s="27"/>
      <c r="E58" s="29"/>
      <c r="F58" s="30"/>
      <c r="G58" s="29"/>
      <c r="H58" s="29"/>
      <c r="I58" s="29"/>
    </row>
    <row r="59" spans="1:9" ht="24.95" customHeight="1" x14ac:dyDescent="0.25">
      <c r="A59" s="29"/>
      <c r="B59" s="76"/>
      <c r="C59" s="76"/>
      <c r="D59" s="27"/>
      <c r="E59" s="29"/>
      <c r="F59" s="30"/>
      <c r="G59" s="29"/>
      <c r="H59" s="29"/>
      <c r="I59" s="29"/>
    </row>
    <row r="60" spans="1:9" ht="24.95" customHeight="1" x14ac:dyDescent="0.25">
      <c r="A60" s="29"/>
      <c r="B60" s="76"/>
      <c r="C60" s="76"/>
      <c r="D60" s="27"/>
      <c r="E60" s="29"/>
      <c r="F60" s="30"/>
      <c r="G60" s="29"/>
      <c r="H60" s="29"/>
      <c r="I60" s="29"/>
    </row>
    <row r="61" spans="1:9" ht="24.95" customHeight="1" x14ac:dyDescent="0.25">
      <c r="A61" s="29"/>
      <c r="B61" s="76"/>
      <c r="C61" s="76"/>
      <c r="D61" s="27"/>
      <c r="E61" s="29"/>
      <c r="F61" s="30"/>
      <c r="G61" s="29"/>
      <c r="H61" s="29"/>
      <c r="I61" s="29"/>
    </row>
  </sheetData>
  <sheetProtection sheet="1" objects="1" scenarios="1"/>
  <mergeCells count="1">
    <mergeCell ref="A7:I7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13 строк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F0"/>
  </sheetPr>
  <dimension ref="A1:Q61"/>
  <sheetViews>
    <sheetView view="pageBreakPreview" zoomScale="85" zoomScaleSheetLayoutView="85" workbookViewId="0">
      <selection activeCell="D72" sqref="D72"/>
    </sheetView>
  </sheetViews>
  <sheetFormatPr defaultRowHeight="15" x14ac:dyDescent="0.25"/>
  <cols>
    <col min="1" max="3" width="15.7109375" style="2" customWidth="1"/>
    <col min="4" max="4" width="25.7109375" style="2" customWidth="1"/>
    <col min="5" max="5" width="13.7109375" style="2" customWidth="1"/>
    <col min="6" max="7" width="11.7109375" style="2" customWidth="1"/>
    <col min="8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s="261" customFormat="1" ht="21" customHeight="1" x14ac:dyDescent="0.25">
      <c r="A1" s="277" t="s">
        <v>91</v>
      </c>
      <c r="B1" s="276"/>
      <c r="C1" s="276"/>
      <c r="D1" s="275" t="s">
        <v>396</v>
      </c>
    </row>
    <row r="2" spans="1:17" s="261" customFormat="1" ht="21" customHeight="1" x14ac:dyDescent="0.25">
      <c r="A2" s="274" t="s">
        <v>386</v>
      </c>
      <c r="B2" s="272"/>
      <c r="C2" s="273" t="s">
        <v>387</v>
      </c>
      <c r="D2" s="272"/>
    </row>
    <row r="3" spans="1:17" s="261" customFormat="1" ht="21" customHeight="1" x14ac:dyDescent="0.25">
      <c r="A3" s="274" t="s">
        <v>92</v>
      </c>
      <c r="B3" s="272"/>
      <c r="C3" s="273" t="s">
        <v>86</v>
      </c>
      <c r="D3" s="272"/>
    </row>
    <row r="4" spans="1:17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7" s="261" customFormat="1" ht="21" customHeight="1" x14ac:dyDescent="0.25">
      <c r="A5" s="274" t="s">
        <v>93</v>
      </c>
      <c r="B5" s="272"/>
      <c r="C5" s="273" t="s">
        <v>87</v>
      </c>
      <c r="D5" s="272"/>
    </row>
    <row r="6" spans="1:17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7" s="261" customFormat="1" ht="46.5" x14ac:dyDescent="0.25">
      <c r="A7" s="735" t="s">
        <v>327</v>
      </c>
      <c r="B7" s="735"/>
      <c r="C7" s="735"/>
      <c r="D7" s="735"/>
      <c r="E7" s="735"/>
      <c r="F7" s="735"/>
      <c r="G7" s="735"/>
      <c r="H7" s="735"/>
      <c r="I7" s="735"/>
    </row>
    <row r="8" spans="1:17" s="24" customFormat="1" ht="21" customHeight="1" x14ac:dyDescent="0.25">
      <c r="A8" s="260" t="s">
        <v>403</v>
      </c>
      <c r="B8" s="68" t="s">
        <v>185</v>
      </c>
      <c r="C8" s="68" t="s">
        <v>185</v>
      </c>
      <c r="D8" s="31"/>
      <c r="E8" s="68" t="s">
        <v>190</v>
      </c>
      <c r="F8" s="68" t="s">
        <v>191</v>
      </c>
      <c r="G8" s="68" t="s">
        <v>191</v>
      </c>
      <c r="H8" s="68" t="s">
        <v>192</v>
      </c>
      <c r="I8" s="68" t="s">
        <v>192</v>
      </c>
    </row>
    <row r="9" spans="1:17" ht="37.5" x14ac:dyDescent="0.25">
      <c r="A9" s="65" t="s">
        <v>0</v>
      </c>
      <c r="B9" s="67" t="s">
        <v>90</v>
      </c>
      <c r="C9" s="66" t="s">
        <v>102</v>
      </c>
      <c r="D9" s="66" t="s">
        <v>88</v>
      </c>
      <c r="E9" s="67" t="s">
        <v>189</v>
      </c>
      <c r="F9" s="67" t="s">
        <v>103</v>
      </c>
      <c r="G9" s="234" t="s">
        <v>315</v>
      </c>
      <c r="H9" s="67" t="s">
        <v>124</v>
      </c>
      <c r="I9" s="67" t="s">
        <v>125</v>
      </c>
      <c r="P9" s="25"/>
      <c r="Q9" s="26"/>
    </row>
    <row r="10" spans="1:17" ht="24.95" customHeight="1" x14ac:dyDescent="0.25">
      <c r="A10" s="29"/>
      <c r="B10" s="76"/>
      <c r="C10" s="76"/>
      <c r="D10" s="27"/>
      <c r="E10" s="29"/>
      <c r="F10" s="30"/>
      <c r="G10" s="30"/>
      <c r="H10" s="29"/>
      <c r="I10" s="29"/>
    </row>
    <row r="11" spans="1:17" ht="24.95" customHeight="1" x14ac:dyDescent="0.25">
      <c r="A11" s="29"/>
      <c r="B11" s="76"/>
      <c r="C11" s="76"/>
      <c r="D11" s="27"/>
      <c r="E11" s="29"/>
      <c r="F11" s="30"/>
      <c r="G11" s="30" t="s">
        <v>94</v>
      </c>
      <c r="H11" s="29"/>
      <c r="I11" s="29"/>
    </row>
    <row r="12" spans="1:17" ht="24.95" customHeight="1" x14ac:dyDescent="0.25">
      <c r="A12" s="29"/>
      <c r="B12" s="76"/>
      <c r="C12" s="76"/>
      <c r="D12" s="27"/>
      <c r="E12" s="29"/>
      <c r="F12" s="30"/>
      <c r="G12" s="30"/>
      <c r="H12" s="29"/>
      <c r="I12" s="29"/>
    </row>
    <row r="13" spans="1:17" ht="24.95" customHeight="1" x14ac:dyDescent="0.25">
      <c r="A13" s="29"/>
      <c r="B13" s="76"/>
      <c r="C13" s="76"/>
      <c r="D13" s="27"/>
      <c r="E13" s="29"/>
      <c r="F13" s="30"/>
      <c r="G13" s="30"/>
      <c r="H13" s="29"/>
      <c r="I13" s="29"/>
    </row>
    <row r="14" spans="1:17" ht="24.95" customHeight="1" x14ac:dyDescent="0.25">
      <c r="A14" s="29"/>
      <c r="B14" s="76"/>
      <c r="C14" s="76"/>
      <c r="D14" s="27"/>
      <c r="E14" s="29"/>
      <c r="F14" s="30"/>
      <c r="G14" s="30"/>
      <c r="H14" s="29"/>
      <c r="I14" s="29"/>
    </row>
    <row r="15" spans="1:17" ht="24.95" customHeight="1" x14ac:dyDescent="0.25">
      <c r="A15" s="29"/>
      <c r="B15" s="76"/>
      <c r="C15" s="76"/>
      <c r="D15" s="27"/>
      <c r="E15" s="29"/>
      <c r="F15" s="30"/>
      <c r="G15" s="30"/>
      <c r="H15" s="29"/>
      <c r="I15" s="29"/>
    </row>
    <row r="16" spans="1:17" ht="24.95" customHeight="1" x14ac:dyDescent="0.25">
      <c r="A16" s="29"/>
      <c r="B16" s="76"/>
      <c r="C16" s="76"/>
      <c r="D16" s="27"/>
      <c r="E16" s="29"/>
      <c r="F16" s="30"/>
      <c r="G16" s="30"/>
      <c r="H16" s="29"/>
      <c r="I16" s="29"/>
    </row>
    <row r="17" spans="1:9" ht="24.95" customHeight="1" x14ac:dyDescent="0.25">
      <c r="A17" s="29"/>
      <c r="B17" s="76"/>
      <c r="C17" s="76"/>
      <c r="D17" s="27"/>
      <c r="E17" s="29"/>
      <c r="F17" s="30"/>
      <c r="G17" s="30"/>
      <c r="H17" s="29"/>
      <c r="I17" s="29"/>
    </row>
    <row r="18" spans="1:9" ht="24.95" customHeight="1" x14ac:dyDescent="0.25">
      <c r="A18" s="29"/>
      <c r="B18" s="76"/>
      <c r="C18" s="76"/>
      <c r="D18" s="27"/>
      <c r="E18" s="29"/>
      <c r="F18" s="30"/>
      <c r="G18" s="30"/>
      <c r="H18" s="29"/>
      <c r="I18" s="29"/>
    </row>
    <row r="19" spans="1:9" ht="24.95" customHeight="1" x14ac:dyDescent="0.25">
      <c r="A19" s="29"/>
      <c r="B19" s="76"/>
      <c r="C19" s="76"/>
      <c r="D19" s="27"/>
      <c r="E19" s="29"/>
      <c r="F19" s="30"/>
      <c r="G19" s="30"/>
      <c r="H19" s="29"/>
      <c r="I19" s="29"/>
    </row>
    <row r="20" spans="1:9" ht="24.95" customHeight="1" x14ac:dyDescent="0.25">
      <c r="A20" s="29"/>
      <c r="B20" s="76"/>
      <c r="C20" s="76"/>
      <c r="D20" s="27"/>
      <c r="E20" s="29"/>
      <c r="F20" s="30"/>
      <c r="G20" s="30"/>
      <c r="H20" s="29"/>
      <c r="I20" s="29"/>
    </row>
    <row r="21" spans="1:9" ht="24.95" customHeight="1" x14ac:dyDescent="0.25">
      <c r="A21" s="29"/>
      <c r="B21" s="76"/>
      <c r="C21" s="76"/>
      <c r="D21" s="27"/>
      <c r="E21" s="29"/>
      <c r="F21" s="30"/>
      <c r="G21" s="30"/>
      <c r="H21" s="29"/>
      <c r="I21" s="29"/>
    </row>
    <row r="22" spans="1:9" ht="24.95" customHeight="1" x14ac:dyDescent="0.25">
      <c r="A22" s="29"/>
      <c r="B22" s="76"/>
      <c r="C22" s="76"/>
      <c r="D22" s="27"/>
      <c r="E22" s="29"/>
      <c r="F22" s="30"/>
      <c r="G22" s="30"/>
      <c r="H22" s="29"/>
      <c r="I22" s="29"/>
    </row>
    <row r="23" spans="1:9" ht="24.95" customHeight="1" x14ac:dyDescent="0.25">
      <c r="A23" s="29"/>
      <c r="B23" s="76"/>
      <c r="C23" s="76"/>
      <c r="D23" s="27"/>
      <c r="E23" s="29"/>
      <c r="F23" s="30"/>
      <c r="G23" s="30"/>
      <c r="H23" s="29"/>
      <c r="I23" s="29"/>
    </row>
    <row r="24" spans="1:9" ht="24.95" customHeight="1" x14ac:dyDescent="0.25">
      <c r="A24" s="29"/>
      <c r="B24" s="76"/>
      <c r="C24" s="76"/>
      <c r="D24" s="27"/>
      <c r="E24" s="29"/>
      <c r="F24" s="30"/>
      <c r="G24" s="30"/>
      <c r="H24" s="29"/>
      <c r="I24" s="29"/>
    </row>
    <row r="25" spans="1:9" ht="24.95" customHeight="1" x14ac:dyDescent="0.25">
      <c r="A25" s="29"/>
      <c r="B25" s="76"/>
      <c r="C25" s="76"/>
      <c r="D25" s="27"/>
      <c r="E25" s="29"/>
      <c r="F25" s="30"/>
      <c r="G25" s="30"/>
      <c r="H25" s="29"/>
      <c r="I25" s="29"/>
    </row>
    <row r="26" spans="1:9" ht="24.95" customHeight="1" x14ac:dyDescent="0.25">
      <c r="A26" s="29"/>
      <c r="B26" s="76"/>
      <c r="C26" s="76"/>
      <c r="D26" s="27"/>
      <c r="E26" s="29"/>
      <c r="F26" s="30"/>
      <c r="G26" s="30"/>
      <c r="H26" s="29"/>
      <c r="I26" s="29"/>
    </row>
    <row r="27" spans="1:9" ht="24.95" customHeight="1" x14ac:dyDescent="0.25">
      <c r="A27" s="29"/>
      <c r="B27" s="76"/>
      <c r="C27" s="76"/>
      <c r="D27" s="27"/>
      <c r="E27" s="29"/>
      <c r="F27" s="30"/>
      <c r="G27" s="30"/>
      <c r="H27" s="29"/>
      <c r="I27" s="29"/>
    </row>
    <row r="28" spans="1:9" ht="24.95" customHeight="1" x14ac:dyDescent="0.25">
      <c r="A28" s="29"/>
      <c r="B28" s="76"/>
      <c r="C28" s="76"/>
      <c r="D28" s="27"/>
      <c r="E28" s="29"/>
      <c r="F28" s="30"/>
      <c r="G28" s="30"/>
      <c r="H28" s="29"/>
      <c r="I28" s="29"/>
    </row>
    <row r="29" spans="1:9" ht="24.95" customHeight="1" x14ac:dyDescent="0.25">
      <c r="A29" s="29"/>
      <c r="B29" s="76"/>
      <c r="C29" s="76"/>
      <c r="D29" s="27"/>
      <c r="E29" s="29"/>
      <c r="F29" s="30"/>
      <c r="G29" s="30"/>
      <c r="H29" s="29"/>
      <c r="I29" s="29"/>
    </row>
    <row r="30" spans="1:9" ht="24.95" customHeight="1" x14ac:dyDescent="0.25">
      <c r="A30" s="29"/>
      <c r="B30" s="76"/>
      <c r="C30" s="76"/>
      <c r="D30" s="27"/>
      <c r="E30" s="29"/>
      <c r="F30" s="30"/>
      <c r="G30" s="30"/>
      <c r="H30" s="29"/>
      <c r="I30" s="29"/>
    </row>
    <row r="31" spans="1:9" ht="24.95" customHeight="1" x14ac:dyDescent="0.25">
      <c r="A31" s="29"/>
      <c r="B31" s="76"/>
      <c r="C31" s="76"/>
      <c r="D31" s="27"/>
      <c r="E31" s="29"/>
      <c r="F31" s="30"/>
      <c r="G31" s="30"/>
      <c r="H31" s="29"/>
      <c r="I31" s="29"/>
    </row>
    <row r="32" spans="1:9" ht="24.95" customHeight="1" x14ac:dyDescent="0.25">
      <c r="A32" s="29"/>
      <c r="B32" s="76"/>
      <c r="C32" s="76"/>
      <c r="D32" s="27"/>
      <c r="E32" s="29"/>
      <c r="F32" s="30"/>
      <c r="G32" s="30"/>
      <c r="H32" s="29"/>
      <c r="I32" s="29"/>
    </row>
    <row r="33" spans="1:9" ht="24.95" customHeight="1" x14ac:dyDescent="0.25">
      <c r="A33" s="29"/>
      <c r="B33" s="76"/>
      <c r="C33" s="76"/>
      <c r="D33" s="27"/>
      <c r="E33" s="29"/>
      <c r="F33" s="30"/>
      <c r="G33" s="30"/>
      <c r="H33" s="29"/>
      <c r="I33" s="29"/>
    </row>
    <row r="34" spans="1:9" ht="24.95" customHeight="1" x14ac:dyDescent="0.25">
      <c r="A34" s="29"/>
      <c r="B34" s="76"/>
      <c r="C34" s="76"/>
      <c r="D34" s="27"/>
      <c r="E34" s="29"/>
      <c r="F34" s="30"/>
      <c r="G34" s="30"/>
      <c r="H34" s="29"/>
      <c r="I34" s="29"/>
    </row>
    <row r="35" spans="1:9" ht="24.95" customHeight="1" x14ac:dyDescent="0.25">
      <c r="A35" s="29"/>
      <c r="B35" s="76"/>
      <c r="C35" s="76"/>
      <c r="D35" s="27"/>
      <c r="E35" s="29"/>
      <c r="F35" s="30"/>
      <c r="G35" s="30"/>
      <c r="H35" s="29"/>
      <c r="I35" s="29"/>
    </row>
    <row r="36" spans="1:9" ht="24.95" customHeight="1" x14ac:dyDescent="0.25">
      <c r="A36" s="29"/>
      <c r="B36" s="76"/>
      <c r="C36" s="76"/>
      <c r="D36" s="27"/>
      <c r="E36" s="29"/>
      <c r="F36" s="30"/>
      <c r="G36" s="30"/>
      <c r="H36" s="29"/>
      <c r="I36" s="29"/>
    </row>
    <row r="37" spans="1:9" ht="24.95" customHeight="1" x14ac:dyDescent="0.25">
      <c r="A37" s="29"/>
      <c r="B37" s="76"/>
      <c r="C37" s="76"/>
      <c r="D37" s="27"/>
      <c r="E37" s="29"/>
      <c r="F37" s="30"/>
      <c r="G37" s="30"/>
      <c r="H37" s="29"/>
      <c r="I37" s="29"/>
    </row>
    <row r="38" spans="1:9" ht="24.95" customHeight="1" x14ac:dyDescent="0.25">
      <c r="A38" s="29"/>
      <c r="B38" s="76"/>
      <c r="C38" s="76"/>
      <c r="D38" s="27"/>
      <c r="E38" s="29"/>
      <c r="F38" s="30"/>
      <c r="G38" s="30"/>
      <c r="H38" s="29"/>
      <c r="I38" s="29"/>
    </row>
    <row r="39" spans="1:9" ht="24.95" customHeight="1" x14ac:dyDescent="0.25">
      <c r="A39" s="29"/>
      <c r="B39" s="76"/>
      <c r="C39" s="76"/>
      <c r="D39" s="27"/>
      <c r="E39" s="29"/>
      <c r="F39" s="30"/>
      <c r="G39" s="30"/>
      <c r="H39" s="29"/>
      <c r="I39" s="29"/>
    </row>
    <row r="40" spans="1:9" ht="24.95" customHeight="1" x14ac:dyDescent="0.25">
      <c r="A40" s="29"/>
      <c r="B40" s="76"/>
      <c r="C40" s="76"/>
      <c r="D40" s="27"/>
      <c r="E40" s="29"/>
      <c r="F40" s="30"/>
      <c r="G40" s="30"/>
      <c r="H40" s="29"/>
      <c r="I40" s="29"/>
    </row>
    <row r="41" spans="1:9" ht="24.95" customHeight="1" x14ac:dyDescent="0.25">
      <c r="A41" s="29"/>
      <c r="B41" s="76"/>
      <c r="C41" s="76"/>
      <c r="D41" s="27"/>
      <c r="E41" s="29"/>
      <c r="F41" s="30"/>
      <c r="G41" s="30"/>
      <c r="H41" s="29"/>
      <c r="I41" s="29"/>
    </row>
    <row r="42" spans="1:9" ht="24.95" customHeight="1" x14ac:dyDescent="0.25">
      <c r="A42" s="29"/>
      <c r="B42" s="76"/>
      <c r="C42" s="76"/>
      <c r="D42" s="27"/>
      <c r="E42" s="29"/>
      <c r="F42" s="30"/>
      <c r="G42" s="30"/>
      <c r="H42" s="29"/>
      <c r="I42" s="29"/>
    </row>
    <row r="43" spans="1:9" ht="24.95" customHeight="1" x14ac:dyDescent="0.25">
      <c r="A43" s="29"/>
      <c r="B43" s="76"/>
      <c r="C43" s="76"/>
      <c r="D43" s="27"/>
      <c r="E43" s="29"/>
      <c r="F43" s="30"/>
      <c r="G43" s="30"/>
      <c r="H43" s="29"/>
      <c r="I43" s="29"/>
    </row>
    <row r="44" spans="1:9" ht="24.95" customHeight="1" x14ac:dyDescent="0.25">
      <c r="A44" s="29"/>
      <c r="B44" s="76"/>
      <c r="C44" s="76"/>
      <c r="D44" s="27"/>
      <c r="E44" s="29"/>
      <c r="F44" s="30"/>
      <c r="G44" s="30"/>
      <c r="H44" s="29"/>
      <c r="I44" s="29"/>
    </row>
    <row r="45" spans="1:9" ht="24.95" customHeight="1" x14ac:dyDescent="0.25">
      <c r="A45" s="29"/>
      <c r="B45" s="76"/>
      <c r="C45" s="76"/>
      <c r="D45" s="27"/>
      <c r="E45" s="29"/>
      <c r="F45" s="30"/>
      <c r="G45" s="30"/>
      <c r="H45" s="29"/>
      <c r="I45" s="29"/>
    </row>
    <row r="46" spans="1:9" ht="24.95" customHeight="1" x14ac:dyDescent="0.25">
      <c r="A46" s="29"/>
      <c r="B46" s="76"/>
      <c r="C46" s="76"/>
      <c r="D46" s="27"/>
      <c r="E46" s="29"/>
      <c r="F46" s="30"/>
      <c r="G46" s="30"/>
      <c r="H46" s="29"/>
      <c r="I46" s="29"/>
    </row>
    <row r="47" spans="1:9" ht="24.95" customHeight="1" x14ac:dyDescent="0.25">
      <c r="A47" s="29"/>
      <c r="B47" s="76"/>
      <c r="C47" s="76"/>
      <c r="D47" s="27"/>
      <c r="E47" s="29"/>
      <c r="F47" s="30"/>
      <c r="G47" s="30"/>
      <c r="H47" s="29"/>
      <c r="I47" s="29"/>
    </row>
    <row r="48" spans="1:9" ht="24.95" customHeight="1" x14ac:dyDescent="0.25">
      <c r="A48" s="29"/>
      <c r="B48" s="76"/>
      <c r="C48" s="76"/>
      <c r="D48" s="27"/>
      <c r="E48" s="29"/>
      <c r="F48" s="30"/>
      <c r="G48" s="30"/>
      <c r="H48" s="29"/>
      <c r="I48" s="29"/>
    </row>
    <row r="49" spans="1:9" ht="24.95" customHeight="1" x14ac:dyDescent="0.25">
      <c r="A49" s="29"/>
      <c r="B49" s="76"/>
      <c r="C49" s="76"/>
      <c r="D49" s="27"/>
      <c r="E49" s="29"/>
      <c r="F49" s="30"/>
      <c r="G49" s="30"/>
      <c r="H49" s="29"/>
      <c r="I49" s="29"/>
    </row>
    <row r="50" spans="1:9" ht="24.95" customHeight="1" x14ac:dyDescent="0.25">
      <c r="A50" s="29"/>
      <c r="B50" s="76"/>
      <c r="C50" s="76"/>
      <c r="D50" s="27"/>
      <c r="E50" s="29"/>
      <c r="F50" s="30"/>
      <c r="G50" s="30"/>
      <c r="H50" s="29"/>
      <c r="I50" s="29"/>
    </row>
    <row r="51" spans="1:9" ht="24.95" customHeight="1" x14ac:dyDescent="0.25">
      <c r="A51" s="29"/>
      <c r="B51" s="76"/>
      <c r="C51" s="76"/>
      <c r="D51" s="27"/>
      <c r="E51" s="29"/>
      <c r="F51" s="30"/>
      <c r="G51" s="30"/>
      <c r="H51" s="29"/>
      <c r="I51" s="29"/>
    </row>
    <row r="52" spans="1:9" ht="24.95" customHeight="1" x14ac:dyDescent="0.25">
      <c r="A52" s="29"/>
      <c r="B52" s="76"/>
      <c r="C52" s="76"/>
      <c r="D52" s="27"/>
      <c r="E52" s="29"/>
      <c r="F52" s="30"/>
      <c r="G52" s="30"/>
      <c r="H52" s="29"/>
      <c r="I52" s="29"/>
    </row>
    <row r="53" spans="1:9" ht="24.95" customHeight="1" x14ac:dyDescent="0.25">
      <c r="A53" s="29"/>
      <c r="B53" s="76"/>
      <c r="C53" s="76"/>
      <c r="D53" s="27"/>
      <c r="E53" s="29"/>
      <c r="F53" s="30"/>
      <c r="G53" s="30"/>
      <c r="H53" s="29"/>
      <c r="I53" s="29"/>
    </row>
    <row r="54" spans="1:9" ht="24.95" customHeight="1" x14ac:dyDescent="0.25">
      <c r="A54" s="29"/>
      <c r="B54" s="76"/>
      <c r="C54" s="76"/>
      <c r="D54" s="27"/>
      <c r="E54" s="29"/>
      <c r="F54" s="30"/>
      <c r="G54" s="30"/>
      <c r="H54" s="29"/>
      <c r="I54" s="29"/>
    </row>
    <row r="55" spans="1:9" ht="24.95" customHeight="1" x14ac:dyDescent="0.25">
      <c r="A55" s="29"/>
      <c r="B55" s="76"/>
      <c r="C55" s="76"/>
      <c r="D55" s="27"/>
      <c r="E55" s="29"/>
      <c r="F55" s="30"/>
      <c r="G55" s="30"/>
      <c r="H55" s="29"/>
      <c r="I55" s="29"/>
    </row>
    <row r="56" spans="1:9" ht="24.95" customHeight="1" x14ac:dyDescent="0.25">
      <c r="A56" s="29"/>
      <c r="B56" s="76"/>
      <c r="C56" s="76"/>
      <c r="D56" s="27"/>
      <c r="E56" s="29"/>
      <c r="F56" s="30"/>
      <c r="G56" s="30"/>
      <c r="H56" s="29"/>
      <c r="I56" s="29"/>
    </row>
    <row r="57" spans="1:9" ht="24.95" customHeight="1" x14ac:dyDescent="0.25">
      <c r="A57" s="29"/>
      <c r="B57" s="76"/>
      <c r="C57" s="76"/>
      <c r="D57" s="27"/>
      <c r="E57" s="29"/>
      <c r="F57" s="30"/>
      <c r="G57" s="30"/>
      <c r="H57" s="29"/>
      <c r="I57" s="29"/>
    </row>
    <row r="58" spans="1:9" ht="24.95" customHeight="1" x14ac:dyDescent="0.25">
      <c r="A58" s="29"/>
      <c r="B58" s="76"/>
      <c r="C58" s="76"/>
      <c r="D58" s="27"/>
      <c r="E58" s="29"/>
      <c r="F58" s="30"/>
      <c r="G58" s="30"/>
      <c r="H58" s="29"/>
      <c r="I58" s="29"/>
    </row>
    <row r="59" spans="1:9" ht="24.95" customHeight="1" x14ac:dyDescent="0.25">
      <c r="A59" s="29"/>
      <c r="B59" s="76"/>
      <c r="C59" s="76"/>
      <c r="D59" s="27"/>
      <c r="E59" s="29"/>
      <c r="F59" s="30"/>
      <c r="G59" s="30"/>
      <c r="H59" s="29"/>
      <c r="I59" s="29"/>
    </row>
    <row r="60" spans="1:9" ht="24.95" customHeight="1" x14ac:dyDescent="0.25">
      <c r="A60" s="29"/>
      <c r="B60" s="76"/>
      <c r="C60" s="76"/>
      <c r="D60" s="27"/>
      <c r="E60" s="29"/>
      <c r="F60" s="30"/>
      <c r="G60" s="30"/>
      <c r="H60" s="29"/>
      <c r="I60" s="29"/>
    </row>
    <row r="61" spans="1:9" ht="24.95" customHeight="1" x14ac:dyDescent="0.25">
      <c r="A61" s="29"/>
      <c r="B61" s="76"/>
      <c r="C61" s="76"/>
      <c r="D61" s="27"/>
      <c r="E61" s="29"/>
      <c r="F61" s="30"/>
      <c r="G61" s="30"/>
      <c r="H61" s="29"/>
      <c r="I61" s="29"/>
    </row>
  </sheetData>
  <sheetProtection sheet="1" objects="1" scenarios="1"/>
  <mergeCells count="1">
    <mergeCell ref="A7:I7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13 строк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44"/>
  <sheetViews>
    <sheetView workbookViewId="0">
      <selection activeCell="D72" sqref="D72"/>
    </sheetView>
  </sheetViews>
  <sheetFormatPr defaultRowHeight="15" x14ac:dyDescent="0.25"/>
  <cols>
    <col min="1" max="1" width="91.5703125" customWidth="1"/>
  </cols>
  <sheetData>
    <row r="1" spans="1:1" ht="42" x14ac:dyDescent="0.35">
      <c r="A1" s="12" t="s">
        <v>177</v>
      </c>
    </row>
    <row r="2" spans="1:1" x14ac:dyDescent="0.25">
      <c r="A2" s="7"/>
    </row>
    <row r="3" spans="1:1" x14ac:dyDescent="0.25">
      <c r="A3" s="8" t="s">
        <v>128</v>
      </c>
    </row>
    <row r="4" spans="1:1" ht="30" x14ac:dyDescent="0.25">
      <c r="A4" s="7" t="s">
        <v>178</v>
      </c>
    </row>
    <row r="5" spans="1:1" x14ac:dyDescent="0.25">
      <c r="A5" s="7" t="s">
        <v>135</v>
      </c>
    </row>
    <row r="6" spans="1:1" x14ac:dyDescent="0.25">
      <c r="A6" s="7" t="s">
        <v>129</v>
      </c>
    </row>
    <row r="7" spans="1:1" s="1" customFormat="1" x14ac:dyDescent="0.25">
      <c r="A7" s="7"/>
    </row>
    <row r="8" spans="1:1" s="1" customFormat="1" x14ac:dyDescent="0.25">
      <c r="A8" s="7" t="s">
        <v>130</v>
      </c>
    </row>
    <row r="9" spans="1:1" x14ac:dyDescent="0.25">
      <c r="A9" s="8" t="s">
        <v>65</v>
      </c>
    </row>
    <row r="10" spans="1:1" x14ac:dyDescent="0.25">
      <c r="A10" s="7" t="s">
        <v>131</v>
      </c>
    </row>
    <row r="11" spans="1:1" ht="30" x14ac:dyDescent="0.25">
      <c r="A11" s="7" t="s">
        <v>132</v>
      </c>
    </row>
    <row r="12" spans="1:1" x14ac:dyDescent="0.25">
      <c r="A12" s="7"/>
    </row>
    <row r="13" spans="1:1" ht="30" x14ac:dyDescent="0.25">
      <c r="A13" s="8" t="s">
        <v>133</v>
      </c>
    </row>
    <row r="14" spans="1:1" x14ac:dyDescent="0.25">
      <c r="A14" s="7"/>
    </row>
    <row r="15" spans="1:1" x14ac:dyDescent="0.25">
      <c r="A15" s="8" t="s">
        <v>66</v>
      </c>
    </row>
    <row r="16" spans="1:1" x14ac:dyDescent="0.25">
      <c r="A16" s="7" t="s">
        <v>67</v>
      </c>
    </row>
    <row r="17" spans="1:1" x14ac:dyDescent="0.25">
      <c r="A17" s="7" t="s">
        <v>68</v>
      </c>
    </row>
    <row r="18" spans="1:1" x14ac:dyDescent="0.25">
      <c r="A18" s="7" t="s">
        <v>134</v>
      </c>
    </row>
    <row r="19" spans="1:1" x14ac:dyDescent="0.25">
      <c r="A19" s="7" t="s">
        <v>69</v>
      </c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</sheetData>
  <pageMargins left="0.39370078740157483" right="0.39370078740157483" top="0.39370078740157483" bottom="0.39370078740157483" header="0" footer="0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53"/>
  <sheetViews>
    <sheetView zoomScale="115" zoomScaleNormal="115" workbookViewId="0">
      <selection activeCell="B2" sqref="B2:J2"/>
    </sheetView>
  </sheetViews>
  <sheetFormatPr defaultRowHeight="12.75" x14ac:dyDescent="0.25"/>
  <cols>
    <col min="1" max="1" width="1.7109375" style="151" customWidth="1"/>
    <col min="2" max="2" width="6.7109375" style="151" customWidth="1"/>
    <col min="3" max="3" width="1.7109375" style="151" customWidth="1"/>
    <col min="4" max="4" width="6.7109375" style="151" customWidth="1"/>
    <col min="5" max="5" width="1.7109375" style="151" customWidth="1"/>
    <col min="6" max="6" width="6.7109375" style="151" customWidth="1"/>
    <col min="7" max="7" width="1.7109375" style="151" customWidth="1"/>
    <col min="8" max="8" width="6.7109375" style="151" customWidth="1"/>
    <col min="9" max="9" width="1.7109375" style="151" customWidth="1"/>
    <col min="10" max="10" width="6.7109375" style="151" customWidth="1"/>
    <col min="11" max="11" width="1.7109375" style="151" customWidth="1"/>
    <col min="12" max="13" width="3.28515625" style="151" customWidth="1"/>
    <col min="14" max="14" width="1.7109375" style="151" customWidth="1"/>
    <col min="15" max="15" width="6.7109375" style="151" customWidth="1"/>
    <col min="16" max="16" width="1.7109375" style="151" customWidth="1"/>
    <col min="17" max="17" width="6.7109375" style="151" customWidth="1"/>
    <col min="18" max="18" width="1.7109375" style="151" customWidth="1"/>
    <col min="19" max="19" width="6.7109375" style="151" customWidth="1"/>
    <col min="20" max="20" width="1.7109375" style="151" customWidth="1"/>
    <col min="21" max="21" width="6.7109375" style="151" customWidth="1"/>
    <col min="22" max="22" width="1.7109375" style="151" customWidth="1"/>
    <col min="23" max="23" width="6.7109375" style="151" customWidth="1"/>
    <col min="24" max="24" width="1.7109375" style="151" customWidth="1"/>
    <col min="25" max="16384" width="9.140625" style="151"/>
  </cols>
  <sheetData>
    <row r="1" spans="1:24" ht="3" customHeight="1" x14ac:dyDescent="0.25">
      <c r="A1" s="154"/>
      <c r="B1" s="155"/>
      <c r="C1" s="155"/>
      <c r="D1" s="155"/>
      <c r="E1" s="155"/>
      <c r="F1" s="155"/>
      <c r="G1" s="155"/>
      <c r="H1" s="155"/>
      <c r="I1" s="155"/>
      <c r="J1" s="155"/>
      <c r="K1" s="156"/>
      <c r="L1" s="175"/>
      <c r="M1" s="176"/>
      <c r="N1" s="154"/>
      <c r="O1" s="155"/>
      <c r="P1" s="155"/>
      <c r="Q1" s="155"/>
      <c r="R1" s="155"/>
      <c r="S1" s="155"/>
      <c r="T1" s="155"/>
      <c r="U1" s="155"/>
      <c r="V1" s="155"/>
      <c r="W1" s="155"/>
      <c r="X1" s="156"/>
    </row>
    <row r="2" spans="1:24" ht="12" customHeight="1" x14ac:dyDescent="0.25">
      <c r="A2" s="157"/>
      <c r="B2" s="526" t="str">
        <f>названиеКратко&amp;" / Контрольная карта"</f>
        <v>Skoda - 2019 / Контрольная карта</v>
      </c>
      <c r="C2" s="526"/>
      <c r="D2" s="526"/>
      <c r="E2" s="526"/>
      <c r="F2" s="526"/>
      <c r="G2" s="526"/>
      <c r="H2" s="526"/>
      <c r="I2" s="526"/>
      <c r="J2" s="526"/>
      <c r="K2" s="158"/>
      <c r="L2" s="175"/>
      <c r="M2" s="176"/>
      <c r="N2" s="157"/>
      <c r="O2" s="526" t="str">
        <f>названиеКратко&amp;" / Контрольная карта"</f>
        <v>Skoda - 2019 / Контрольная карта</v>
      </c>
      <c r="P2" s="526"/>
      <c r="Q2" s="526"/>
      <c r="R2" s="526"/>
      <c r="S2" s="526"/>
      <c r="T2" s="526"/>
      <c r="U2" s="526"/>
      <c r="V2" s="526"/>
      <c r="W2" s="526"/>
      <c r="X2" s="158"/>
    </row>
    <row r="3" spans="1:24" ht="3" customHeight="1" thickBot="1" x14ac:dyDescent="0.3">
      <c r="A3" s="157"/>
      <c r="B3" s="152"/>
      <c r="C3" s="152"/>
      <c r="D3" s="152"/>
      <c r="E3" s="152"/>
      <c r="F3" s="152"/>
      <c r="G3" s="152"/>
      <c r="H3" s="152"/>
      <c r="I3" s="152"/>
      <c r="J3" s="152"/>
      <c r="K3" s="158"/>
      <c r="L3" s="175"/>
      <c r="M3" s="176"/>
      <c r="N3" s="157"/>
      <c r="O3" s="152"/>
      <c r="P3" s="152"/>
      <c r="Q3" s="152"/>
      <c r="R3" s="152"/>
      <c r="S3" s="152"/>
      <c r="T3" s="152"/>
      <c r="U3" s="152"/>
      <c r="V3" s="152"/>
      <c r="W3" s="152"/>
      <c r="X3" s="158"/>
    </row>
    <row r="4" spans="1:24" ht="35.1" customHeight="1" thickBot="1" x14ac:dyDescent="0.3">
      <c r="A4" s="157"/>
      <c r="B4" s="152"/>
      <c r="C4" s="152"/>
      <c r="D4" s="527" t="s">
        <v>276</v>
      </c>
      <c r="E4" s="528"/>
      <c r="F4" s="529"/>
      <c r="G4" s="152"/>
      <c r="H4" s="527" t="s">
        <v>257</v>
      </c>
      <c r="I4" s="528"/>
      <c r="J4" s="529"/>
      <c r="K4" s="158"/>
      <c r="L4" s="175"/>
      <c r="M4" s="176"/>
      <c r="N4" s="157"/>
      <c r="O4" s="152"/>
      <c r="P4" s="152"/>
      <c r="Q4" s="527" t="s">
        <v>276</v>
      </c>
      <c r="R4" s="528"/>
      <c r="S4" s="529"/>
      <c r="T4" s="152"/>
      <c r="U4" s="527" t="s">
        <v>257</v>
      </c>
      <c r="V4" s="528"/>
      <c r="W4" s="529"/>
      <c r="X4" s="158"/>
    </row>
    <row r="5" spans="1:24" ht="12" customHeight="1" thickBot="1" x14ac:dyDescent="0.3">
      <c r="A5" s="157"/>
      <c r="B5" s="153"/>
      <c r="C5" s="152"/>
      <c r="D5" s="534" t="s">
        <v>52</v>
      </c>
      <c r="E5" s="534"/>
      <c r="F5" s="534"/>
      <c r="G5" s="152"/>
      <c r="H5" s="534" t="s">
        <v>120</v>
      </c>
      <c r="I5" s="534"/>
      <c r="J5" s="534"/>
      <c r="K5" s="158"/>
      <c r="L5" s="175"/>
      <c r="M5" s="176"/>
      <c r="N5" s="157"/>
      <c r="O5" s="153"/>
      <c r="P5" s="152"/>
      <c r="Q5" s="534" t="s">
        <v>52</v>
      </c>
      <c r="R5" s="534"/>
      <c r="S5" s="534"/>
      <c r="T5" s="152"/>
      <c r="U5" s="534" t="s">
        <v>120</v>
      </c>
      <c r="V5" s="534"/>
      <c r="W5" s="534"/>
      <c r="X5" s="158"/>
    </row>
    <row r="6" spans="1:24" ht="27" customHeight="1" thickBot="1" x14ac:dyDescent="0.3">
      <c r="A6" s="157"/>
      <c r="B6" s="421" t="str">
        <f>getMpWoName(_КВ0)</f>
        <v>КВ-0</v>
      </c>
      <c r="C6" s="152"/>
      <c r="D6" s="192" t="s">
        <v>251</v>
      </c>
      <c r="E6" s="191" t="s">
        <v>259</v>
      </c>
      <c r="F6" s="192" t="s">
        <v>252</v>
      </c>
      <c r="G6" s="152"/>
      <c r="H6" s="192" t="s">
        <v>251</v>
      </c>
      <c r="I6" s="191" t="s">
        <v>259</v>
      </c>
      <c r="J6" s="192" t="s">
        <v>252</v>
      </c>
      <c r="K6" s="158"/>
      <c r="L6" s="175"/>
      <c r="M6" s="176"/>
      <c r="N6" s="157"/>
      <c r="O6" s="468" t="str">
        <f>getMpWoName(_КВ0)</f>
        <v>КВ-0</v>
      </c>
      <c r="P6" s="152"/>
      <c r="Q6" s="192" t="s">
        <v>251</v>
      </c>
      <c r="R6" s="191" t="s">
        <v>259</v>
      </c>
      <c r="S6" s="192" t="s">
        <v>252</v>
      </c>
      <c r="T6" s="152"/>
      <c r="U6" s="192" t="s">
        <v>251</v>
      </c>
      <c r="V6" s="191" t="s">
        <v>259</v>
      </c>
      <c r="W6" s="192" t="s">
        <v>252</v>
      </c>
      <c r="X6" s="158"/>
    </row>
    <row r="7" spans="1:24" ht="5.0999999999999996" customHeight="1" thickBot="1" x14ac:dyDescent="0.3">
      <c r="A7" s="157"/>
      <c r="B7" s="153"/>
      <c r="C7" s="152"/>
      <c r="D7" s="152"/>
      <c r="E7" s="152"/>
      <c r="F7" s="152"/>
      <c r="G7" s="152"/>
      <c r="H7" s="152"/>
      <c r="I7" s="152"/>
      <c r="J7" s="152"/>
      <c r="K7" s="158"/>
      <c r="L7" s="175"/>
      <c r="M7" s="176"/>
      <c r="N7" s="157"/>
      <c r="O7" s="153"/>
      <c r="P7" s="152"/>
      <c r="Q7" s="152"/>
      <c r="R7" s="152"/>
      <c r="S7" s="152"/>
      <c r="T7" s="152"/>
      <c r="U7" s="152"/>
      <c r="V7" s="152"/>
      <c r="W7" s="152"/>
      <c r="X7" s="158"/>
    </row>
    <row r="8" spans="1:24" ht="27" customHeight="1" thickBot="1" x14ac:dyDescent="0.3">
      <c r="A8" s="157"/>
      <c r="B8" s="535" t="str">
        <f>getMpWoName(_ДС1)</f>
        <v>ДС-1 СЛ</v>
      </c>
      <c r="C8" s="152"/>
      <c r="D8" s="469" t="s">
        <v>252</v>
      </c>
      <c r="E8" s="191" t="s">
        <v>259</v>
      </c>
      <c r="F8" s="469" t="s">
        <v>253</v>
      </c>
      <c r="G8" s="191" t="s">
        <v>260</v>
      </c>
      <c r="H8" s="469" t="s">
        <v>258</v>
      </c>
      <c r="I8" s="159"/>
      <c r="J8" s="153"/>
      <c r="K8" s="158"/>
      <c r="L8" s="175"/>
      <c r="M8" s="176"/>
      <c r="N8" s="157"/>
      <c r="O8" s="535" t="str">
        <f>getMpWoName(_ДС1)</f>
        <v>ДС-1 СЛ</v>
      </c>
      <c r="P8" s="152"/>
      <c r="Q8" s="469" t="s">
        <v>252</v>
      </c>
      <c r="R8" s="191" t="s">
        <v>259</v>
      </c>
      <c r="S8" s="469" t="s">
        <v>253</v>
      </c>
      <c r="T8" s="191" t="s">
        <v>260</v>
      </c>
      <c r="U8" s="469" t="s">
        <v>258</v>
      </c>
      <c r="V8" s="159"/>
      <c r="W8" s="153"/>
      <c r="X8" s="158"/>
    </row>
    <row r="9" spans="1:24" ht="12" customHeight="1" thickBot="1" x14ac:dyDescent="0.3">
      <c r="A9" s="157"/>
      <c r="B9" s="535"/>
      <c r="C9" s="152"/>
      <c r="D9" s="174" t="s">
        <v>261</v>
      </c>
      <c r="E9" s="152"/>
      <c r="F9" s="174" t="s">
        <v>262</v>
      </c>
      <c r="G9" s="152"/>
      <c r="H9" s="174" t="s">
        <v>263</v>
      </c>
      <c r="I9" s="152"/>
      <c r="J9" s="153"/>
      <c r="K9" s="158"/>
      <c r="L9" s="175"/>
      <c r="M9" s="176"/>
      <c r="N9" s="157"/>
      <c r="O9" s="535"/>
      <c r="P9" s="152"/>
      <c r="Q9" s="467" t="s">
        <v>261</v>
      </c>
      <c r="R9" s="152"/>
      <c r="S9" s="467" t="s">
        <v>262</v>
      </c>
      <c r="T9" s="152"/>
      <c r="U9" s="467" t="s">
        <v>263</v>
      </c>
      <c r="V9" s="152"/>
      <c r="W9" s="153"/>
      <c r="X9" s="158"/>
    </row>
    <row r="10" spans="1:24" ht="27" customHeight="1" thickBot="1" x14ac:dyDescent="0.3">
      <c r="A10" s="157"/>
      <c r="B10" s="535"/>
      <c r="C10" s="152"/>
      <c r="D10" s="469" t="s">
        <v>261</v>
      </c>
      <c r="E10" s="191"/>
      <c r="F10" s="469" t="s">
        <v>262</v>
      </c>
      <c r="G10" s="191"/>
      <c r="H10" s="469" t="s">
        <v>263</v>
      </c>
      <c r="I10" s="159"/>
      <c r="J10" s="153"/>
      <c r="K10" s="158"/>
      <c r="L10" s="175"/>
      <c r="M10" s="176"/>
      <c r="N10" s="157"/>
      <c r="O10" s="535"/>
      <c r="P10" s="152"/>
      <c r="Q10" s="469" t="s">
        <v>261</v>
      </c>
      <c r="R10" s="191"/>
      <c r="S10" s="469" t="s">
        <v>262</v>
      </c>
      <c r="T10" s="191"/>
      <c r="U10" s="469" t="s">
        <v>263</v>
      </c>
      <c r="V10" s="159"/>
      <c r="W10" s="153"/>
      <c r="X10" s="158"/>
    </row>
    <row r="11" spans="1:24" ht="3" customHeight="1" thickBot="1" x14ac:dyDescent="0.3">
      <c r="A11" s="157"/>
      <c r="B11" s="153"/>
      <c r="C11" s="152"/>
      <c r="D11" s="152"/>
      <c r="E11" s="152"/>
      <c r="F11" s="152"/>
      <c r="G11" s="152"/>
      <c r="H11" s="152"/>
      <c r="I11" s="152"/>
      <c r="J11" s="152"/>
      <c r="K11" s="158"/>
      <c r="L11" s="175"/>
      <c r="M11" s="176"/>
      <c r="N11" s="157"/>
      <c r="O11" s="153"/>
      <c r="P11" s="152"/>
      <c r="Q11" s="152"/>
      <c r="R11" s="152"/>
      <c r="S11" s="152"/>
      <c r="T11" s="152"/>
      <c r="U11" s="152"/>
      <c r="V11" s="152"/>
      <c r="W11" s="152"/>
      <c r="X11" s="158"/>
    </row>
    <row r="12" spans="1:24" ht="27" customHeight="1" thickBot="1" x14ac:dyDescent="0.3">
      <c r="A12" s="157"/>
      <c r="B12" s="456" t="str">
        <f>getMpWoName(_КВ1)</f>
        <v>КВ-1</v>
      </c>
      <c r="C12" s="152"/>
      <c r="D12" s="192" t="s">
        <v>251</v>
      </c>
      <c r="E12" s="455" t="s">
        <v>259</v>
      </c>
      <c r="F12" s="192" t="s">
        <v>252</v>
      </c>
      <c r="G12" s="152"/>
      <c r="H12" s="533" t="str">
        <f>"+ "&amp;TEXT(_КВ1Время,"ч:мм")</f>
        <v>+ 1:10</v>
      </c>
      <c r="I12" s="533"/>
      <c r="J12" s="533"/>
      <c r="K12" s="158"/>
      <c r="L12" s="175"/>
      <c r="M12" s="176"/>
      <c r="N12" s="157"/>
      <c r="O12" s="456" t="str">
        <f>getMpWoName(_КВ1)</f>
        <v>КВ-1</v>
      </c>
      <c r="P12" s="152"/>
      <c r="Q12" s="192" t="s">
        <v>251</v>
      </c>
      <c r="R12" s="455" t="s">
        <v>259</v>
      </c>
      <c r="S12" s="192" t="s">
        <v>252</v>
      </c>
      <c r="T12" s="152"/>
      <c r="U12" s="533" t="str">
        <f>"+ "&amp;TEXT(_КВ1Время,"ч:мм")</f>
        <v>+ 1:10</v>
      </c>
      <c r="V12" s="533"/>
      <c r="W12" s="533"/>
      <c r="X12" s="158"/>
    </row>
    <row r="13" spans="1:24" ht="12" customHeight="1" thickBot="1" x14ac:dyDescent="0.3">
      <c r="A13" s="157"/>
      <c r="B13" s="457"/>
      <c r="C13" s="152"/>
      <c r="D13" s="534" t="s">
        <v>52</v>
      </c>
      <c r="E13" s="532"/>
      <c r="F13" s="534"/>
      <c r="G13" s="152"/>
      <c r="H13" s="532" t="s">
        <v>120</v>
      </c>
      <c r="I13" s="532"/>
      <c r="J13" s="532"/>
      <c r="K13" s="158"/>
      <c r="L13" s="175"/>
      <c r="M13" s="176"/>
      <c r="N13" s="157"/>
      <c r="O13" s="457"/>
      <c r="P13" s="152"/>
      <c r="Q13" s="534" t="s">
        <v>52</v>
      </c>
      <c r="R13" s="532"/>
      <c r="S13" s="534"/>
      <c r="T13" s="152"/>
      <c r="U13" s="532" t="s">
        <v>120</v>
      </c>
      <c r="V13" s="532"/>
      <c r="W13" s="532"/>
      <c r="X13" s="158"/>
    </row>
    <row r="14" spans="1:24" ht="27" customHeight="1" thickBot="1" x14ac:dyDescent="0.3">
      <c r="A14" s="157"/>
      <c r="B14" s="530" t="str">
        <f>getMpWoName(_ДС2)</f>
        <v>ДС-2 РДС</v>
      </c>
      <c r="C14" s="152"/>
      <c r="D14" s="192" t="s">
        <v>251</v>
      </c>
      <c r="E14" s="191" t="s">
        <v>259</v>
      </c>
      <c r="F14" s="192" t="s">
        <v>252</v>
      </c>
      <c r="G14" s="152"/>
      <c r="H14" s="192" t="s">
        <v>251</v>
      </c>
      <c r="I14" s="191" t="s">
        <v>259</v>
      </c>
      <c r="J14" s="192" t="s">
        <v>252</v>
      </c>
      <c r="K14" s="158"/>
      <c r="L14" s="175"/>
      <c r="M14" s="176"/>
      <c r="N14" s="157"/>
      <c r="O14" s="530" t="str">
        <f>getMpWoName(_ДС2)</f>
        <v>ДС-2 РДС</v>
      </c>
      <c r="P14" s="152"/>
      <c r="Q14" s="192" t="s">
        <v>251</v>
      </c>
      <c r="R14" s="191" t="s">
        <v>259</v>
      </c>
      <c r="S14" s="192" t="s">
        <v>252</v>
      </c>
      <c r="T14" s="152"/>
      <c r="U14" s="192" t="s">
        <v>251</v>
      </c>
      <c r="V14" s="191" t="s">
        <v>259</v>
      </c>
      <c r="W14" s="192" t="s">
        <v>252</v>
      </c>
      <c r="X14" s="158"/>
    </row>
    <row r="15" spans="1:24" ht="12" customHeight="1" thickBot="1" x14ac:dyDescent="0.3">
      <c r="A15" s="157"/>
      <c r="B15" s="530"/>
      <c r="C15" s="152"/>
      <c r="D15" s="532" t="s">
        <v>571</v>
      </c>
      <c r="E15" s="532"/>
      <c r="F15" s="532"/>
      <c r="G15" s="532"/>
      <c r="H15" s="532"/>
      <c r="I15" s="434"/>
      <c r="J15" s="434"/>
      <c r="K15" s="158"/>
      <c r="L15" s="175"/>
      <c r="M15" s="176"/>
      <c r="N15" s="157"/>
      <c r="O15" s="530"/>
      <c r="P15" s="152"/>
      <c r="Q15" s="532" t="s">
        <v>571</v>
      </c>
      <c r="R15" s="532"/>
      <c r="S15" s="532"/>
      <c r="T15" s="532"/>
      <c r="U15" s="532"/>
      <c r="V15" s="434"/>
      <c r="W15" s="434"/>
      <c r="X15" s="158"/>
    </row>
    <row r="16" spans="1:24" ht="27" customHeight="1" thickBot="1" x14ac:dyDescent="0.3">
      <c r="A16" s="157"/>
      <c r="B16" s="531"/>
      <c r="C16" s="152"/>
      <c r="D16" s="469" t="s">
        <v>251</v>
      </c>
      <c r="E16" s="191" t="s">
        <v>259</v>
      </c>
      <c r="F16" s="469" t="s">
        <v>252</v>
      </c>
      <c r="G16" s="191" t="s">
        <v>259</v>
      </c>
      <c r="H16" s="469" t="s">
        <v>253</v>
      </c>
      <c r="I16" s="177"/>
      <c r="J16" s="177"/>
      <c r="K16" s="158"/>
      <c r="L16" s="175"/>
      <c r="M16" s="176"/>
      <c r="N16" s="157"/>
      <c r="O16" s="531"/>
      <c r="P16" s="152"/>
      <c r="Q16" s="469" t="s">
        <v>251</v>
      </c>
      <c r="R16" s="191" t="s">
        <v>259</v>
      </c>
      <c r="S16" s="469" t="s">
        <v>252</v>
      </c>
      <c r="T16" s="191" t="s">
        <v>259</v>
      </c>
      <c r="U16" s="469" t="s">
        <v>253</v>
      </c>
      <c r="V16" s="177"/>
      <c r="W16" s="177"/>
      <c r="X16" s="158"/>
    </row>
    <row r="17" spans="1:24" ht="3" customHeight="1" thickBot="1" x14ac:dyDescent="0.3">
      <c r="A17" s="157"/>
      <c r="B17" s="153"/>
      <c r="C17" s="152"/>
      <c r="D17" s="160"/>
      <c r="E17" s="152"/>
      <c r="F17" s="160"/>
      <c r="G17" s="152"/>
      <c r="H17" s="152"/>
      <c r="I17" s="152"/>
      <c r="J17" s="152"/>
      <c r="K17" s="158"/>
      <c r="L17" s="175"/>
      <c r="M17" s="176"/>
      <c r="N17" s="157"/>
      <c r="O17" s="153"/>
      <c r="P17" s="152"/>
      <c r="Q17" s="160"/>
      <c r="R17" s="152"/>
      <c r="S17" s="160"/>
      <c r="T17" s="152"/>
      <c r="U17" s="152"/>
      <c r="V17" s="152"/>
      <c r="W17" s="152"/>
      <c r="X17" s="158"/>
    </row>
    <row r="18" spans="1:24" ht="27" customHeight="1" thickBot="1" x14ac:dyDescent="0.3">
      <c r="A18" s="157"/>
      <c r="B18" s="421" t="str">
        <f>getMpWoName(_КВ2)</f>
        <v>КВ-2</v>
      </c>
      <c r="C18" s="152"/>
      <c r="D18" s="192" t="s">
        <v>251</v>
      </c>
      <c r="E18" s="191" t="s">
        <v>259</v>
      </c>
      <c r="F18" s="192" t="s">
        <v>252</v>
      </c>
      <c r="G18" s="152"/>
      <c r="H18" s="533" t="str">
        <f>"+ "&amp;TEXT(_КВ2Время,"ч:мм")</f>
        <v>+ 1:10</v>
      </c>
      <c r="I18" s="533"/>
      <c r="J18" s="533"/>
      <c r="K18" s="158"/>
      <c r="L18" s="175"/>
      <c r="M18" s="176"/>
      <c r="N18" s="157"/>
      <c r="O18" s="468" t="str">
        <f>getMpWoName(_КВ2)</f>
        <v>КВ-2</v>
      </c>
      <c r="P18" s="152"/>
      <c r="Q18" s="192" t="s">
        <v>251</v>
      </c>
      <c r="R18" s="191" t="s">
        <v>259</v>
      </c>
      <c r="S18" s="192" t="s">
        <v>252</v>
      </c>
      <c r="T18" s="152"/>
      <c r="U18" s="533" t="str">
        <f>"+ "&amp;TEXT(_КВ2Время,"ч:мм")</f>
        <v>+ 1:10</v>
      </c>
      <c r="V18" s="533"/>
      <c r="W18" s="533"/>
      <c r="X18" s="158"/>
    </row>
    <row r="19" spans="1:24" ht="3" customHeight="1" thickBot="1" x14ac:dyDescent="0.3">
      <c r="A19" s="157"/>
      <c r="B19" s="153"/>
      <c r="C19" s="152"/>
      <c r="D19" s="160"/>
      <c r="E19" s="152"/>
      <c r="F19" s="160"/>
      <c r="G19" s="152"/>
      <c r="H19" s="152"/>
      <c r="I19" s="152"/>
      <c r="J19" s="152"/>
      <c r="K19" s="158"/>
      <c r="L19" s="175"/>
      <c r="M19" s="176"/>
      <c r="N19" s="157"/>
      <c r="O19" s="153"/>
      <c r="P19" s="152"/>
      <c r="Q19" s="160"/>
      <c r="R19" s="152"/>
      <c r="S19" s="160"/>
      <c r="T19" s="152"/>
      <c r="U19" s="152"/>
      <c r="V19" s="152"/>
      <c r="W19" s="152"/>
      <c r="X19" s="158"/>
    </row>
    <row r="20" spans="1:24" ht="27" customHeight="1" thickBot="1" x14ac:dyDescent="0.3">
      <c r="A20" s="157"/>
      <c r="B20" s="421" t="str">
        <f>getMpWoName(_КВ3)</f>
        <v>КВ-3</v>
      </c>
      <c r="C20" s="152"/>
      <c r="D20" s="192" t="s">
        <v>251</v>
      </c>
      <c r="E20" s="191" t="s">
        <v>259</v>
      </c>
      <c r="F20" s="192" t="s">
        <v>252</v>
      </c>
      <c r="G20" s="152"/>
      <c r="H20" s="533" t="str">
        <f>"+ "&amp;TEXT(_КВ3Время,"ч:мм")</f>
        <v>+ 0:35</v>
      </c>
      <c r="I20" s="533"/>
      <c r="J20" s="533"/>
      <c r="K20" s="158"/>
      <c r="L20" s="175"/>
      <c r="M20" s="176"/>
      <c r="N20" s="157"/>
      <c r="O20" s="468" t="str">
        <f>getMpWoName(_КВ3)</f>
        <v>КВ-3</v>
      </c>
      <c r="P20" s="152"/>
      <c r="Q20" s="192" t="s">
        <v>251</v>
      </c>
      <c r="R20" s="191" t="s">
        <v>259</v>
      </c>
      <c r="S20" s="192" t="s">
        <v>252</v>
      </c>
      <c r="T20" s="152"/>
      <c r="U20" s="533" t="str">
        <f>"+ "&amp;TEXT(_КВ3Время,"ч:мм")</f>
        <v>+ 0:35</v>
      </c>
      <c r="V20" s="533"/>
      <c r="W20" s="533"/>
      <c r="X20" s="158"/>
    </row>
    <row r="21" spans="1:24" ht="3" customHeight="1" thickBot="1" x14ac:dyDescent="0.3">
      <c r="A21" s="157"/>
      <c r="B21" s="153"/>
      <c r="C21" s="152"/>
      <c r="D21" s="160"/>
      <c r="E21" s="152"/>
      <c r="F21" s="160"/>
      <c r="G21" s="152"/>
      <c r="H21" s="152"/>
      <c r="I21" s="152"/>
      <c r="J21" s="152"/>
      <c r="K21" s="158"/>
      <c r="L21" s="175"/>
      <c r="M21" s="176"/>
      <c r="N21" s="157"/>
      <c r="O21" s="153"/>
      <c r="P21" s="152"/>
      <c r="Q21" s="160"/>
      <c r="R21" s="152"/>
      <c r="S21" s="160"/>
      <c r="T21" s="152"/>
      <c r="U21" s="152"/>
      <c r="V21" s="152"/>
      <c r="W21" s="152"/>
      <c r="X21" s="158"/>
    </row>
    <row r="22" spans="1:24" ht="27" customHeight="1" thickBot="1" x14ac:dyDescent="0.3">
      <c r="A22" s="157"/>
      <c r="B22" s="456" t="str">
        <f>getMpWoName(_КВ4)</f>
        <v>КВ-4</v>
      </c>
      <c r="C22" s="152"/>
      <c r="D22" s="192" t="s">
        <v>251</v>
      </c>
      <c r="E22" s="455" t="s">
        <v>259</v>
      </c>
      <c r="F22" s="192" t="s">
        <v>252</v>
      </c>
      <c r="G22" s="152"/>
      <c r="H22" s="533" t="str">
        <f>"+ "&amp;TEXT(_КВ4Время,"ч:мм")</f>
        <v>+ 0:35</v>
      </c>
      <c r="I22" s="533"/>
      <c r="J22" s="533"/>
      <c r="K22" s="158"/>
      <c r="L22" s="175"/>
      <c r="M22" s="176"/>
      <c r="N22" s="157"/>
      <c r="O22" s="456" t="str">
        <f>getMpWoName(_КВ4)</f>
        <v>КВ-4</v>
      </c>
      <c r="P22" s="152"/>
      <c r="Q22" s="192" t="s">
        <v>251</v>
      </c>
      <c r="R22" s="455" t="s">
        <v>259</v>
      </c>
      <c r="S22" s="192" t="s">
        <v>252</v>
      </c>
      <c r="T22" s="152"/>
      <c r="U22" s="533" t="str">
        <f>"+ "&amp;TEXT(_КВ4Время,"ч:мм")</f>
        <v>+ 0:35</v>
      </c>
      <c r="V22" s="533"/>
      <c r="W22" s="533"/>
      <c r="X22" s="158"/>
    </row>
    <row r="23" spans="1:24" ht="12" customHeight="1" thickBot="1" x14ac:dyDescent="0.3">
      <c r="A23" s="157"/>
      <c r="B23" s="457"/>
      <c r="C23" s="152"/>
      <c r="D23" s="534" t="s">
        <v>52</v>
      </c>
      <c r="E23" s="532"/>
      <c r="F23" s="534"/>
      <c r="G23" s="152"/>
      <c r="H23" s="532" t="s">
        <v>120</v>
      </c>
      <c r="I23" s="532"/>
      <c r="J23" s="532"/>
      <c r="K23" s="158"/>
      <c r="L23" s="175"/>
      <c r="M23" s="176"/>
      <c r="N23" s="157"/>
      <c r="O23" s="457"/>
      <c r="P23" s="152"/>
      <c r="Q23" s="534" t="s">
        <v>52</v>
      </c>
      <c r="R23" s="532"/>
      <c r="S23" s="534"/>
      <c r="T23" s="152"/>
      <c r="U23" s="532" t="s">
        <v>120</v>
      </c>
      <c r="V23" s="532"/>
      <c r="W23" s="532"/>
      <c r="X23" s="158"/>
    </row>
    <row r="24" spans="1:24" ht="27" customHeight="1" thickBot="1" x14ac:dyDescent="0.3">
      <c r="A24" s="157"/>
      <c r="B24" s="530" t="str">
        <f>getMpWoName(_ДС3)</f>
        <v>ДС-3 РДС</v>
      </c>
      <c r="C24" s="152"/>
      <c r="D24" s="192" t="s">
        <v>251</v>
      </c>
      <c r="E24" s="191" t="s">
        <v>259</v>
      </c>
      <c r="F24" s="192" t="s">
        <v>252</v>
      </c>
      <c r="G24" s="152"/>
      <c r="H24" s="192" t="s">
        <v>251</v>
      </c>
      <c r="I24" s="191" t="s">
        <v>259</v>
      </c>
      <c r="J24" s="192" t="s">
        <v>252</v>
      </c>
      <c r="K24" s="158"/>
      <c r="L24" s="175"/>
      <c r="M24" s="176"/>
      <c r="N24" s="157"/>
      <c r="O24" s="530" t="str">
        <f>getMpWoName(_ДС3)</f>
        <v>ДС-3 РДС</v>
      </c>
      <c r="P24" s="152"/>
      <c r="Q24" s="192" t="s">
        <v>251</v>
      </c>
      <c r="R24" s="191" t="s">
        <v>259</v>
      </c>
      <c r="S24" s="192" t="s">
        <v>252</v>
      </c>
      <c r="T24" s="152"/>
      <c r="U24" s="192" t="s">
        <v>251</v>
      </c>
      <c r="V24" s="191" t="s">
        <v>259</v>
      </c>
      <c r="W24" s="192" t="s">
        <v>252</v>
      </c>
      <c r="X24" s="158"/>
    </row>
    <row r="25" spans="1:24" ht="12" customHeight="1" thickBot="1" x14ac:dyDescent="0.3">
      <c r="A25" s="157"/>
      <c r="B25" s="530"/>
      <c r="C25" s="152"/>
      <c r="D25" s="532" t="s">
        <v>571</v>
      </c>
      <c r="E25" s="532"/>
      <c r="F25" s="532"/>
      <c r="G25" s="532"/>
      <c r="H25" s="532"/>
      <c r="I25" s="434"/>
      <c r="J25" s="434"/>
      <c r="K25" s="158"/>
      <c r="L25" s="175"/>
      <c r="M25" s="176"/>
      <c r="N25" s="157"/>
      <c r="O25" s="530"/>
      <c r="P25" s="152"/>
      <c r="Q25" s="532" t="s">
        <v>571</v>
      </c>
      <c r="R25" s="532"/>
      <c r="S25" s="532"/>
      <c r="T25" s="532"/>
      <c r="U25" s="532"/>
      <c r="V25" s="434"/>
      <c r="W25" s="434"/>
      <c r="X25" s="158"/>
    </row>
    <row r="26" spans="1:24" ht="27" customHeight="1" thickBot="1" x14ac:dyDescent="0.3">
      <c r="A26" s="157"/>
      <c r="B26" s="531"/>
      <c r="C26" s="152"/>
      <c r="D26" s="469" t="s">
        <v>251</v>
      </c>
      <c r="E26" s="191" t="s">
        <v>259</v>
      </c>
      <c r="F26" s="469" t="s">
        <v>252</v>
      </c>
      <c r="G26" s="191" t="s">
        <v>259</v>
      </c>
      <c r="H26" s="469" t="s">
        <v>253</v>
      </c>
      <c r="I26" s="177"/>
      <c r="J26" s="177"/>
      <c r="K26" s="158"/>
      <c r="L26" s="175"/>
      <c r="M26" s="176"/>
      <c r="N26" s="157"/>
      <c r="O26" s="531"/>
      <c r="P26" s="152"/>
      <c r="Q26" s="469" t="s">
        <v>251</v>
      </c>
      <c r="R26" s="191" t="s">
        <v>259</v>
      </c>
      <c r="S26" s="469" t="s">
        <v>252</v>
      </c>
      <c r="T26" s="191" t="s">
        <v>259</v>
      </c>
      <c r="U26" s="469" t="s">
        <v>253</v>
      </c>
      <c r="V26" s="177"/>
      <c r="W26" s="177"/>
      <c r="X26" s="158"/>
    </row>
    <row r="27" spans="1:24" ht="3" customHeight="1" thickBot="1" x14ac:dyDescent="0.3">
      <c r="A27" s="157"/>
      <c r="B27" s="153"/>
      <c r="C27" s="152"/>
      <c r="D27" s="160"/>
      <c r="E27" s="152"/>
      <c r="F27" s="160"/>
      <c r="G27" s="152"/>
      <c r="H27" s="152"/>
      <c r="I27" s="152"/>
      <c r="J27" s="152"/>
      <c r="K27" s="158"/>
      <c r="L27" s="175"/>
      <c r="M27" s="176"/>
      <c r="N27" s="157"/>
      <c r="O27" s="153"/>
      <c r="P27" s="152"/>
      <c r="Q27" s="160"/>
      <c r="R27" s="152"/>
      <c r="S27" s="160"/>
      <c r="T27" s="152"/>
      <c r="U27" s="152"/>
      <c r="V27" s="152"/>
      <c r="W27" s="152"/>
      <c r="X27" s="158"/>
    </row>
    <row r="28" spans="1:24" ht="27" customHeight="1" thickBot="1" x14ac:dyDescent="0.3">
      <c r="A28" s="157"/>
      <c r="B28" s="421" t="str">
        <f>getMpWoName(_КВ5)</f>
        <v>КВ-5</v>
      </c>
      <c r="C28" s="152"/>
      <c r="D28" s="192" t="s">
        <v>251</v>
      </c>
      <c r="E28" s="191" t="s">
        <v>259</v>
      </c>
      <c r="F28" s="192" t="s">
        <v>252</v>
      </c>
      <c r="G28" s="152"/>
      <c r="H28" s="533" t="str">
        <f>"+ "&amp;TEXT(_КВ5Время,"ч:мм")</f>
        <v>+ 0:45</v>
      </c>
      <c r="I28" s="533"/>
      <c r="J28" s="533"/>
      <c r="K28" s="158"/>
      <c r="L28" s="175"/>
      <c r="M28" s="176"/>
      <c r="N28" s="157"/>
      <c r="O28" s="468" t="str">
        <f>getMpWoName(_КВ5)</f>
        <v>КВ-5</v>
      </c>
      <c r="P28" s="152"/>
      <c r="Q28" s="192" t="s">
        <v>251</v>
      </c>
      <c r="R28" s="191" t="s">
        <v>259</v>
      </c>
      <c r="S28" s="192" t="s">
        <v>252</v>
      </c>
      <c r="T28" s="152"/>
      <c r="U28" s="533" t="str">
        <f>"+ "&amp;TEXT(_КВ5Время,"ч:мм")</f>
        <v>+ 0:45</v>
      </c>
      <c r="V28" s="533"/>
      <c r="W28" s="533"/>
      <c r="X28" s="158"/>
    </row>
    <row r="29" spans="1:24" ht="3" customHeight="1" thickBot="1" x14ac:dyDescent="0.3">
      <c r="A29" s="157"/>
      <c r="B29" s="152"/>
      <c r="C29" s="152"/>
      <c r="D29" s="161"/>
      <c r="E29" s="152"/>
      <c r="F29" s="161"/>
      <c r="G29" s="152"/>
      <c r="H29" s="152"/>
      <c r="I29" s="152"/>
      <c r="J29" s="152"/>
      <c r="K29" s="158"/>
      <c r="L29" s="175"/>
      <c r="M29" s="176"/>
      <c r="N29" s="157"/>
      <c r="O29" s="152"/>
      <c r="P29" s="152"/>
      <c r="Q29" s="161"/>
      <c r="R29" s="152"/>
      <c r="S29" s="161"/>
      <c r="T29" s="152"/>
      <c r="U29" s="152"/>
      <c r="V29" s="152"/>
      <c r="W29" s="152"/>
      <c r="X29" s="158"/>
    </row>
    <row r="30" spans="1:24" ht="27" customHeight="1" thickBot="1" x14ac:dyDescent="0.3">
      <c r="A30" s="157"/>
      <c r="B30" s="535" t="str">
        <f>getMpWoName(_ДС4)</f>
        <v>ДС-4 СЛ</v>
      </c>
      <c r="C30" s="152"/>
      <c r="D30" s="469" t="s">
        <v>252</v>
      </c>
      <c r="E30" s="191" t="s">
        <v>259</v>
      </c>
      <c r="F30" s="469" t="s">
        <v>253</v>
      </c>
      <c r="G30" s="191" t="s">
        <v>260</v>
      </c>
      <c r="H30" s="469" t="s">
        <v>258</v>
      </c>
      <c r="I30" s="159"/>
      <c r="J30" s="153"/>
      <c r="K30" s="158"/>
      <c r="L30" s="175"/>
      <c r="M30" s="176"/>
      <c r="N30" s="157"/>
      <c r="O30" s="535" t="str">
        <f>getMpWoName(_ДС4)</f>
        <v>ДС-4 СЛ</v>
      </c>
      <c r="P30" s="152"/>
      <c r="Q30" s="469" t="s">
        <v>252</v>
      </c>
      <c r="R30" s="191" t="s">
        <v>259</v>
      </c>
      <c r="S30" s="469" t="s">
        <v>253</v>
      </c>
      <c r="T30" s="191" t="s">
        <v>260</v>
      </c>
      <c r="U30" s="469" t="s">
        <v>258</v>
      </c>
      <c r="V30" s="159"/>
      <c r="W30" s="153"/>
      <c r="X30" s="158"/>
    </row>
    <row r="31" spans="1:24" ht="12" customHeight="1" thickBot="1" x14ac:dyDescent="0.3">
      <c r="A31" s="157"/>
      <c r="B31" s="535"/>
      <c r="C31" s="152"/>
      <c r="D31" s="174" t="s">
        <v>261</v>
      </c>
      <c r="E31" s="152"/>
      <c r="F31" s="174" t="s">
        <v>262</v>
      </c>
      <c r="G31" s="152"/>
      <c r="H31" s="174" t="s">
        <v>263</v>
      </c>
      <c r="I31" s="152"/>
      <c r="J31" s="153"/>
      <c r="K31" s="158"/>
      <c r="L31" s="175"/>
      <c r="M31" s="176"/>
      <c r="N31" s="157"/>
      <c r="O31" s="535"/>
      <c r="P31" s="152"/>
      <c r="Q31" s="467" t="s">
        <v>261</v>
      </c>
      <c r="R31" s="152"/>
      <c r="S31" s="467" t="s">
        <v>262</v>
      </c>
      <c r="T31" s="152"/>
      <c r="U31" s="467" t="s">
        <v>263</v>
      </c>
      <c r="V31" s="152"/>
      <c r="W31" s="153"/>
      <c r="X31" s="158"/>
    </row>
    <row r="32" spans="1:24" ht="27" customHeight="1" thickBot="1" x14ac:dyDescent="0.3">
      <c r="A32" s="157"/>
      <c r="B32" s="535"/>
      <c r="C32" s="152"/>
      <c r="D32" s="469" t="s">
        <v>261</v>
      </c>
      <c r="E32" s="191"/>
      <c r="F32" s="469" t="s">
        <v>262</v>
      </c>
      <c r="G32" s="191"/>
      <c r="H32" s="469" t="s">
        <v>263</v>
      </c>
      <c r="I32" s="159"/>
      <c r="J32" s="153"/>
      <c r="K32" s="158"/>
      <c r="L32" s="175"/>
      <c r="M32" s="176"/>
      <c r="N32" s="157"/>
      <c r="O32" s="535"/>
      <c r="P32" s="152"/>
      <c r="Q32" s="469" t="s">
        <v>261</v>
      </c>
      <c r="R32" s="191"/>
      <c r="S32" s="469" t="s">
        <v>262</v>
      </c>
      <c r="T32" s="191"/>
      <c r="U32" s="469" t="s">
        <v>263</v>
      </c>
      <c r="V32" s="159"/>
      <c r="W32" s="153"/>
      <c r="X32" s="158"/>
    </row>
    <row r="33" spans="1:24" ht="3" customHeight="1" thickBot="1" x14ac:dyDescent="0.3">
      <c r="A33" s="157"/>
      <c r="B33" s="153"/>
      <c r="C33" s="152"/>
      <c r="D33" s="160"/>
      <c r="E33" s="152"/>
      <c r="F33" s="160"/>
      <c r="G33" s="152"/>
      <c r="H33" s="152"/>
      <c r="I33" s="152"/>
      <c r="J33" s="152"/>
      <c r="K33" s="158"/>
      <c r="L33" s="175"/>
      <c r="M33" s="176"/>
      <c r="N33" s="157"/>
      <c r="O33" s="153"/>
      <c r="P33" s="152"/>
      <c r="Q33" s="160"/>
      <c r="R33" s="152"/>
      <c r="S33" s="160"/>
      <c r="T33" s="152"/>
      <c r="U33" s="152"/>
      <c r="V33" s="152"/>
      <c r="W33" s="152"/>
      <c r="X33" s="158"/>
    </row>
    <row r="34" spans="1:24" ht="27" customHeight="1" thickBot="1" x14ac:dyDescent="0.3">
      <c r="A34" s="157"/>
      <c r="B34" s="421" t="str">
        <f>getMpWoName(_КВ6)</f>
        <v>КВ-6</v>
      </c>
      <c r="C34" s="152"/>
      <c r="D34" s="192" t="s">
        <v>251</v>
      </c>
      <c r="E34" s="191" t="s">
        <v>259</v>
      </c>
      <c r="F34" s="192" t="s">
        <v>252</v>
      </c>
      <c r="G34" s="152"/>
      <c r="H34" s="533" t="str">
        <f>"+ "&amp;TEXT(_КВ6Время,"ч:мм")</f>
        <v>+ 1:00</v>
      </c>
      <c r="I34" s="533"/>
      <c r="J34" s="533"/>
      <c r="K34" s="158"/>
      <c r="L34" s="175"/>
      <c r="M34" s="176"/>
      <c r="N34" s="157"/>
      <c r="O34" s="468" t="str">
        <f>getMpWoName(_КВ6)</f>
        <v>КВ-6</v>
      </c>
      <c r="P34" s="152"/>
      <c r="Q34" s="192" t="s">
        <v>251</v>
      </c>
      <c r="R34" s="191" t="s">
        <v>259</v>
      </c>
      <c r="S34" s="192" t="s">
        <v>252</v>
      </c>
      <c r="T34" s="152"/>
      <c r="U34" s="533" t="str">
        <f>"+ "&amp;TEXT(_КВ6Время,"ч:мм")</f>
        <v>+ 1:00</v>
      </c>
      <c r="V34" s="533"/>
      <c r="W34" s="533"/>
      <c r="X34" s="158"/>
    </row>
    <row r="35" spans="1:24" ht="3" customHeight="1" thickBot="1" x14ac:dyDescent="0.3">
      <c r="A35" s="157"/>
      <c r="B35" s="153"/>
      <c r="C35" s="152"/>
      <c r="D35" s="160"/>
      <c r="E35" s="152"/>
      <c r="F35" s="160"/>
      <c r="G35" s="152"/>
      <c r="H35" s="152"/>
      <c r="I35" s="152"/>
      <c r="J35" s="152"/>
      <c r="K35" s="158"/>
      <c r="L35" s="175"/>
      <c r="M35" s="176"/>
      <c r="N35" s="157"/>
      <c r="O35" s="153"/>
      <c r="P35" s="152"/>
      <c r="Q35" s="160"/>
      <c r="R35" s="152"/>
      <c r="S35" s="160"/>
      <c r="T35" s="152"/>
      <c r="U35" s="152"/>
      <c r="V35" s="152"/>
      <c r="W35" s="152"/>
      <c r="X35" s="158"/>
    </row>
    <row r="36" spans="1:24" ht="27" customHeight="1" thickBot="1" x14ac:dyDescent="0.3">
      <c r="A36" s="157"/>
      <c r="B36" s="421" t="str">
        <f>getMpWoName(_КВ7)</f>
        <v>КВ-7</v>
      </c>
      <c r="C36" s="152"/>
      <c r="D36" s="192" t="s">
        <v>251</v>
      </c>
      <c r="E36" s="191" t="s">
        <v>259</v>
      </c>
      <c r="F36" s="192" t="s">
        <v>252</v>
      </c>
      <c r="G36" s="152"/>
      <c r="H36" s="533" t="str">
        <f>"+ "&amp;TEXT(_КВ7Время,"ч:мм")</f>
        <v>+ 0:40</v>
      </c>
      <c r="I36" s="533"/>
      <c r="J36" s="533"/>
      <c r="K36" s="158"/>
      <c r="L36" s="175"/>
      <c r="M36" s="176"/>
      <c r="N36" s="157"/>
      <c r="O36" s="468" t="str">
        <f>getMpWoName(_КВ7)</f>
        <v>КВ-7</v>
      </c>
      <c r="P36" s="152"/>
      <c r="Q36" s="192" t="s">
        <v>251</v>
      </c>
      <c r="R36" s="191" t="s">
        <v>259</v>
      </c>
      <c r="S36" s="192" t="s">
        <v>252</v>
      </c>
      <c r="T36" s="152"/>
      <c r="U36" s="533" t="str">
        <f>"+ "&amp;TEXT(_КВ7Время,"ч:мм")</f>
        <v>+ 0:40</v>
      </c>
      <c r="V36" s="533"/>
      <c r="W36" s="533"/>
      <c r="X36" s="158"/>
    </row>
    <row r="37" spans="1:24" ht="3" customHeight="1" x14ac:dyDescent="0.25">
      <c r="A37" s="157"/>
      <c r="B37" s="153"/>
      <c r="C37" s="152"/>
      <c r="D37" s="155"/>
      <c r="E37" s="152"/>
      <c r="F37" s="155"/>
      <c r="G37" s="152"/>
      <c r="H37" s="152"/>
      <c r="I37" s="152"/>
      <c r="J37" s="152"/>
      <c r="K37" s="158"/>
      <c r="L37" s="175"/>
      <c r="M37" s="176"/>
      <c r="N37" s="157"/>
      <c r="O37" s="153"/>
      <c r="P37" s="152"/>
      <c r="Q37" s="155"/>
      <c r="R37" s="152"/>
      <c r="S37" s="155"/>
      <c r="T37" s="152"/>
      <c r="U37" s="152"/>
      <c r="V37" s="152"/>
      <c r="W37" s="152"/>
      <c r="X37" s="158"/>
    </row>
    <row r="38" spans="1:24" ht="12" customHeight="1" x14ac:dyDescent="0.25">
      <c r="A38" s="157"/>
      <c r="B38" s="537" t="s">
        <v>250</v>
      </c>
      <c r="C38" s="537"/>
      <c r="D38" s="537"/>
      <c r="E38" s="537"/>
      <c r="F38" s="537"/>
      <c r="G38" s="537"/>
      <c r="H38" s="537"/>
      <c r="I38" s="537"/>
      <c r="J38" s="537"/>
      <c r="K38" s="158"/>
      <c r="L38" s="175"/>
      <c r="M38" s="176"/>
      <c r="N38" s="157"/>
      <c r="O38" s="537" t="s">
        <v>250</v>
      </c>
      <c r="P38" s="537"/>
      <c r="Q38" s="537"/>
      <c r="R38" s="537"/>
      <c r="S38" s="537"/>
      <c r="T38" s="537"/>
      <c r="U38" s="537"/>
      <c r="V38" s="537"/>
      <c r="W38" s="537"/>
      <c r="X38" s="158"/>
    </row>
    <row r="39" spans="1:24" ht="3" customHeight="1" thickBot="1" x14ac:dyDescent="0.3">
      <c r="A39" s="157"/>
      <c r="B39" s="153"/>
      <c r="C39" s="152"/>
      <c r="D39" s="152"/>
      <c r="E39" s="152"/>
      <c r="F39" s="152"/>
      <c r="G39" s="152"/>
      <c r="H39" s="152"/>
      <c r="I39" s="152"/>
      <c r="J39" s="152"/>
      <c r="K39" s="158"/>
      <c r="L39" s="175"/>
      <c r="M39" s="176"/>
      <c r="N39" s="157"/>
      <c r="O39" s="153"/>
      <c r="P39" s="152"/>
      <c r="Q39" s="152"/>
      <c r="R39" s="152"/>
      <c r="S39" s="152"/>
      <c r="T39" s="152"/>
      <c r="U39" s="152"/>
      <c r="V39" s="152"/>
      <c r="W39" s="152"/>
      <c r="X39" s="158"/>
    </row>
    <row r="40" spans="1:24" ht="27" customHeight="1" thickBot="1" x14ac:dyDescent="0.3">
      <c r="A40" s="157"/>
      <c r="B40" s="527" t="s">
        <v>264</v>
      </c>
      <c r="C40" s="528"/>
      <c r="D40" s="529"/>
      <c r="E40" s="191"/>
      <c r="F40" s="192" t="s">
        <v>251</v>
      </c>
      <c r="G40" s="191" t="s">
        <v>259</v>
      </c>
      <c r="H40" s="192" t="s">
        <v>252</v>
      </c>
      <c r="I40" s="177"/>
      <c r="J40" s="177"/>
      <c r="K40" s="158"/>
      <c r="L40" s="175"/>
      <c r="M40" s="176"/>
      <c r="N40" s="157"/>
      <c r="O40" s="527" t="s">
        <v>264</v>
      </c>
      <c r="P40" s="528"/>
      <c r="Q40" s="529"/>
      <c r="R40" s="191"/>
      <c r="S40" s="192" t="s">
        <v>251</v>
      </c>
      <c r="T40" s="191" t="s">
        <v>259</v>
      </c>
      <c r="U40" s="192" t="s">
        <v>252</v>
      </c>
      <c r="V40" s="177"/>
      <c r="W40" s="177"/>
      <c r="X40" s="158"/>
    </row>
    <row r="41" spans="1:24" ht="3" customHeight="1" thickBot="1" x14ac:dyDescent="0.3">
      <c r="A41" s="157"/>
      <c r="B41" s="153"/>
      <c r="C41" s="152"/>
      <c r="D41" s="152"/>
      <c r="E41" s="152"/>
      <c r="F41" s="152"/>
      <c r="G41" s="152"/>
      <c r="H41" s="152"/>
      <c r="I41" s="152"/>
      <c r="J41" s="152"/>
      <c r="K41" s="158"/>
      <c r="L41" s="175"/>
      <c r="M41" s="176"/>
      <c r="N41" s="157"/>
      <c r="O41" s="153"/>
      <c r="P41" s="152"/>
      <c r="Q41" s="152"/>
      <c r="R41" s="152"/>
      <c r="S41" s="152"/>
      <c r="T41" s="152"/>
      <c r="U41" s="152"/>
      <c r="V41" s="152"/>
      <c r="W41" s="152"/>
      <c r="X41" s="158"/>
    </row>
    <row r="42" spans="1:24" ht="27" customHeight="1" thickBot="1" x14ac:dyDescent="0.3">
      <c r="A42" s="157"/>
      <c r="B42" s="527" t="s">
        <v>264</v>
      </c>
      <c r="C42" s="528"/>
      <c r="D42" s="529"/>
      <c r="E42" s="191"/>
      <c r="F42" s="192" t="s">
        <v>251</v>
      </c>
      <c r="G42" s="191" t="s">
        <v>259</v>
      </c>
      <c r="H42" s="192" t="s">
        <v>252</v>
      </c>
      <c r="I42" s="177"/>
      <c r="J42" s="177"/>
      <c r="K42" s="158"/>
      <c r="L42" s="175"/>
      <c r="M42" s="176"/>
      <c r="N42" s="157"/>
      <c r="O42" s="527" t="s">
        <v>264</v>
      </c>
      <c r="P42" s="528"/>
      <c r="Q42" s="529"/>
      <c r="R42" s="191"/>
      <c r="S42" s="192" t="s">
        <v>251</v>
      </c>
      <c r="T42" s="191" t="s">
        <v>259</v>
      </c>
      <c r="U42" s="192" t="s">
        <v>252</v>
      </c>
      <c r="V42" s="177"/>
      <c r="W42" s="177"/>
      <c r="X42" s="158"/>
    </row>
    <row r="43" spans="1:24" ht="3" customHeight="1" thickBot="1" x14ac:dyDescent="0.3">
      <c r="A43" s="157"/>
      <c r="B43" s="153"/>
      <c r="C43" s="152"/>
      <c r="D43" s="152"/>
      <c r="E43" s="152"/>
      <c r="F43" s="152"/>
      <c r="G43" s="152"/>
      <c r="H43" s="152"/>
      <c r="I43" s="152"/>
      <c r="J43" s="152"/>
      <c r="K43" s="158"/>
      <c r="L43" s="175"/>
      <c r="M43" s="176"/>
      <c r="N43" s="157"/>
      <c r="O43" s="153"/>
      <c r="P43" s="152"/>
      <c r="Q43" s="152"/>
      <c r="R43" s="152"/>
      <c r="S43" s="152"/>
      <c r="T43" s="152"/>
      <c r="U43" s="152"/>
      <c r="V43" s="152"/>
      <c r="W43" s="152"/>
      <c r="X43" s="158"/>
    </row>
    <row r="44" spans="1:24" ht="27" customHeight="1" thickBot="1" x14ac:dyDescent="0.3">
      <c r="A44" s="157"/>
      <c r="B44" s="527" t="s">
        <v>264</v>
      </c>
      <c r="C44" s="528"/>
      <c r="D44" s="529"/>
      <c r="E44" s="191"/>
      <c r="F44" s="192" t="s">
        <v>251</v>
      </c>
      <c r="G44" s="191" t="s">
        <v>259</v>
      </c>
      <c r="H44" s="192" t="s">
        <v>252</v>
      </c>
      <c r="I44" s="177"/>
      <c r="J44" s="177"/>
      <c r="K44" s="158"/>
      <c r="L44" s="175"/>
      <c r="M44" s="176"/>
      <c r="N44" s="157"/>
      <c r="O44" s="527" t="s">
        <v>264</v>
      </c>
      <c r="P44" s="528"/>
      <c r="Q44" s="529"/>
      <c r="R44" s="191"/>
      <c r="S44" s="192" t="s">
        <v>251</v>
      </c>
      <c r="T44" s="191" t="s">
        <v>259</v>
      </c>
      <c r="U44" s="192" t="s">
        <v>252</v>
      </c>
      <c r="V44" s="177"/>
      <c r="W44" s="177"/>
      <c r="X44" s="158"/>
    </row>
    <row r="45" spans="1:24" ht="3" customHeight="1" x14ac:dyDescent="0.25">
      <c r="A45" s="157"/>
      <c r="B45" s="152"/>
      <c r="C45" s="152"/>
      <c r="D45" s="152"/>
      <c r="E45" s="152"/>
      <c r="F45" s="152"/>
      <c r="G45" s="152"/>
      <c r="H45" s="152"/>
      <c r="I45" s="152"/>
      <c r="J45" s="152"/>
      <c r="K45" s="158"/>
      <c r="L45" s="175"/>
      <c r="M45" s="176"/>
      <c r="N45" s="157"/>
      <c r="O45" s="152"/>
      <c r="P45" s="152"/>
      <c r="Q45" s="152"/>
      <c r="R45" s="152"/>
      <c r="S45" s="152"/>
      <c r="T45" s="152"/>
      <c r="U45" s="152"/>
      <c r="V45" s="152"/>
      <c r="W45" s="152"/>
      <c r="X45" s="158"/>
    </row>
    <row r="46" spans="1:24" ht="12" customHeight="1" x14ac:dyDescent="0.25">
      <c r="A46" s="178"/>
      <c r="B46" s="536" t="s">
        <v>254</v>
      </c>
      <c r="C46" s="536"/>
      <c r="D46" s="536"/>
      <c r="E46" s="536"/>
      <c r="F46" s="536"/>
      <c r="G46" s="536"/>
      <c r="H46" s="536"/>
      <c r="I46" s="536"/>
      <c r="J46" s="536"/>
      <c r="K46" s="179"/>
      <c r="L46" s="175"/>
      <c r="M46" s="176"/>
      <c r="N46" s="178"/>
      <c r="O46" s="536" t="s">
        <v>254</v>
      </c>
      <c r="P46" s="536"/>
      <c r="Q46" s="536"/>
      <c r="R46" s="536"/>
      <c r="S46" s="536"/>
      <c r="T46" s="536"/>
      <c r="U46" s="536"/>
      <c r="V46" s="536"/>
      <c r="W46" s="536"/>
      <c r="X46" s="179"/>
    </row>
    <row r="47" spans="1:24" ht="3" customHeight="1" thickBot="1" x14ac:dyDescent="0.3">
      <c r="A47" s="178"/>
      <c r="B47" s="183"/>
      <c r="C47" s="181"/>
      <c r="D47" s="181"/>
      <c r="E47" s="181"/>
      <c r="F47" s="181"/>
      <c r="G47" s="181"/>
      <c r="H47" s="181"/>
      <c r="I47" s="181"/>
      <c r="J47" s="181"/>
      <c r="K47" s="179"/>
      <c r="L47" s="175"/>
      <c r="M47" s="176"/>
      <c r="N47" s="178"/>
      <c r="O47" s="183"/>
      <c r="P47" s="181"/>
      <c r="Q47" s="181"/>
      <c r="R47" s="181"/>
      <c r="S47" s="181"/>
      <c r="T47" s="181"/>
      <c r="U47" s="181"/>
      <c r="V47" s="181"/>
      <c r="W47" s="181"/>
      <c r="X47" s="179"/>
    </row>
    <row r="48" spans="1:24" ht="27" customHeight="1" thickBot="1" x14ac:dyDescent="0.3">
      <c r="A48" s="178"/>
      <c r="B48" s="180">
        <v>1</v>
      </c>
      <c r="C48" s="181"/>
      <c r="D48" s="180">
        <f>1+B48</f>
        <v>2</v>
      </c>
      <c r="E48" s="181"/>
      <c r="F48" s="180">
        <f>1+D48</f>
        <v>3</v>
      </c>
      <c r="G48" s="181"/>
      <c r="H48" s="180">
        <f>1+F48</f>
        <v>4</v>
      </c>
      <c r="I48" s="182"/>
      <c r="J48" s="180">
        <f>1+H48</f>
        <v>5</v>
      </c>
      <c r="K48" s="179"/>
      <c r="L48" s="175"/>
      <c r="M48" s="176"/>
      <c r="N48" s="178"/>
      <c r="O48" s="180">
        <v>1</v>
      </c>
      <c r="P48" s="181"/>
      <c r="Q48" s="180">
        <f>1+O48</f>
        <v>2</v>
      </c>
      <c r="R48" s="181"/>
      <c r="S48" s="180">
        <f>1+Q48</f>
        <v>3</v>
      </c>
      <c r="T48" s="181"/>
      <c r="U48" s="180">
        <f>1+S48</f>
        <v>4</v>
      </c>
      <c r="V48" s="182"/>
      <c r="W48" s="180">
        <f>1+U48</f>
        <v>5</v>
      </c>
      <c r="X48" s="179"/>
    </row>
    <row r="49" spans="1:24" ht="3" customHeight="1" thickBot="1" x14ac:dyDescent="0.3">
      <c r="A49" s="178"/>
      <c r="B49" s="183"/>
      <c r="C49" s="181"/>
      <c r="D49" s="181"/>
      <c r="E49" s="181"/>
      <c r="F49" s="181"/>
      <c r="G49" s="181"/>
      <c r="H49" s="181"/>
      <c r="I49" s="181"/>
      <c r="J49" s="181"/>
      <c r="K49" s="179"/>
      <c r="L49" s="175"/>
      <c r="M49" s="176"/>
      <c r="N49" s="178"/>
      <c r="O49" s="183"/>
      <c r="P49" s="181"/>
      <c r="Q49" s="181"/>
      <c r="R49" s="181"/>
      <c r="S49" s="181"/>
      <c r="T49" s="181"/>
      <c r="U49" s="181"/>
      <c r="V49" s="181"/>
      <c r="W49" s="181"/>
      <c r="X49" s="179"/>
    </row>
    <row r="50" spans="1:24" ht="27" customHeight="1" thickBot="1" x14ac:dyDescent="0.3">
      <c r="A50" s="178"/>
      <c r="B50" s="180">
        <f>1+J48</f>
        <v>6</v>
      </c>
      <c r="C50" s="181"/>
      <c r="D50" s="180">
        <f>1+B50</f>
        <v>7</v>
      </c>
      <c r="E50" s="181"/>
      <c r="F50" s="180">
        <f>1+D50</f>
        <v>8</v>
      </c>
      <c r="G50" s="181"/>
      <c r="H50" s="180">
        <f>1+F50</f>
        <v>9</v>
      </c>
      <c r="I50" s="182"/>
      <c r="J50" s="180">
        <f>1+H50</f>
        <v>10</v>
      </c>
      <c r="K50" s="179"/>
      <c r="L50" s="175"/>
      <c r="M50" s="176"/>
      <c r="N50" s="178"/>
      <c r="O50" s="180">
        <f>1+W48</f>
        <v>6</v>
      </c>
      <c r="P50" s="181"/>
      <c r="Q50" s="180">
        <f>1+O50</f>
        <v>7</v>
      </c>
      <c r="R50" s="181"/>
      <c r="S50" s="180">
        <f>1+Q50</f>
        <v>8</v>
      </c>
      <c r="T50" s="181"/>
      <c r="U50" s="180">
        <f>1+S50</f>
        <v>9</v>
      </c>
      <c r="V50" s="182"/>
      <c r="W50" s="180">
        <f>1+U50</f>
        <v>10</v>
      </c>
      <c r="X50" s="179"/>
    </row>
    <row r="51" spans="1:24" ht="3" customHeight="1" thickBot="1" x14ac:dyDescent="0.3">
      <c r="A51" s="178"/>
      <c r="B51" s="183"/>
      <c r="C51" s="181"/>
      <c r="D51" s="181"/>
      <c r="E51" s="181"/>
      <c r="F51" s="181"/>
      <c r="G51" s="181"/>
      <c r="H51" s="181"/>
      <c r="I51" s="181"/>
      <c r="J51" s="181"/>
      <c r="K51" s="179"/>
      <c r="L51" s="175"/>
      <c r="M51" s="176"/>
      <c r="N51" s="178"/>
      <c r="O51" s="183"/>
      <c r="P51" s="181"/>
      <c r="Q51" s="181"/>
      <c r="R51" s="181"/>
      <c r="S51" s="181"/>
      <c r="T51" s="181"/>
      <c r="U51" s="181"/>
      <c r="V51" s="181"/>
      <c r="W51" s="181"/>
      <c r="X51" s="179"/>
    </row>
    <row r="52" spans="1:24" ht="27" customHeight="1" thickBot="1" x14ac:dyDescent="0.3">
      <c r="A52" s="178"/>
      <c r="B52" s="180">
        <f>1+J50</f>
        <v>11</v>
      </c>
      <c r="C52" s="181"/>
      <c r="D52" s="180">
        <f>1+B52</f>
        <v>12</v>
      </c>
      <c r="E52" s="181"/>
      <c r="F52" s="180">
        <f>1+D52</f>
        <v>13</v>
      </c>
      <c r="G52" s="181"/>
      <c r="H52" s="180">
        <f>1+F52</f>
        <v>14</v>
      </c>
      <c r="I52" s="182"/>
      <c r="J52" s="180">
        <f>1+H52</f>
        <v>15</v>
      </c>
      <c r="K52" s="179"/>
      <c r="L52" s="175"/>
      <c r="M52" s="176"/>
      <c r="N52" s="178"/>
      <c r="O52" s="180">
        <f>1+W50</f>
        <v>11</v>
      </c>
      <c r="P52" s="181"/>
      <c r="Q52" s="180">
        <f>1+O52</f>
        <v>12</v>
      </c>
      <c r="R52" s="181"/>
      <c r="S52" s="180">
        <f>1+Q52</f>
        <v>13</v>
      </c>
      <c r="T52" s="181"/>
      <c r="U52" s="180">
        <f>1+S52</f>
        <v>14</v>
      </c>
      <c r="V52" s="182"/>
      <c r="W52" s="180">
        <f>1+U52</f>
        <v>15</v>
      </c>
      <c r="X52" s="179"/>
    </row>
    <row r="53" spans="1:24" s="152" customFormat="1" ht="3" customHeight="1" thickBot="1" x14ac:dyDescent="0.3">
      <c r="A53" s="184"/>
      <c r="B53" s="185"/>
      <c r="C53" s="185"/>
      <c r="D53" s="185"/>
      <c r="E53" s="185"/>
      <c r="F53" s="185"/>
      <c r="G53" s="185"/>
      <c r="H53" s="185"/>
      <c r="I53" s="185"/>
      <c r="J53" s="185"/>
      <c r="K53" s="186"/>
      <c r="L53" s="175"/>
      <c r="M53" s="176"/>
      <c r="N53" s="184"/>
      <c r="O53" s="185"/>
      <c r="P53" s="185"/>
      <c r="Q53" s="185"/>
      <c r="R53" s="185"/>
      <c r="S53" s="185"/>
      <c r="T53" s="185"/>
      <c r="U53" s="185"/>
      <c r="V53" s="185"/>
      <c r="W53" s="185"/>
      <c r="X53" s="186"/>
    </row>
  </sheetData>
  <mergeCells count="54">
    <mergeCell ref="O44:Q44"/>
    <mergeCell ref="O46:W46"/>
    <mergeCell ref="U20:W20"/>
    <mergeCell ref="U22:W22"/>
    <mergeCell ref="Q23:S23"/>
    <mergeCell ref="U23:W23"/>
    <mergeCell ref="O24:O26"/>
    <mergeCell ref="Q25:U25"/>
    <mergeCell ref="U28:W28"/>
    <mergeCell ref="O30:O32"/>
    <mergeCell ref="U34:W34"/>
    <mergeCell ref="U36:W36"/>
    <mergeCell ref="O38:W38"/>
    <mergeCell ref="O40:Q40"/>
    <mergeCell ref="O42:Q42"/>
    <mergeCell ref="U4:W4"/>
    <mergeCell ref="Q5:S5"/>
    <mergeCell ref="U5:W5"/>
    <mergeCell ref="O8:O10"/>
    <mergeCell ref="U12:W12"/>
    <mergeCell ref="Q13:S13"/>
    <mergeCell ref="U13:W13"/>
    <mergeCell ref="O14:O16"/>
    <mergeCell ref="Q15:U15"/>
    <mergeCell ref="U18:W18"/>
    <mergeCell ref="D5:F5"/>
    <mergeCell ref="H5:J5"/>
    <mergeCell ref="B46:J46"/>
    <mergeCell ref="B40:D40"/>
    <mergeCell ref="B42:D42"/>
    <mergeCell ref="B30:B32"/>
    <mergeCell ref="H36:J36"/>
    <mergeCell ref="B38:J38"/>
    <mergeCell ref="D13:F13"/>
    <mergeCell ref="H13:J13"/>
    <mergeCell ref="H18:J18"/>
    <mergeCell ref="H20:J20"/>
    <mergeCell ref="H22:J22"/>
    <mergeCell ref="O2:W2"/>
    <mergeCell ref="Q4:S4"/>
    <mergeCell ref="B14:B16"/>
    <mergeCell ref="B24:B26"/>
    <mergeCell ref="B44:D44"/>
    <mergeCell ref="D15:H15"/>
    <mergeCell ref="D25:H25"/>
    <mergeCell ref="H28:J28"/>
    <mergeCell ref="H34:J34"/>
    <mergeCell ref="D23:F23"/>
    <mergeCell ref="H23:J23"/>
    <mergeCell ref="B2:J2"/>
    <mergeCell ref="H4:J4"/>
    <mergeCell ref="D4:F4"/>
    <mergeCell ref="B8:B10"/>
    <mergeCell ref="H12:J12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D49"/>
  <sheetViews>
    <sheetView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13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x14ac:dyDescent="0.25">
      <c r="A9" s="7" t="s">
        <v>169</v>
      </c>
    </row>
    <row r="10" spans="1:4" x14ac:dyDescent="0.25">
      <c r="A10" s="7" t="s">
        <v>137</v>
      </c>
    </row>
    <row r="11" spans="1:4" x14ac:dyDescent="0.25">
      <c r="A11" s="8" t="s">
        <v>138</v>
      </c>
    </row>
    <row r="12" spans="1:4" ht="30" x14ac:dyDescent="0.25">
      <c r="A12" s="7" t="s">
        <v>150</v>
      </c>
    </row>
    <row r="13" spans="1:4" x14ac:dyDescent="0.25">
      <c r="A13" s="7" t="s">
        <v>140</v>
      </c>
    </row>
    <row r="14" spans="1:4" x14ac:dyDescent="0.25">
      <c r="A14" s="7" t="s">
        <v>139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60" x14ac:dyDescent="0.25">
      <c r="A17" s="7" t="s">
        <v>136</v>
      </c>
    </row>
    <row r="18" spans="1:1" x14ac:dyDescent="0.25">
      <c r="A18" s="7" t="s">
        <v>143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D49"/>
  <sheetViews>
    <sheetView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14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x14ac:dyDescent="0.25">
      <c r="A9" s="7" t="s">
        <v>170</v>
      </c>
    </row>
    <row r="10" spans="1:4" ht="30" x14ac:dyDescent="0.25">
      <c r="A10" s="58" t="s">
        <v>151</v>
      </c>
    </row>
    <row r="11" spans="1:4" ht="30" x14ac:dyDescent="0.25">
      <c r="A11" s="7" t="s">
        <v>152</v>
      </c>
    </row>
    <row r="12" spans="1:4" x14ac:dyDescent="0.25">
      <c r="A12" s="7" t="s">
        <v>142</v>
      </c>
    </row>
    <row r="13" spans="1:4" x14ac:dyDescent="0.25">
      <c r="A13" s="7" t="s">
        <v>145</v>
      </c>
    </row>
    <row r="14" spans="1:4" ht="30" x14ac:dyDescent="0.25">
      <c r="A14" s="7" t="s">
        <v>72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60" x14ac:dyDescent="0.25">
      <c r="A17" s="7" t="s">
        <v>136</v>
      </c>
    </row>
    <row r="18" spans="1:1" ht="30" x14ac:dyDescent="0.25">
      <c r="A18" s="7" t="s">
        <v>168</v>
      </c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D52"/>
  <sheetViews>
    <sheetView view="pageBreakPreview" topLeftCell="A4" zoomScale="115" zoomScaleSheetLayoutView="115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15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ht="30" x14ac:dyDescent="0.25">
      <c r="A9" s="7" t="s">
        <v>171</v>
      </c>
    </row>
    <row r="10" spans="1:4" ht="45" x14ac:dyDescent="0.25">
      <c r="A10" s="7" t="s">
        <v>153</v>
      </c>
    </row>
    <row r="11" spans="1:4" ht="30" x14ac:dyDescent="0.25">
      <c r="A11" s="7" t="s">
        <v>176</v>
      </c>
    </row>
    <row r="12" spans="1:4" x14ac:dyDescent="0.25">
      <c r="A12" s="1" t="s">
        <v>146</v>
      </c>
    </row>
    <row r="13" spans="1:4" x14ac:dyDescent="0.25">
      <c r="A13" s="7" t="s">
        <v>145</v>
      </c>
    </row>
    <row r="14" spans="1:4" ht="30" x14ac:dyDescent="0.25">
      <c r="A14" s="7" t="s">
        <v>72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36" customHeight="1" x14ac:dyDescent="0.25">
      <c r="A17" s="59" t="s">
        <v>136</v>
      </c>
    </row>
    <row r="18" spans="1:1" ht="24.75" x14ac:dyDescent="0.25">
      <c r="A18" s="59" t="s">
        <v>168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D49"/>
  <sheetViews>
    <sheetView view="pageBreakPreview" zoomScaleSheetLayoutView="100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18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x14ac:dyDescent="0.25">
      <c r="A9" s="7" t="s">
        <v>174</v>
      </c>
    </row>
    <row r="10" spans="1:4" ht="45" x14ac:dyDescent="0.25">
      <c r="A10" s="7" t="s">
        <v>153</v>
      </c>
    </row>
    <row r="11" spans="1:4" ht="30" x14ac:dyDescent="0.25">
      <c r="A11" s="7" t="s">
        <v>176</v>
      </c>
    </row>
    <row r="12" spans="1:4" x14ac:dyDescent="0.25">
      <c r="A12" s="1" t="s">
        <v>146</v>
      </c>
    </row>
    <row r="13" spans="1:4" x14ac:dyDescent="0.25">
      <c r="A13" s="7" t="s">
        <v>145</v>
      </c>
    </row>
    <row r="14" spans="1:4" ht="30" x14ac:dyDescent="0.25">
      <c r="A14" s="7" t="s">
        <v>72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36" customHeight="1" x14ac:dyDescent="0.25">
      <c r="A17" s="59" t="s">
        <v>136</v>
      </c>
    </row>
    <row r="18" spans="1:1" ht="24.75" x14ac:dyDescent="0.25">
      <c r="A18" s="59" t="s">
        <v>168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D47"/>
  <sheetViews>
    <sheetView view="pageBreakPreview" zoomScaleSheetLayoutView="100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 t="s">
        <v>149</v>
      </c>
      <c r="C1" s="2" t="s">
        <v>39</v>
      </c>
      <c r="D1" s="2">
        <v>19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ht="30" x14ac:dyDescent="0.25">
      <c r="A9" s="7" t="s">
        <v>172</v>
      </c>
    </row>
    <row r="10" spans="1:4" x14ac:dyDescent="0.25">
      <c r="A10" s="58" t="s">
        <v>156</v>
      </c>
    </row>
    <row r="11" spans="1:4" ht="30" x14ac:dyDescent="0.25">
      <c r="A11" s="7" t="s">
        <v>160</v>
      </c>
    </row>
    <row r="12" spans="1:4" x14ac:dyDescent="0.25">
      <c r="A12" s="58" t="s">
        <v>155</v>
      </c>
    </row>
    <row r="13" spans="1:4" x14ac:dyDescent="0.25">
      <c r="A13" s="7" t="s">
        <v>145</v>
      </c>
    </row>
    <row r="14" spans="1:4" x14ac:dyDescent="0.25">
      <c r="A14" s="7" t="s">
        <v>148</v>
      </c>
    </row>
    <row r="15" spans="1:4" ht="84.75" customHeight="1" x14ac:dyDescent="0.35">
      <c r="A15" s="60" t="s">
        <v>159</v>
      </c>
    </row>
    <row r="16" spans="1:4" ht="30" x14ac:dyDescent="0.25">
      <c r="A16" s="7" t="s">
        <v>154</v>
      </c>
    </row>
    <row r="18" spans="1:1" x14ac:dyDescent="0.25">
      <c r="A18" s="7"/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D49"/>
  <sheetViews>
    <sheetView view="pageBreakPreview" zoomScaleSheetLayoutView="100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23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x14ac:dyDescent="0.25">
      <c r="A9" s="7" t="s">
        <v>173</v>
      </c>
    </row>
    <row r="10" spans="1:4" ht="30" x14ac:dyDescent="0.25">
      <c r="A10" s="58" t="s">
        <v>151</v>
      </c>
    </row>
    <row r="11" spans="1:4" ht="30" x14ac:dyDescent="0.25">
      <c r="A11" s="7" t="s">
        <v>152</v>
      </c>
    </row>
    <row r="12" spans="1:4" x14ac:dyDescent="0.25">
      <c r="A12" s="7" t="s">
        <v>142</v>
      </c>
    </row>
    <row r="13" spans="1:4" x14ac:dyDescent="0.25">
      <c r="A13" s="7" t="s">
        <v>145</v>
      </c>
    </row>
    <row r="14" spans="1:4" ht="30" x14ac:dyDescent="0.25">
      <c r="A14" s="7" t="s">
        <v>72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60" x14ac:dyDescent="0.25">
      <c r="A17" s="7" t="s">
        <v>136</v>
      </c>
    </row>
    <row r="18" spans="1:1" ht="30" x14ac:dyDescent="0.25">
      <c r="A18" s="7" t="s">
        <v>161</v>
      </c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D52"/>
  <sheetViews>
    <sheetView view="pageBreakPreview" zoomScaleSheetLayoutView="100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24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ht="30" x14ac:dyDescent="0.25">
      <c r="A9" s="7" t="s">
        <v>171</v>
      </c>
    </row>
    <row r="10" spans="1:4" ht="45" x14ac:dyDescent="0.25">
      <c r="A10" s="7" t="s">
        <v>153</v>
      </c>
    </row>
    <row r="11" spans="1:4" ht="30" x14ac:dyDescent="0.25">
      <c r="A11" s="7" t="s">
        <v>176</v>
      </c>
    </row>
    <row r="12" spans="1:4" x14ac:dyDescent="0.25">
      <c r="A12" s="1" t="s">
        <v>146</v>
      </c>
    </row>
    <row r="13" spans="1:4" x14ac:dyDescent="0.25">
      <c r="A13" s="7" t="s">
        <v>145</v>
      </c>
    </row>
    <row r="14" spans="1:4" ht="30" x14ac:dyDescent="0.25">
      <c r="A14" s="7" t="s">
        <v>72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36" customHeight="1" x14ac:dyDescent="0.25">
      <c r="A17" s="59" t="s">
        <v>136</v>
      </c>
    </row>
    <row r="18" spans="1:1" ht="30" x14ac:dyDescent="0.25">
      <c r="A18" s="7" t="s">
        <v>161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ht="23.25" x14ac:dyDescent="0.35">
      <c r="A44" s="61" t="s">
        <v>162</v>
      </c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  <row r="50" spans="1:1" x14ac:dyDescent="0.25">
      <c r="A50" s="7"/>
    </row>
    <row r="51" spans="1:1" x14ac:dyDescent="0.25">
      <c r="A51" s="7"/>
    </row>
    <row r="52" spans="1:1" x14ac:dyDescent="0.25">
      <c r="A52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D49"/>
  <sheetViews>
    <sheetView view="pageBreakPreview" zoomScaleSheetLayoutView="100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25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ht="29.25" customHeight="1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x14ac:dyDescent="0.25">
      <c r="A9" s="7" t="s">
        <v>174</v>
      </c>
    </row>
    <row r="10" spans="1:4" ht="45" x14ac:dyDescent="0.25">
      <c r="A10" s="7" t="s">
        <v>153</v>
      </c>
    </row>
    <row r="11" spans="1:4" ht="30" x14ac:dyDescent="0.25">
      <c r="A11" s="7" t="s">
        <v>176</v>
      </c>
    </row>
    <row r="12" spans="1:4" x14ac:dyDescent="0.25">
      <c r="A12" s="1" t="s">
        <v>146</v>
      </c>
    </row>
    <row r="13" spans="1:4" x14ac:dyDescent="0.25">
      <c r="A13" s="7" t="s">
        <v>145</v>
      </c>
    </row>
    <row r="14" spans="1:4" ht="30" x14ac:dyDescent="0.25">
      <c r="A14" s="7" t="s">
        <v>72</v>
      </c>
    </row>
    <row r="15" spans="1:4" x14ac:dyDescent="0.25">
      <c r="A15" s="7" t="s">
        <v>147</v>
      </c>
    </row>
    <row r="16" spans="1:4" x14ac:dyDescent="0.25">
      <c r="A16" s="7" t="s">
        <v>144</v>
      </c>
    </row>
    <row r="17" spans="1:1" ht="36" customHeight="1" x14ac:dyDescent="0.25">
      <c r="A17" s="59" t="s">
        <v>136</v>
      </c>
    </row>
    <row r="18" spans="1:1" ht="30" x14ac:dyDescent="0.25">
      <c r="A18" s="7" t="s">
        <v>161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D49"/>
  <sheetViews>
    <sheetView view="pageBreakPreview" topLeftCell="A10" zoomScaleSheetLayoutView="100" workbookViewId="0">
      <selection activeCell="D72" sqref="D72"/>
    </sheetView>
  </sheetViews>
  <sheetFormatPr defaultRowHeight="15" x14ac:dyDescent="0.25"/>
  <cols>
    <col min="1" max="1" width="91.5703125" style="1" customWidth="1"/>
    <col min="2" max="16384" width="9.140625" style="1"/>
  </cols>
  <sheetData>
    <row r="1" spans="1:4" ht="21" x14ac:dyDescent="0.35">
      <c r="A1" s="10">
        <f ca="1">INDIRECT(ADDRESS(D1,6,,,"Общее"))</f>
        <v>0</v>
      </c>
      <c r="C1" s="2" t="s">
        <v>39</v>
      </c>
      <c r="D1" s="2">
        <v>26</v>
      </c>
    </row>
    <row r="2" spans="1:4" x14ac:dyDescent="0.25">
      <c r="A2" s="9" t="str">
        <f ca="1">INDIRECT(ADDRESS($D$1,21,,,"Общее"))&amp;" / "&amp;INDIRECT(ADDRESS($D$1,22,,,"Общее"))</f>
        <v xml:space="preserve"> / </v>
      </c>
    </row>
    <row r="3" spans="1:4" ht="30" customHeight="1" x14ac:dyDescent="0.25">
      <c r="A3" s="11">
        <f ca="1">INDIRECT(ADDRESS($D$1,23,,,"Общее"))</f>
        <v>0</v>
      </c>
    </row>
    <row r="4" spans="1:4" x14ac:dyDescent="0.25">
      <c r="A4" s="9" t="str">
        <f ca="1">"Щиты: "&amp;INDIRECT(ADDRESS($D$1,20,,,"Общее"))</f>
        <v xml:space="preserve">Щиты: </v>
      </c>
    </row>
    <row r="5" spans="1:4" ht="29.25" customHeight="1" x14ac:dyDescent="0.25">
      <c r="A5" s="9" t="str">
        <f ca="1">"Экипажи будут ехать "&amp;INDIRECT(ADDRESS($D$1,24,,,"Общее"))</f>
        <v xml:space="preserve">Экипажи будут ехать </v>
      </c>
    </row>
    <row r="6" spans="1:4" x14ac:dyDescent="0.25">
      <c r="A6" s="9" t="s">
        <v>73</v>
      </c>
    </row>
    <row r="7" spans="1:4" x14ac:dyDescent="0.25">
      <c r="A7" s="7"/>
    </row>
    <row r="8" spans="1:4" x14ac:dyDescent="0.25">
      <c r="A8" s="7" t="s">
        <v>70</v>
      </c>
    </row>
    <row r="9" spans="1:4" x14ac:dyDescent="0.25">
      <c r="A9" s="7" t="s">
        <v>175</v>
      </c>
    </row>
    <row r="10" spans="1:4" x14ac:dyDescent="0.25">
      <c r="A10" s="7" t="s">
        <v>163</v>
      </c>
    </row>
    <row r="11" spans="1:4" x14ac:dyDescent="0.25">
      <c r="A11" s="7" t="s">
        <v>164</v>
      </c>
    </row>
    <row r="12" spans="1:4" x14ac:dyDescent="0.25">
      <c r="A12" s="7" t="s">
        <v>165</v>
      </c>
    </row>
    <row r="13" spans="1:4" ht="30" x14ac:dyDescent="0.25">
      <c r="A13" s="7" t="s">
        <v>166</v>
      </c>
    </row>
    <row r="14" spans="1:4" x14ac:dyDescent="0.25">
      <c r="A14" s="7" t="s">
        <v>157</v>
      </c>
    </row>
    <row r="15" spans="1:4" x14ac:dyDescent="0.25">
      <c r="A15" s="7" t="s">
        <v>158</v>
      </c>
    </row>
    <row r="16" spans="1:4" ht="63" customHeight="1" x14ac:dyDescent="0.25">
      <c r="A16" s="7" t="s">
        <v>141</v>
      </c>
    </row>
    <row r="17" spans="1:1" x14ac:dyDescent="0.25">
      <c r="A17" s="7" t="s">
        <v>167</v>
      </c>
    </row>
    <row r="19" spans="1:1" x14ac:dyDescent="0.25">
      <c r="A19" s="7"/>
    </row>
    <row r="20" spans="1:1" x14ac:dyDescent="0.25">
      <c r="A20" s="7"/>
    </row>
    <row r="21" spans="1:1" x14ac:dyDescent="0.25">
      <c r="A21" s="7"/>
    </row>
    <row r="22" spans="1:1" x14ac:dyDescent="0.25">
      <c r="A22" s="7"/>
    </row>
    <row r="23" spans="1:1" x14ac:dyDescent="0.25">
      <c r="A23" s="7"/>
    </row>
    <row r="24" spans="1:1" x14ac:dyDescent="0.25">
      <c r="A24" s="7"/>
    </row>
    <row r="25" spans="1:1" x14ac:dyDescent="0.25">
      <c r="A25" s="7"/>
    </row>
    <row r="26" spans="1:1" x14ac:dyDescent="0.25">
      <c r="A26" s="7"/>
    </row>
    <row r="27" spans="1:1" x14ac:dyDescent="0.25">
      <c r="A27" s="7"/>
    </row>
    <row r="28" spans="1:1" x14ac:dyDescent="0.25">
      <c r="A28" s="7"/>
    </row>
    <row r="29" spans="1:1" x14ac:dyDescent="0.25">
      <c r="A29" s="7"/>
    </row>
    <row r="30" spans="1:1" x14ac:dyDescent="0.25">
      <c r="A30" s="7"/>
    </row>
    <row r="31" spans="1:1" x14ac:dyDescent="0.25">
      <c r="A31" s="7"/>
    </row>
    <row r="32" spans="1:1" x14ac:dyDescent="0.25">
      <c r="A32" s="7"/>
    </row>
    <row r="33" spans="1:1" x14ac:dyDescent="0.25">
      <c r="A33" s="7"/>
    </row>
    <row r="34" spans="1:1" x14ac:dyDescent="0.25">
      <c r="A34" s="7"/>
    </row>
    <row r="35" spans="1:1" x14ac:dyDescent="0.25">
      <c r="A35" s="7"/>
    </row>
    <row r="36" spans="1:1" x14ac:dyDescent="0.25">
      <c r="A36" s="7"/>
    </row>
    <row r="37" spans="1:1" x14ac:dyDescent="0.25">
      <c r="A37" s="7"/>
    </row>
    <row r="38" spans="1:1" x14ac:dyDescent="0.25">
      <c r="A38" s="7"/>
    </row>
    <row r="39" spans="1:1" x14ac:dyDescent="0.25">
      <c r="A39" s="7"/>
    </row>
    <row r="40" spans="1:1" x14ac:dyDescent="0.25">
      <c r="A40" s="7"/>
    </row>
    <row r="41" spans="1:1" x14ac:dyDescent="0.25">
      <c r="A41" s="7"/>
    </row>
    <row r="42" spans="1:1" x14ac:dyDescent="0.25">
      <c r="A42" s="7"/>
    </row>
    <row r="43" spans="1:1" x14ac:dyDescent="0.25">
      <c r="A43" s="7"/>
    </row>
    <row r="44" spans="1:1" x14ac:dyDescent="0.25">
      <c r="A44" s="7"/>
    </row>
    <row r="45" spans="1:1" x14ac:dyDescent="0.25">
      <c r="A45" s="7"/>
    </row>
    <row r="46" spans="1:1" x14ac:dyDescent="0.25">
      <c r="A46" s="7"/>
    </row>
    <row r="47" spans="1:1" x14ac:dyDescent="0.25">
      <c r="A47" s="7"/>
    </row>
    <row r="48" spans="1:1" x14ac:dyDescent="0.25">
      <c r="A48" s="7"/>
    </row>
    <row r="49" spans="1:1" x14ac:dyDescent="0.25">
      <c r="A49" s="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92D050"/>
  </sheetPr>
  <dimension ref="A1:FI70"/>
  <sheetViews>
    <sheetView showZeros="0" view="pageBreakPreview" zoomScale="85" zoomScaleNormal="85" zoomScaleSheetLayoutView="85" workbookViewId="0">
      <pane xSplit="1" ySplit="9" topLeftCell="B13" activePane="bottomRight" state="frozen"/>
      <selection activeCell="D72" sqref="D72"/>
      <selection pane="topRight" activeCell="D72" sqref="D72"/>
      <selection pane="bottomLeft" activeCell="D72" sqref="D72"/>
      <selection pane="bottomRight" activeCell="B13" sqref="B13"/>
    </sheetView>
  </sheetViews>
  <sheetFormatPr defaultRowHeight="15.75" x14ac:dyDescent="0.25"/>
  <cols>
    <col min="1" max="1" width="11.85546875" style="254" customWidth="1"/>
    <col min="2" max="5" width="20.7109375" style="2" customWidth="1"/>
    <col min="6" max="9" width="11.85546875" style="2" customWidth="1"/>
    <col min="10" max="10" width="12.85546875" style="2" customWidth="1"/>
    <col min="11" max="12" width="8.7109375" style="2" customWidth="1"/>
    <col min="13" max="13" width="3.7109375" style="2" customWidth="1"/>
    <col min="14" max="19" width="8.7109375" style="2" customWidth="1"/>
    <col min="20" max="20" width="3.7109375" style="2" customWidth="1"/>
    <col min="21" max="23" width="8.7109375" style="2" customWidth="1"/>
    <col min="24" max="25" width="8.7109375" style="2" hidden="1" customWidth="1"/>
    <col min="26" max="27" width="8.7109375" style="2" customWidth="1"/>
    <col min="28" max="28" width="3.7109375" style="2" customWidth="1"/>
    <col min="29" max="31" width="8.7109375" style="2" customWidth="1"/>
    <col min="32" max="33" width="8.7109375" style="2" hidden="1" customWidth="1"/>
    <col min="34" max="35" width="8.7109375" style="2" customWidth="1"/>
    <col min="36" max="36" width="3.7109375" style="2" customWidth="1"/>
    <col min="37" max="39" width="8.7109375" style="2" customWidth="1"/>
    <col min="40" max="41" width="8.7109375" style="2" hidden="1" customWidth="1"/>
    <col min="42" max="43" width="8.7109375" style="2" customWidth="1"/>
    <col min="44" max="44" width="3.7109375" style="2" customWidth="1"/>
    <col min="45" max="47" width="8.7109375" style="2" customWidth="1"/>
    <col min="48" max="49" width="8.7109375" style="2" hidden="1" customWidth="1"/>
    <col min="50" max="51" width="8.7109375" style="2" customWidth="1"/>
    <col min="52" max="52" width="3.7109375" style="2" customWidth="1"/>
    <col min="53" max="55" width="8.7109375" style="2" customWidth="1"/>
    <col min="56" max="57" width="8.7109375" style="2" hidden="1" customWidth="1"/>
    <col min="58" max="59" width="8.7109375" style="2" customWidth="1"/>
    <col min="60" max="60" width="3.7109375" style="2" customWidth="1"/>
    <col min="61" max="63" width="8.7109375" style="2" customWidth="1"/>
    <col min="64" max="65" width="8.7109375" style="2" hidden="1" customWidth="1"/>
    <col min="66" max="67" width="8.7109375" style="2" customWidth="1"/>
    <col min="68" max="68" width="3.7109375" style="2" customWidth="1"/>
    <col min="69" max="70" width="8.7109375" style="2" customWidth="1"/>
    <col min="71" max="73" width="8.7109375" style="2" hidden="1" customWidth="1"/>
    <col min="74" max="79" width="8.7109375" style="2" customWidth="1"/>
    <col min="80" max="80" width="8.7109375" style="2" hidden="1" customWidth="1"/>
    <col min="81" max="81" width="8.7109375" style="2" customWidth="1"/>
    <col min="82" max="82" width="8.7109375" style="2" hidden="1" customWidth="1"/>
    <col min="83" max="84" width="1.140625" style="2" hidden="1" customWidth="1"/>
    <col min="85" max="86" width="8.7109375" style="2" customWidth="1"/>
    <col min="87" max="87" width="3.7109375" style="2" customWidth="1"/>
    <col min="88" max="91" width="8.7109375" style="2" customWidth="1"/>
    <col min="92" max="92" width="3.7109375" style="2" customWidth="1"/>
    <col min="93" max="94" width="8.7109375" style="2" customWidth="1"/>
    <col min="95" max="95" width="8.7109375" style="2" hidden="1" customWidth="1"/>
    <col min="96" max="96" width="8.7109375" style="2" customWidth="1"/>
    <col min="97" max="97" width="8.7109375" style="2" hidden="1" customWidth="1"/>
    <col min="98" max="99" width="1.140625" style="2" hidden="1" customWidth="1"/>
    <col min="100" max="101" width="8.7109375" style="2" customWidth="1"/>
    <col min="102" max="102" width="3.7109375" style="2" customWidth="1"/>
    <col min="103" max="106" width="8.7109375" style="2" customWidth="1"/>
    <col min="107" max="107" width="3.7109375" style="2" customWidth="1"/>
    <col min="108" max="109" width="8.7109375" style="2" customWidth="1"/>
    <col min="110" max="112" width="8.7109375" style="2" hidden="1" customWidth="1"/>
    <col min="113" max="118" width="8.7109375" style="2" customWidth="1"/>
    <col min="119" max="119" width="59" style="2" customWidth="1"/>
    <col min="120" max="120" width="8.7109375" style="2" customWidth="1"/>
    <col min="121" max="121" width="41.28515625" style="2" customWidth="1"/>
    <col min="122" max="126" width="8.7109375" style="2" customWidth="1"/>
    <col min="127" max="150" width="8.7109375" style="460" customWidth="1"/>
    <col min="151" max="152" width="8.7109375" style="2" customWidth="1"/>
    <col min="153" max="153" width="3.7109375" style="2" customWidth="1"/>
    <col min="154" max="164" width="8.7109375" style="2" customWidth="1"/>
    <col min="165" max="284" width="9.140625" style="2"/>
    <col min="285" max="285" width="18.7109375" style="2" customWidth="1"/>
    <col min="286" max="286" width="18.140625" style="2" customWidth="1"/>
    <col min="287" max="287" width="8.7109375" style="2" customWidth="1"/>
    <col min="288" max="288" width="9.140625" style="2"/>
    <col min="289" max="289" width="9.140625" style="2" customWidth="1"/>
    <col min="290" max="290" width="27.28515625" style="2" customWidth="1"/>
    <col min="291" max="326" width="9.140625" style="2" customWidth="1"/>
    <col min="327" max="540" width="9.140625" style="2"/>
    <col min="541" max="541" width="18.7109375" style="2" customWidth="1"/>
    <col min="542" max="542" width="18.140625" style="2" customWidth="1"/>
    <col min="543" max="543" width="8.7109375" style="2" customWidth="1"/>
    <col min="544" max="544" width="9.140625" style="2"/>
    <col min="545" max="545" width="9.140625" style="2" customWidth="1"/>
    <col min="546" max="546" width="27.28515625" style="2" customWidth="1"/>
    <col min="547" max="582" width="9.140625" style="2" customWidth="1"/>
    <col min="583" max="796" width="9.140625" style="2"/>
    <col min="797" max="797" width="18.7109375" style="2" customWidth="1"/>
    <col min="798" max="798" width="18.140625" style="2" customWidth="1"/>
    <col min="799" max="799" width="8.7109375" style="2" customWidth="1"/>
    <col min="800" max="800" width="9.140625" style="2"/>
    <col min="801" max="801" width="9.140625" style="2" customWidth="1"/>
    <col min="802" max="802" width="27.28515625" style="2" customWidth="1"/>
    <col min="803" max="838" width="9.140625" style="2" customWidth="1"/>
    <col min="839" max="1052" width="9.140625" style="2"/>
    <col min="1053" max="1053" width="18.7109375" style="2" customWidth="1"/>
    <col min="1054" max="1054" width="18.140625" style="2" customWidth="1"/>
    <col min="1055" max="1055" width="8.7109375" style="2" customWidth="1"/>
    <col min="1056" max="1056" width="9.140625" style="2"/>
    <col min="1057" max="1057" width="9.140625" style="2" customWidth="1"/>
    <col min="1058" max="1058" width="27.28515625" style="2" customWidth="1"/>
    <col min="1059" max="1094" width="9.140625" style="2" customWidth="1"/>
    <col min="1095" max="1308" width="9.140625" style="2"/>
    <col min="1309" max="1309" width="18.7109375" style="2" customWidth="1"/>
    <col min="1310" max="1310" width="18.140625" style="2" customWidth="1"/>
    <col min="1311" max="1311" width="8.7109375" style="2" customWidth="1"/>
    <col min="1312" max="1312" width="9.140625" style="2"/>
    <col min="1313" max="1313" width="9.140625" style="2" customWidth="1"/>
    <col min="1314" max="1314" width="27.28515625" style="2" customWidth="1"/>
    <col min="1315" max="1350" width="9.140625" style="2" customWidth="1"/>
    <col min="1351" max="1564" width="9.140625" style="2"/>
    <col min="1565" max="1565" width="18.7109375" style="2" customWidth="1"/>
    <col min="1566" max="1566" width="18.140625" style="2" customWidth="1"/>
    <col min="1567" max="1567" width="8.7109375" style="2" customWidth="1"/>
    <col min="1568" max="1568" width="9.140625" style="2"/>
    <col min="1569" max="1569" width="9.140625" style="2" customWidth="1"/>
    <col min="1570" max="1570" width="27.28515625" style="2" customWidth="1"/>
    <col min="1571" max="1606" width="9.140625" style="2" customWidth="1"/>
    <col min="1607" max="1820" width="9.140625" style="2"/>
    <col min="1821" max="1821" width="18.7109375" style="2" customWidth="1"/>
    <col min="1822" max="1822" width="18.140625" style="2" customWidth="1"/>
    <col min="1823" max="1823" width="8.7109375" style="2" customWidth="1"/>
    <col min="1824" max="1824" width="9.140625" style="2"/>
    <col min="1825" max="1825" width="9.140625" style="2" customWidth="1"/>
    <col min="1826" max="1826" width="27.28515625" style="2" customWidth="1"/>
    <col min="1827" max="1862" width="9.140625" style="2" customWidth="1"/>
    <col min="1863" max="2076" width="9.140625" style="2"/>
    <col min="2077" max="2077" width="18.7109375" style="2" customWidth="1"/>
    <col min="2078" max="2078" width="18.140625" style="2" customWidth="1"/>
    <col min="2079" max="2079" width="8.7109375" style="2" customWidth="1"/>
    <col min="2080" max="2080" width="9.140625" style="2"/>
    <col min="2081" max="2081" width="9.140625" style="2" customWidth="1"/>
    <col min="2082" max="2082" width="27.28515625" style="2" customWidth="1"/>
    <col min="2083" max="2118" width="9.140625" style="2" customWidth="1"/>
    <col min="2119" max="2332" width="9.140625" style="2"/>
    <col min="2333" max="2333" width="18.7109375" style="2" customWidth="1"/>
    <col min="2334" max="2334" width="18.140625" style="2" customWidth="1"/>
    <col min="2335" max="2335" width="8.7109375" style="2" customWidth="1"/>
    <col min="2336" max="2336" width="9.140625" style="2"/>
    <col min="2337" max="2337" width="9.140625" style="2" customWidth="1"/>
    <col min="2338" max="2338" width="27.28515625" style="2" customWidth="1"/>
    <col min="2339" max="2374" width="9.140625" style="2" customWidth="1"/>
    <col min="2375" max="2588" width="9.140625" style="2"/>
    <col min="2589" max="2589" width="18.7109375" style="2" customWidth="1"/>
    <col min="2590" max="2590" width="18.140625" style="2" customWidth="1"/>
    <col min="2591" max="2591" width="8.7109375" style="2" customWidth="1"/>
    <col min="2592" max="2592" width="9.140625" style="2"/>
    <col min="2593" max="2593" width="9.140625" style="2" customWidth="1"/>
    <col min="2594" max="2594" width="27.28515625" style="2" customWidth="1"/>
    <col min="2595" max="2630" width="9.140625" style="2" customWidth="1"/>
    <col min="2631" max="2844" width="9.140625" style="2"/>
    <col min="2845" max="2845" width="18.7109375" style="2" customWidth="1"/>
    <col min="2846" max="2846" width="18.140625" style="2" customWidth="1"/>
    <col min="2847" max="2847" width="8.7109375" style="2" customWidth="1"/>
    <col min="2848" max="2848" width="9.140625" style="2"/>
    <col min="2849" max="2849" width="9.140625" style="2" customWidth="1"/>
    <col min="2850" max="2850" width="27.28515625" style="2" customWidth="1"/>
    <col min="2851" max="2886" width="9.140625" style="2" customWidth="1"/>
    <col min="2887" max="3100" width="9.140625" style="2"/>
    <col min="3101" max="3101" width="18.7109375" style="2" customWidth="1"/>
    <col min="3102" max="3102" width="18.140625" style="2" customWidth="1"/>
    <col min="3103" max="3103" width="8.7109375" style="2" customWidth="1"/>
    <col min="3104" max="3104" width="9.140625" style="2"/>
    <col min="3105" max="3105" width="9.140625" style="2" customWidth="1"/>
    <col min="3106" max="3106" width="27.28515625" style="2" customWidth="1"/>
    <col min="3107" max="3142" width="9.140625" style="2" customWidth="1"/>
    <col min="3143" max="3356" width="9.140625" style="2"/>
    <col min="3357" max="3357" width="18.7109375" style="2" customWidth="1"/>
    <col min="3358" max="3358" width="18.140625" style="2" customWidth="1"/>
    <col min="3359" max="3359" width="8.7109375" style="2" customWidth="1"/>
    <col min="3360" max="3360" width="9.140625" style="2"/>
    <col min="3361" max="3361" width="9.140625" style="2" customWidth="1"/>
    <col min="3362" max="3362" width="27.28515625" style="2" customWidth="1"/>
    <col min="3363" max="3398" width="9.140625" style="2" customWidth="1"/>
    <col min="3399" max="3612" width="9.140625" style="2"/>
    <col min="3613" max="3613" width="18.7109375" style="2" customWidth="1"/>
    <col min="3614" max="3614" width="18.140625" style="2" customWidth="1"/>
    <col min="3615" max="3615" width="8.7109375" style="2" customWidth="1"/>
    <col min="3616" max="3616" width="9.140625" style="2"/>
    <col min="3617" max="3617" width="9.140625" style="2" customWidth="1"/>
    <col min="3618" max="3618" width="27.28515625" style="2" customWidth="1"/>
    <col min="3619" max="3654" width="9.140625" style="2" customWidth="1"/>
    <col min="3655" max="3868" width="9.140625" style="2"/>
    <col min="3869" max="3869" width="18.7109375" style="2" customWidth="1"/>
    <col min="3870" max="3870" width="18.140625" style="2" customWidth="1"/>
    <col min="3871" max="3871" width="8.7109375" style="2" customWidth="1"/>
    <col min="3872" max="3872" width="9.140625" style="2"/>
    <col min="3873" max="3873" width="9.140625" style="2" customWidth="1"/>
    <col min="3874" max="3874" width="27.28515625" style="2" customWidth="1"/>
    <col min="3875" max="3910" width="9.140625" style="2" customWidth="1"/>
    <col min="3911" max="4124" width="9.140625" style="2"/>
    <col min="4125" max="4125" width="18.7109375" style="2" customWidth="1"/>
    <col min="4126" max="4126" width="18.140625" style="2" customWidth="1"/>
    <col min="4127" max="4127" width="8.7109375" style="2" customWidth="1"/>
    <col min="4128" max="4128" width="9.140625" style="2"/>
    <col min="4129" max="4129" width="9.140625" style="2" customWidth="1"/>
    <col min="4130" max="4130" width="27.28515625" style="2" customWidth="1"/>
    <col min="4131" max="4166" width="9.140625" style="2" customWidth="1"/>
    <col min="4167" max="4380" width="9.140625" style="2"/>
    <col min="4381" max="4381" width="18.7109375" style="2" customWidth="1"/>
    <col min="4382" max="4382" width="18.140625" style="2" customWidth="1"/>
    <col min="4383" max="4383" width="8.7109375" style="2" customWidth="1"/>
    <col min="4384" max="4384" width="9.140625" style="2"/>
    <col min="4385" max="4385" width="9.140625" style="2" customWidth="1"/>
    <col min="4386" max="4386" width="27.28515625" style="2" customWidth="1"/>
    <col min="4387" max="4422" width="9.140625" style="2" customWidth="1"/>
    <col min="4423" max="4636" width="9.140625" style="2"/>
    <col min="4637" max="4637" width="18.7109375" style="2" customWidth="1"/>
    <col min="4638" max="4638" width="18.140625" style="2" customWidth="1"/>
    <col min="4639" max="4639" width="8.7109375" style="2" customWidth="1"/>
    <col min="4640" max="4640" width="9.140625" style="2"/>
    <col min="4641" max="4641" width="9.140625" style="2" customWidth="1"/>
    <col min="4642" max="4642" width="27.28515625" style="2" customWidth="1"/>
    <col min="4643" max="4678" width="9.140625" style="2" customWidth="1"/>
    <col min="4679" max="4892" width="9.140625" style="2"/>
    <col min="4893" max="4893" width="18.7109375" style="2" customWidth="1"/>
    <col min="4894" max="4894" width="18.140625" style="2" customWidth="1"/>
    <col min="4895" max="4895" width="8.7109375" style="2" customWidth="1"/>
    <col min="4896" max="4896" width="9.140625" style="2"/>
    <col min="4897" max="4897" width="9.140625" style="2" customWidth="1"/>
    <col min="4898" max="4898" width="27.28515625" style="2" customWidth="1"/>
    <col min="4899" max="4934" width="9.140625" style="2" customWidth="1"/>
    <col min="4935" max="5148" width="9.140625" style="2"/>
    <col min="5149" max="5149" width="18.7109375" style="2" customWidth="1"/>
    <col min="5150" max="5150" width="18.140625" style="2" customWidth="1"/>
    <col min="5151" max="5151" width="8.7109375" style="2" customWidth="1"/>
    <col min="5152" max="5152" width="9.140625" style="2"/>
    <col min="5153" max="5153" width="9.140625" style="2" customWidth="1"/>
    <col min="5154" max="5154" width="27.28515625" style="2" customWidth="1"/>
    <col min="5155" max="5190" width="9.140625" style="2" customWidth="1"/>
    <col min="5191" max="5404" width="9.140625" style="2"/>
    <col min="5405" max="5405" width="18.7109375" style="2" customWidth="1"/>
    <col min="5406" max="5406" width="18.140625" style="2" customWidth="1"/>
    <col min="5407" max="5407" width="8.7109375" style="2" customWidth="1"/>
    <col min="5408" max="5408" width="9.140625" style="2"/>
    <col min="5409" max="5409" width="9.140625" style="2" customWidth="1"/>
    <col min="5410" max="5410" width="27.28515625" style="2" customWidth="1"/>
    <col min="5411" max="5446" width="9.140625" style="2" customWidth="1"/>
    <col min="5447" max="5660" width="9.140625" style="2"/>
    <col min="5661" max="5661" width="18.7109375" style="2" customWidth="1"/>
    <col min="5662" max="5662" width="18.140625" style="2" customWidth="1"/>
    <col min="5663" max="5663" width="8.7109375" style="2" customWidth="1"/>
    <col min="5664" max="5664" width="9.140625" style="2"/>
    <col min="5665" max="5665" width="9.140625" style="2" customWidth="1"/>
    <col min="5666" max="5666" width="27.28515625" style="2" customWidth="1"/>
    <col min="5667" max="5702" width="9.140625" style="2" customWidth="1"/>
    <col min="5703" max="5916" width="9.140625" style="2"/>
    <col min="5917" max="5917" width="18.7109375" style="2" customWidth="1"/>
    <col min="5918" max="5918" width="18.140625" style="2" customWidth="1"/>
    <col min="5919" max="5919" width="8.7109375" style="2" customWidth="1"/>
    <col min="5920" max="5920" width="9.140625" style="2"/>
    <col min="5921" max="5921" width="9.140625" style="2" customWidth="1"/>
    <col min="5922" max="5922" width="27.28515625" style="2" customWidth="1"/>
    <col min="5923" max="5958" width="9.140625" style="2" customWidth="1"/>
    <col min="5959" max="6172" width="9.140625" style="2"/>
    <col min="6173" max="6173" width="18.7109375" style="2" customWidth="1"/>
    <col min="6174" max="6174" width="18.140625" style="2" customWidth="1"/>
    <col min="6175" max="6175" width="8.7109375" style="2" customWidth="1"/>
    <col min="6176" max="6176" width="9.140625" style="2"/>
    <col min="6177" max="6177" width="9.140625" style="2" customWidth="1"/>
    <col min="6178" max="6178" width="27.28515625" style="2" customWidth="1"/>
    <col min="6179" max="6214" width="9.140625" style="2" customWidth="1"/>
    <col min="6215" max="6428" width="9.140625" style="2"/>
    <col min="6429" max="6429" width="18.7109375" style="2" customWidth="1"/>
    <col min="6430" max="6430" width="18.140625" style="2" customWidth="1"/>
    <col min="6431" max="6431" width="8.7109375" style="2" customWidth="1"/>
    <col min="6432" max="6432" width="9.140625" style="2"/>
    <col min="6433" max="6433" width="9.140625" style="2" customWidth="1"/>
    <col min="6434" max="6434" width="27.28515625" style="2" customWidth="1"/>
    <col min="6435" max="6470" width="9.140625" style="2" customWidth="1"/>
    <col min="6471" max="6684" width="9.140625" style="2"/>
    <col min="6685" max="6685" width="18.7109375" style="2" customWidth="1"/>
    <col min="6686" max="6686" width="18.140625" style="2" customWidth="1"/>
    <col min="6687" max="6687" width="8.7109375" style="2" customWidth="1"/>
    <col min="6688" max="6688" width="9.140625" style="2"/>
    <col min="6689" max="6689" width="9.140625" style="2" customWidth="1"/>
    <col min="6690" max="6690" width="27.28515625" style="2" customWidth="1"/>
    <col min="6691" max="6726" width="9.140625" style="2" customWidth="1"/>
    <col min="6727" max="6940" width="9.140625" style="2"/>
    <col min="6941" max="6941" width="18.7109375" style="2" customWidth="1"/>
    <col min="6942" max="6942" width="18.140625" style="2" customWidth="1"/>
    <col min="6943" max="6943" width="8.7109375" style="2" customWidth="1"/>
    <col min="6944" max="6944" width="9.140625" style="2"/>
    <col min="6945" max="6945" width="9.140625" style="2" customWidth="1"/>
    <col min="6946" max="6946" width="27.28515625" style="2" customWidth="1"/>
    <col min="6947" max="6982" width="9.140625" style="2" customWidth="1"/>
    <col min="6983" max="7196" width="9.140625" style="2"/>
    <col min="7197" max="7197" width="18.7109375" style="2" customWidth="1"/>
    <col min="7198" max="7198" width="18.140625" style="2" customWidth="1"/>
    <col min="7199" max="7199" width="8.7109375" style="2" customWidth="1"/>
    <col min="7200" max="7200" width="9.140625" style="2"/>
    <col min="7201" max="7201" width="9.140625" style="2" customWidth="1"/>
    <col min="7202" max="7202" width="27.28515625" style="2" customWidth="1"/>
    <col min="7203" max="7238" width="9.140625" style="2" customWidth="1"/>
    <col min="7239" max="7452" width="9.140625" style="2"/>
    <col min="7453" max="7453" width="18.7109375" style="2" customWidth="1"/>
    <col min="7454" max="7454" width="18.140625" style="2" customWidth="1"/>
    <col min="7455" max="7455" width="8.7109375" style="2" customWidth="1"/>
    <col min="7456" max="7456" width="9.140625" style="2"/>
    <col min="7457" max="7457" width="9.140625" style="2" customWidth="1"/>
    <col min="7458" max="7458" width="27.28515625" style="2" customWidth="1"/>
    <col min="7459" max="7494" width="9.140625" style="2" customWidth="1"/>
    <col min="7495" max="7708" width="9.140625" style="2"/>
    <col min="7709" max="7709" width="18.7109375" style="2" customWidth="1"/>
    <col min="7710" max="7710" width="18.140625" style="2" customWidth="1"/>
    <col min="7711" max="7711" width="8.7109375" style="2" customWidth="1"/>
    <col min="7712" max="7712" width="9.140625" style="2"/>
    <col min="7713" max="7713" width="9.140625" style="2" customWidth="1"/>
    <col min="7714" max="7714" width="27.28515625" style="2" customWidth="1"/>
    <col min="7715" max="7750" width="9.140625" style="2" customWidth="1"/>
    <col min="7751" max="7964" width="9.140625" style="2"/>
    <col min="7965" max="7965" width="18.7109375" style="2" customWidth="1"/>
    <col min="7966" max="7966" width="18.140625" style="2" customWidth="1"/>
    <col min="7967" max="7967" width="8.7109375" style="2" customWidth="1"/>
    <col min="7968" max="7968" width="9.140625" style="2"/>
    <col min="7969" max="7969" width="9.140625" style="2" customWidth="1"/>
    <col min="7970" max="7970" width="27.28515625" style="2" customWidth="1"/>
    <col min="7971" max="8006" width="9.140625" style="2" customWidth="1"/>
    <col min="8007" max="8220" width="9.140625" style="2"/>
    <col min="8221" max="8221" width="18.7109375" style="2" customWidth="1"/>
    <col min="8222" max="8222" width="18.140625" style="2" customWidth="1"/>
    <col min="8223" max="8223" width="8.7109375" style="2" customWidth="1"/>
    <col min="8224" max="8224" width="9.140625" style="2"/>
    <col min="8225" max="8225" width="9.140625" style="2" customWidth="1"/>
    <col min="8226" max="8226" width="27.28515625" style="2" customWidth="1"/>
    <col min="8227" max="8262" width="9.140625" style="2" customWidth="1"/>
    <col min="8263" max="8476" width="9.140625" style="2"/>
    <col min="8477" max="8477" width="18.7109375" style="2" customWidth="1"/>
    <col min="8478" max="8478" width="18.140625" style="2" customWidth="1"/>
    <col min="8479" max="8479" width="8.7109375" style="2" customWidth="1"/>
    <col min="8480" max="8480" width="9.140625" style="2"/>
    <col min="8481" max="8481" width="9.140625" style="2" customWidth="1"/>
    <col min="8482" max="8482" width="27.28515625" style="2" customWidth="1"/>
    <col min="8483" max="8518" width="9.140625" style="2" customWidth="1"/>
    <col min="8519" max="8732" width="9.140625" style="2"/>
    <col min="8733" max="8733" width="18.7109375" style="2" customWidth="1"/>
    <col min="8734" max="8734" width="18.140625" style="2" customWidth="1"/>
    <col min="8735" max="8735" width="8.7109375" style="2" customWidth="1"/>
    <col min="8736" max="8736" width="9.140625" style="2"/>
    <col min="8737" max="8737" width="9.140625" style="2" customWidth="1"/>
    <col min="8738" max="8738" width="27.28515625" style="2" customWidth="1"/>
    <col min="8739" max="8774" width="9.140625" style="2" customWidth="1"/>
    <col min="8775" max="8988" width="9.140625" style="2"/>
    <col min="8989" max="8989" width="18.7109375" style="2" customWidth="1"/>
    <col min="8990" max="8990" width="18.140625" style="2" customWidth="1"/>
    <col min="8991" max="8991" width="8.7109375" style="2" customWidth="1"/>
    <col min="8992" max="8992" width="9.140625" style="2"/>
    <col min="8993" max="8993" width="9.140625" style="2" customWidth="1"/>
    <col min="8994" max="8994" width="27.28515625" style="2" customWidth="1"/>
    <col min="8995" max="9030" width="9.140625" style="2" customWidth="1"/>
    <col min="9031" max="9244" width="9.140625" style="2"/>
    <col min="9245" max="9245" width="18.7109375" style="2" customWidth="1"/>
    <col min="9246" max="9246" width="18.140625" style="2" customWidth="1"/>
    <col min="9247" max="9247" width="8.7109375" style="2" customWidth="1"/>
    <col min="9248" max="9248" width="9.140625" style="2"/>
    <col min="9249" max="9249" width="9.140625" style="2" customWidth="1"/>
    <col min="9250" max="9250" width="27.28515625" style="2" customWidth="1"/>
    <col min="9251" max="9286" width="9.140625" style="2" customWidth="1"/>
    <col min="9287" max="9500" width="9.140625" style="2"/>
    <col min="9501" max="9501" width="18.7109375" style="2" customWidth="1"/>
    <col min="9502" max="9502" width="18.140625" style="2" customWidth="1"/>
    <col min="9503" max="9503" width="8.7109375" style="2" customWidth="1"/>
    <col min="9504" max="9504" width="9.140625" style="2"/>
    <col min="9505" max="9505" width="9.140625" style="2" customWidth="1"/>
    <col min="9506" max="9506" width="27.28515625" style="2" customWidth="1"/>
    <col min="9507" max="9542" width="9.140625" style="2" customWidth="1"/>
    <col min="9543" max="9756" width="9.140625" style="2"/>
    <col min="9757" max="9757" width="18.7109375" style="2" customWidth="1"/>
    <col min="9758" max="9758" width="18.140625" style="2" customWidth="1"/>
    <col min="9759" max="9759" width="8.7109375" style="2" customWidth="1"/>
    <col min="9760" max="9760" width="9.140625" style="2"/>
    <col min="9761" max="9761" width="9.140625" style="2" customWidth="1"/>
    <col min="9762" max="9762" width="27.28515625" style="2" customWidth="1"/>
    <col min="9763" max="9798" width="9.140625" style="2" customWidth="1"/>
    <col min="9799" max="10012" width="9.140625" style="2"/>
    <col min="10013" max="10013" width="18.7109375" style="2" customWidth="1"/>
    <col min="10014" max="10014" width="18.140625" style="2" customWidth="1"/>
    <col min="10015" max="10015" width="8.7109375" style="2" customWidth="1"/>
    <col min="10016" max="10016" width="9.140625" style="2"/>
    <col min="10017" max="10017" width="9.140625" style="2" customWidth="1"/>
    <col min="10018" max="10018" width="27.28515625" style="2" customWidth="1"/>
    <col min="10019" max="10054" width="9.140625" style="2" customWidth="1"/>
    <col min="10055" max="10268" width="9.140625" style="2"/>
    <col min="10269" max="10269" width="18.7109375" style="2" customWidth="1"/>
    <col min="10270" max="10270" width="18.140625" style="2" customWidth="1"/>
    <col min="10271" max="10271" width="8.7109375" style="2" customWidth="1"/>
    <col min="10272" max="10272" width="9.140625" style="2"/>
    <col min="10273" max="10273" width="9.140625" style="2" customWidth="1"/>
    <col min="10274" max="10274" width="27.28515625" style="2" customWidth="1"/>
    <col min="10275" max="10310" width="9.140625" style="2" customWidth="1"/>
    <col min="10311" max="10524" width="9.140625" style="2"/>
    <col min="10525" max="10525" width="18.7109375" style="2" customWidth="1"/>
    <col min="10526" max="10526" width="18.140625" style="2" customWidth="1"/>
    <col min="10527" max="10527" width="8.7109375" style="2" customWidth="1"/>
    <col min="10528" max="10528" width="9.140625" style="2"/>
    <col min="10529" max="10529" width="9.140625" style="2" customWidth="1"/>
    <col min="10530" max="10530" width="27.28515625" style="2" customWidth="1"/>
    <col min="10531" max="10566" width="9.140625" style="2" customWidth="1"/>
    <col min="10567" max="10780" width="9.140625" style="2"/>
    <col min="10781" max="10781" width="18.7109375" style="2" customWidth="1"/>
    <col min="10782" max="10782" width="18.140625" style="2" customWidth="1"/>
    <col min="10783" max="10783" width="8.7109375" style="2" customWidth="1"/>
    <col min="10784" max="10784" width="9.140625" style="2"/>
    <col min="10785" max="10785" width="9.140625" style="2" customWidth="1"/>
    <col min="10786" max="10786" width="27.28515625" style="2" customWidth="1"/>
    <col min="10787" max="10822" width="9.140625" style="2" customWidth="1"/>
    <col min="10823" max="11036" width="9.140625" style="2"/>
    <col min="11037" max="11037" width="18.7109375" style="2" customWidth="1"/>
    <col min="11038" max="11038" width="18.140625" style="2" customWidth="1"/>
    <col min="11039" max="11039" width="8.7109375" style="2" customWidth="1"/>
    <col min="11040" max="11040" width="9.140625" style="2"/>
    <col min="11041" max="11041" width="9.140625" style="2" customWidth="1"/>
    <col min="11042" max="11042" width="27.28515625" style="2" customWidth="1"/>
    <col min="11043" max="11078" width="9.140625" style="2" customWidth="1"/>
    <col min="11079" max="11292" width="9.140625" style="2"/>
    <col min="11293" max="11293" width="18.7109375" style="2" customWidth="1"/>
    <col min="11294" max="11294" width="18.140625" style="2" customWidth="1"/>
    <col min="11295" max="11295" width="8.7109375" style="2" customWidth="1"/>
    <col min="11296" max="11296" width="9.140625" style="2"/>
    <col min="11297" max="11297" width="9.140625" style="2" customWidth="1"/>
    <col min="11298" max="11298" width="27.28515625" style="2" customWidth="1"/>
    <col min="11299" max="11334" width="9.140625" style="2" customWidth="1"/>
    <col min="11335" max="11548" width="9.140625" style="2"/>
    <col min="11549" max="11549" width="18.7109375" style="2" customWidth="1"/>
    <col min="11550" max="11550" width="18.140625" style="2" customWidth="1"/>
    <col min="11551" max="11551" width="8.7109375" style="2" customWidth="1"/>
    <col min="11552" max="11552" width="9.140625" style="2"/>
    <col min="11553" max="11553" width="9.140625" style="2" customWidth="1"/>
    <col min="11554" max="11554" width="27.28515625" style="2" customWidth="1"/>
    <col min="11555" max="11590" width="9.140625" style="2" customWidth="1"/>
    <col min="11591" max="11804" width="9.140625" style="2"/>
    <col min="11805" max="11805" width="18.7109375" style="2" customWidth="1"/>
    <col min="11806" max="11806" width="18.140625" style="2" customWidth="1"/>
    <col min="11807" max="11807" width="8.7109375" style="2" customWidth="1"/>
    <col min="11808" max="11808" width="9.140625" style="2"/>
    <col min="11809" max="11809" width="9.140625" style="2" customWidth="1"/>
    <col min="11810" max="11810" width="27.28515625" style="2" customWidth="1"/>
    <col min="11811" max="11846" width="9.140625" style="2" customWidth="1"/>
    <col min="11847" max="12060" width="9.140625" style="2"/>
    <col min="12061" max="12061" width="18.7109375" style="2" customWidth="1"/>
    <col min="12062" max="12062" width="18.140625" style="2" customWidth="1"/>
    <col min="12063" max="12063" width="8.7109375" style="2" customWidth="1"/>
    <col min="12064" max="12064" width="9.140625" style="2"/>
    <col min="12065" max="12065" width="9.140625" style="2" customWidth="1"/>
    <col min="12066" max="12066" width="27.28515625" style="2" customWidth="1"/>
    <col min="12067" max="12102" width="9.140625" style="2" customWidth="1"/>
    <col min="12103" max="12316" width="9.140625" style="2"/>
    <col min="12317" max="12317" width="18.7109375" style="2" customWidth="1"/>
    <col min="12318" max="12318" width="18.140625" style="2" customWidth="1"/>
    <col min="12319" max="12319" width="8.7109375" style="2" customWidth="1"/>
    <col min="12320" max="12320" width="9.140625" style="2"/>
    <col min="12321" max="12321" width="9.140625" style="2" customWidth="1"/>
    <col min="12322" max="12322" width="27.28515625" style="2" customWidth="1"/>
    <col min="12323" max="12358" width="9.140625" style="2" customWidth="1"/>
    <col min="12359" max="12572" width="9.140625" style="2"/>
    <col min="12573" max="12573" width="18.7109375" style="2" customWidth="1"/>
    <col min="12574" max="12574" width="18.140625" style="2" customWidth="1"/>
    <col min="12575" max="12575" width="8.7109375" style="2" customWidth="1"/>
    <col min="12576" max="12576" width="9.140625" style="2"/>
    <col min="12577" max="12577" width="9.140625" style="2" customWidth="1"/>
    <col min="12578" max="12578" width="27.28515625" style="2" customWidth="1"/>
    <col min="12579" max="12614" width="9.140625" style="2" customWidth="1"/>
    <col min="12615" max="12828" width="9.140625" style="2"/>
    <col min="12829" max="12829" width="18.7109375" style="2" customWidth="1"/>
    <col min="12830" max="12830" width="18.140625" style="2" customWidth="1"/>
    <col min="12831" max="12831" width="8.7109375" style="2" customWidth="1"/>
    <col min="12832" max="12832" width="9.140625" style="2"/>
    <col min="12833" max="12833" width="9.140625" style="2" customWidth="1"/>
    <col min="12834" max="12834" width="27.28515625" style="2" customWidth="1"/>
    <col min="12835" max="12870" width="9.140625" style="2" customWidth="1"/>
    <col min="12871" max="13084" width="9.140625" style="2"/>
    <col min="13085" max="13085" width="18.7109375" style="2" customWidth="1"/>
    <col min="13086" max="13086" width="18.140625" style="2" customWidth="1"/>
    <col min="13087" max="13087" width="8.7109375" style="2" customWidth="1"/>
    <col min="13088" max="13088" width="9.140625" style="2"/>
    <col min="13089" max="13089" width="9.140625" style="2" customWidth="1"/>
    <col min="13090" max="13090" width="27.28515625" style="2" customWidth="1"/>
    <col min="13091" max="13126" width="9.140625" style="2" customWidth="1"/>
    <col min="13127" max="13340" width="9.140625" style="2"/>
    <col min="13341" max="13341" width="18.7109375" style="2" customWidth="1"/>
    <col min="13342" max="13342" width="18.140625" style="2" customWidth="1"/>
    <col min="13343" max="13343" width="8.7109375" style="2" customWidth="1"/>
    <col min="13344" max="13344" width="9.140625" style="2"/>
    <col min="13345" max="13345" width="9.140625" style="2" customWidth="1"/>
    <col min="13346" max="13346" width="27.28515625" style="2" customWidth="1"/>
    <col min="13347" max="13382" width="9.140625" style="2" customWidth="1"/>
    <col min="13383" max="13596" width="9.140625" style="2"/>
    <col min="13597" max="13597" width="18.7109375" style="2" customWidth="1"/>
    <col min="13598" max="13598" width="18.140625" style="2" customWidth="1"/>
    <col min="13599" max="13599" width="8.7109375" style="2" customWidth="1"/>
    <col min="13600" max="13600" width="9.140625" style="2"/>
    <col min="13601" max="13601" width="9.140625" style="2" customWidth="1"/>
    <col min="13602" max="13602" width="27.28515625" style="2" customWidth="1"/>
    <col min="13603" max="13638" width="9.140625" style="2" customWidth="1"/>
    <col min="13639" max="13852" width="9.140625" style="2"/>
    <col min="13853" max="13853" width="18.7109375" style="2" customWidth="1"/>
    <col min="13854" max="13854" width="18.140625" style="2" customWidth="1"/>
    <col min="13855" max="13855" width="8.7109375" style="2" customWidth="1"/>
    <col min="13856" max="13856" width="9.140625" style="2"/>
    <col min="13857" max="13857" width="9.140625" style="2" customWidth="1"/>
    <col min="13858" max="13858" width="27.28515625" style="2" customWidth="1"/>
    <col min="13859" max="13894" width="9.140625" style="2" customWidth="1"/>
    <col min="13895" max="14108" width="9.140625" style="2"/>
    <col min="14109" max="14109" width="18.7109375" style="2" customWidth="1"/>
    <col min="14110" max="14110" width="18.140625" style="2" customWidth="1"/>
    <col min="14111" max="14111" width="8.7109375" style="2" customWidth="1"/>
    <col min="14112" max="14112" width="9.140625" style="2"/>
    <col min="14113" max="14113" width="9.140625" style="2" customWidth="1"/>
    <col min="14114" max="14114" width="27.28515625" style="2" customWidth="1"/>
    <col min="14115" max="14150" width="9.140625" style="2" customWidth="1"/>
    <col min="14151" max="14364" width="9.140625" style="2"/>
    <col min="14365" max="14365" width="18.7109375" style="2" customWidth="1"/>
    <col min="14366" max="14366" width="18.140625" style="2" customWidth="1"/>
    <col min="14367" max="14367" width="8.7109375" style="2" customWidth="1"/>
    <col min="14368" max="14368" width="9.140625" style="2"/>
    <col min="14369" max="14369" width="9.140625" style="2" customWidth="1"/>
    <col min="14370" max="14370" width="27.28515625" style="2" customWidth="1"/>
    <col min="14371" max="14406" width="9.140625" style="2" customWidth="1"/>
    <col min="14407" max="14620" width="9.140625" style="2"/>
    <col min="14621" max="14621" width="18.7109375" style="2" customWidth="1"/>
    <col min="14622" max="14622" width="18.140625" style="2" customWidth="1"/>
    <col min="14623" max="14623" width="8.7109375" style="2" customWidth="1"/>
    <col min="14624" max="14624" width="9.140625" style="2"/>
    <col min="14625" max="14625" width="9.140625" style="2" customWidth="1"/>
    <col min="14626" max="14626" width="27.28515625" style="2" customWidth="1"/>
    <col min="14627" max="14662" width="9.140625" style="2" customWidth="1"/>
    <col min="14663" max="14876" width="9.140625" style="2"/>
    <col min="14877" max="14877" width="18.7109375" style="2" customWidth="1"/>
    <col min="14878" max="14878" width="18.140625" style="2" customWidth="1"/>
    <col min="14879" max="14879" width="8.7109375" style="2" customWidth="1"/>
    <col min="14880" max="14880" width="9.140625" style="2"/>
    <col min="14881" max="14881" width="9.140625" style="2" customWidth="1"/>
    <col min="14882" max="14882" width="27.28515625" style="2" customWidth="1"/>
    <col min="14883" max="14918" width="9.140625" style="2" customWidth="1"/>
    <col min="14919" max="15132" width="9.140625" style="2"/>
    <col min="15133" max="15133" width="18.7109375" style="2" customWidth="1"/>
    <col min="15134" max="15134" width="18.140625" style="2" customWidth="1"/>
    <col min="15135" max="15135" width="8.7109375" style="2" customWidth="1"/>
    <col min="15136" max="15136" width="9.140625" style="2"/>
    <col min="15137" max="15137" width="9.140625" style="2" customWidth="1"/>
    <col min="15138" max="15138" width="27.28515625" style="2" customWidth="1"/>
    <col min="15139" max="15174" width="9.140625" style="2" customWidth="1"/>
    <col min="15175" max="15388" width="9.140625" style="2"/>
    <col min="15389" max="15389" width="18.7109375" style="2" customWidth="1"/>
    <col min="15390" max="15390" width="18.140625" style="2" customWidth="1"/>
    <col min="15391" max="15391" width="8.7109375" style="2" customWidth="1"/>
    <col min="15392" max="15392" width="9.140625" style="2"/>
    <col min="15393" max="15393" width="9.140625" style="2" customWidth="1"/>
    <col min="15394" max="15394" width="27.28515625" style="2" customWidth="1"/>
    <col min="15395" max="15430" width="9.140625" style="2" customWidth="1"/>
    <col min="15431" max="15644" width="9.140625" style="2"/>
    <col min="15645" max="15645" width="18.7109375" style="2" customWidth="1"/>
    <col min="15646" max="15646" width="18.140625" style="2" customWidth="1"/>
    <col min="15647" max="15647" width="8.7109375" style="2" customWidth="1"/>
    <col min="15648" max="15648" width="9.140625" style="2"/>
    <col min="15649" max="15649" width="9.140625" style="2" customWidth="1"/>
    <col min="15650" max="15650" width="27.28515625" style="2" customWidth="1"/>
    <col min="15651" max="15686" width="9.140625" style="2" customWidth="1"/>
    <col min="15687" max="16384" width="9.140625" style="2"/>
  </cols>
  <sheetData>
    <row r="1" spans="1:165" s="20" customFormat="1" ht="21" x14ac:dyDescent="0.25">
      <c r="A1" s="250"/>
      <c r="B1" s="220" t="str">
        <f>"Предварительная классификация " &amp; название</f>
        <v>Предварительная классификация Ралли "Skoda - 2019"</v>
      </c>
      <c r="C1" s="217"/>
      <c r="D1" s="217"/>
      <c r="E1" s="217"/>
      <c r="F1" s="217"/>
      <c r="G1" s="217"/>
      <c r="H1" s="217"/>
      <c r="I1" s="217"/>
      <c r="J1" s="217"/>
      <c r="DP1" s="218"/>
      <c r="DR1" s="218"/>
      <c r="DW1" s="460"/>
      <c r="DX1" s="460"/>
      <c r="DY1" s="460"/>
      <c r="DZ1" s="460"/>
      <c r="EA1" s="460"/>
      <c r="EB1" s="460"/>
      <c r="EC1" s="460"/>
      <c r="ED1" s="460"/>
      <c r="EE1" s="460"/>
      <c r="EF1" s="460"/>
      <c r="EG1" s="460"/>
      <c r="EH1" s="460"/>
      <c r="EI1" s="460"/>
      <c r="EJ1" s="460"/>
      <c r="EK1" s="460"/>
      <c r="EL1" s="460"/>
      <c r="EM1" s="460"/>
      <c r="EN1" s="460"/>
      <c r="EO1" s="460"/>
      <c r="EP1" s="460"/>
      <c r="EQ1" s="460"/>
      <c r="ER1" s="460"/>
      <c r="ES1" s="460"/>
      <c r="ET1" s="460"/>
    </row>
    <row r="2" spans="1:165" s="219" customFormat="1" ht="19.5" thickBot="1" x14ac:dyDescent="0.3">
      <c r="A2" s="251"/>
      <c r="B2" s="221" t="str">
        <f>датаРалли</f>
        <v>21 декабря 2019 г.</v>
      </c>
      <c r="C2" s="128"/>
      <c r="D2" s="128"/>
      <c r="E2" s="128"/>
      <c r="F2" s="128"/>
      <c r="G2" s="128"/>
      <c r="H2" s="128"/>
      <c r="I2" s="128"/>
      <c r="J2" s="128"/>
      <c r="K2" s="45"/>
      <c r="L2" s="128"/>
      <c r="M2" s="128"/>
      <c r="N2" s="128"/>
      <c r="O2" s="128"/>
      <c r="P2" s="128"/>
      <c r="Q2" s="128"/>
      <c r="R2" s="45"/>
      <c r="S2" s="128"/>
      <c r="T2" s="128"/>
      <c r="U2" s="128"/>
      <c r="V2" s="128"/>
      <c r="W2" s="128"/>
      <c r="X2" s="128"/>
      <c r="Y2" s="128"/>
      <c r="Z2" s="45"/>
      <c r="AA2" s="128"/>
      <c r="AB2" s="128"/>
      <c r="AC2" s="128"/>
      <c r="AD2" s="128"/>
      <c r="AE2" s="128"/>
      <c r="AF2" s="128"/>
      <c r="AG2" s="128"/>
      <c r="AH2" s="45"/>
      <c r="AI2" s="128"/>
      <c r="AJ2" s="128"/>
      <c r="AK2" s="128"/>
      <c r="AL2" s="128"/>
      <c r="AM2" s="128"/>
      <c r="AN2" s="128"/>
      <c r="AO2" s="128"/>
      <c r="AP2" s="45"/>
      <c r="AQ2" s="128"/>
      <c r="AR2" s="128"/>
      <c r="AS2" s="128"/>
      <c r="AT2" s="128"/>
      <c r="AU2" s="128"/>
      <c r="AV2" s="128"/>
      <c r="AW2" s="128"/>
      <c r="AX2" s="45"/>
      <c r="AY2" s="128"/>
      <c r="AZ2" s="128"/>
      <c r="BA2" s="128"/>
      <c r="BB2" s="128"/>
      <c r="BC2" s="128"/>
      <c r="BD2" s="128"/>
      <c r="BE2" s="128"/>
      <c r="BF2" s="45"/>
      <c r="BG2" s="128"/>
      <c r="BH2" s="128"/>
      <c r="BI2" s="128"/>
      <c r="BJ2" s="128"/>
      <c r="BK2" s="128"/>
      <c r="BL2" s="128"/>
      <c r="BM2" s="128"/>
      <c r="BN2" s="45"/>
      <c r="BO2" s="128"/>
      <c r="BP2" s="128"/>
      <c r="BQ2" s="128"/>
      <c r="BR2" s="128"/>
      <c r="BS2" s="45"/>
      <c r="BT2" s="128"/>
      <c r="BU2" s="128"/>
      <c r="BV2" s="128"/>
      <c r="BW2" s="128"/>
      <c r="BX2" s="128"/>
      <c r="BY2" s="128"/>
      <c r="BZ2" s="128"/>
      <c r="CA2" s="128"/>
      <c r="CB2" s="45"/>
      <c r="CC2" s="128"/>
      <c r="CD2" s="128"/>
      <c r="CE2" s="128"/>
      <c r="CF2" s="128"/>
      <c r="CG2" s="129"/>
      <c r="CH2" s="45"/>
      <c r="CI2" s="128"/>
      <c r="CJ2" s="128"/>
      <c r="CK2" s="128"/>
      <c r="CL2" s="129"/>
      <c r="CM2" s="45"/>
      <c r="CN2" s="128"/>
      <c r="CO2" s="128"/>
      <c r="CP2" s="128"/>
      <c r="CQ2" s="45"/>
      <c r="CR2" s="128"/>
      <c r="CS2" s="128"/>
      <c r="CT2" s="128"/>
      <c r="CU2" s="128"/>
      <c r="CV2" s="129"/>
      <c r="CW2" s="45"/>
      <c r="CX2" s="128"/>
      <c r="CY2" s="128"/>
      <c r="CZ2" s="128"/>
      <c r="DA2" s="129"/>
      <c r="DB2" s="45"/>
      <c r="DC2" s="128"/>
      <c r="DD2" s="128"/>
      <c r="DE2" s="128"/>
      <c r="DF2" s="45"/>
      <c r="DG2" s="128"/>
      <c r="DH2" s="128"/>
      <c r="DI2" s="128"/>
      <c r="DJ2" s="128"/>
      <c r="DK2" s="128"/>
      <c r="DL2" s="128"/>
      <c r="DM2" s="128"/>
      <c r="DN2" s="128"/>
      <c r="DO2" s="45"/>
      <c r="DP2" s="128"/>
      <c r="DQ2" s="45"/>
      <c r="DR2" s="128"/>
      <c r="DS2" s="45"/>
      <c r="DT2" s="128"/>
      <c r="DU2" s="45"/>
      <c r="DV2" s="128"/>
      <c r="DW2" s="128"/>
      <c r="DX2" s="128"/>
      <c r="DY2" s="128"/>
      <c r="DZ2" s="128"/>
      <c r="EA2" s="128"/>
      <c r="EB2" s="128"/>
      <c r="EC2" s="128"/>
      <c r="ED2" s="128"/>
      <c r="EE2" s="128"/>
      <c r="EF2" s="128"/>
      <c r="EG2" s="128"/>
      <c r="EH2" s="128"/>
      <c r="EI2" s="128"/>
      <c r="EJ2" s="128"/>
      <c r="EK2" s="128"/>
      <c r="EL2" s="128"/>
      <c r="EM2" s="128"/>
      <c r="EN2" s="128"/>
      <c r="EO2" s="128"/>
      <c r="EP2" s="128"/>
      <c r="EQ2" s="128"/>
      <c r="ER2" s="128"/>
      <c r="ES2" s="128"/>
      <c r="ET2" s="128"/>
      <c r="EU2" s="128"/>
      <c r="EV2" s="45"/>
      <c r="EW2" s="128"/>
      <c r="EX2" s="128"/>
      <c r="EY2" s="128"/>
      <c r="EZ2" s="45"/>
      <c r="FA2" s="128"/>
      <c r="FB2" s="128"/>
      <c r="FC2" s="128"/>
      <c r="FD2" s="128"/>
      <c r="FE2" s="128"/>
      <c r="FF2" s="128"/>
      <c r="FG2" s="128"/>
      <c r="FH2" s="128"/>
    </row>
    <row r="3" spans="1:165" ht="19.5" thickBot="1" x14ac:dyDescent="0.3">
      <c r="A3" s="252"/>
      <c r="B3" s="197" t="s">
        <v>265</v>
      </c>
      <c r="C3" s="196">
        <f ca="1">предварительные!$A$70-предварительные!$G$70</f>
        <v>42</v>
      </c>
      <c r="D3" s="197" t="s">
        <v>266</v>
      </c>
      <c r="E3" s="196">
        <f ca="1">C3-предварительные!$H$70</f>
        <v>42</v>
      </c>
      <c r="F3" s="35"/>
      <c r="H3" s="35"/>
      <c r="I3" s="35"/>
      <c r="K3" s="202" t="str">
        <f ca="1">INDIRECT("_"&amp;K$5)</f>
        <v>КВ-0 Старт</v>
      </c>
      <c r="L3" s="203"/>
      <c r="M3" s="203"/>
      <c r="N3" s="203"/>
      <c r="O3" s="296"/>
      <c r="P3" s="297" t="s">
        <v>63</v>
      </c>
      <c r="Q3" s="291"/>
      <c r="R3" s="202" t="str">
        <f ca="1">INDIRECT("_"&amp;R$5)</f>
        <v>КВ-1 Окружная</v>
      </c>
      <c r="S3" s="208"/>
      <c r="T3" s="203"/>
      <c r="U3" s="208"/>
      <c r="V3" s="302"/>
      <c r="W3" s="297" t="s">
        <v>63</v>
      </c>
      <c r="X3" s="295"/>
      <c r="Y3" s="291"/>
      <c r="Z3" s="202" t="str">
        <f ca="1">INDIRECT("_"&amp;Z$5)</f>
        <v>КВ-2 Духовщина Вход</v>
      </c>
      <c r="AA3" s="208"/>
      <c r="AB3" s="203"/>
      <c r="AC3" s="208"/>
      <c r="AD3" s="302"/>
      <c r="AE3" s="297" t="s">
        <v>63</v>
      </c>
      <c r="AF3" s="295"/>
      <c r="AG3" s="291"/>
      <c r="AH3" s="202" t="str">
        <f ca="1">INDIRECT("_"&amp;AH$5)</f>
        <v>КВ-3 Духовщина Выход</v>
      </c>
      <c r="AI3" s="208"/>
      <c r="AJ3" s="203"/>
      <c r="AK3" s="208"/>
      <c r="AL3" s="302"/>
      <c r="AM3" s="297" t="s">
        <v>63</v>
      </c>
      <c r="AN3" s="295"/>
      <c r="AO3" s="291"/>
      <c r="AP3" s="202" t="str">
        <f ca="1">INDIRECT("_"&amp;AP$5)</f>
        <v>КВ-4 М1</v>
      </c>
      <c r="AQ3" s="208"/>
      <c r="AR3" s="203"/>
      <c r="AS3" s="208"/>
      <c r="AT3" s="302"/>
      <c r="AU3" s="297" t="s">
        <v>63</v>
      </c>
      <c r="AV3" s="295"/>
      <c r="AW3" s="291"/>
      <c r="AX3" s="202" t="str">
        <f ca="1">INDIRECT("_"&amp;AX$5)</f>
        <v>КВ-5 Автобусный парк</v>
      </c>
      <c r="AY3" s="208"/>
      <c r="AZ3" s="203"/>
      <c r="BA3" s="208"/>
      <c r="BB3" s="302"/>
      <c r="BC3" s="297" t="s">
        <v>63</v>
      </c>
      <c r="BD3" s="295"/>
      <c r="BE3" s="291"/>
      <c r="BF3" s="202" t="str">
        <f ca="1">INDIRECT("_"&amp;BF$5)</f>
        <v>КВ-6 Центр</v>
      </c>
      <c r="BG3" s="208"/>
      <c r="BH3" s="203"/>
      <c r="BI3" s="208"/>
      <c r="BJ3" s="302"/>
      <c r="BK3" s="297" t="s">
        <v>63</v>
      </c>
      <c r="BL3" s="295"/>
      <c r="BM3" s="291"/>
      <c r="BN3" s="202" t="str">
        <f ca="1">INDIRECT("_"&amp;BN$5)</f>
        <v>КВ-7 Финиш</v>
      </c>
      <c r="BO3" s="208"/>
      <c r="BP3" s="203"/>
      <c r="BQ3" s="208"/>
      <c r="BR3" s="209"/>
      <c r="BS3" s="202" t="str">
        <f ca="1">INDIRECT("_"&amp;BS$5)</f>
        <v>ДС-1 СЛ Аэропорт</v>
      </c>
      <c r="BT3" s="208"/>
      <c r="BU3" s="214"/>
      <c r="BV3" s="208" t="str">
        <f ca="1">BS3</f>
        <v>ДС-1 СЛ Аэропорт</v>
      </c>
      <c r="BW3" s="208"/>
      <c r="BX3" s="208"/>
      <c r="BY3" s="208"/>
      <c r="BZ3" s="208"/>
      <c r="CA3" s="209"/>
      <c r="CB3" s="202" t="str">
        <f ca="1">INDIRECT("_"&amp;CB$5)</f>
        <v>ДС-2 РДС Старая Смоленская дорога</v>
      </c>
      <c r="CC3" s="208" t="str">
        <f ca="1">CB3</f>
        <v>ДС-2 РДС Старая Смоленская дорога</v>
      </c>
      <c r="CD3" s="208"/>
      <c r="CE3" s="208"/>
      <c r="CF3" s="208"/>
      <c r="CG3" s="212"/>
      <c r="CH3" s="208"/>
      <c r="CI3" s="203"/>
      <c r="CJ3" s="208"/>
      <c r="CK3" s="210"/>
      <c r="CL3" s="212"/>
      <c r="CM3" s="208"/>
      <c r="CN3" s="203"/>
      <c r="CO3" s="208"/>
      <c r="CP3" s="210"/>
      <c r="CQ3" s="202" t="str">
        <f ca="1">INDIRECT("_"&amp;CQ$5)</f>
        <v>ДС-3 РДС Быльники</v>
      </c>
      <c r="CR3" s="208" t="str">
        <f ca="1">CQ3</f>
        <v>ДС-3 РДС Быльники</v>
      </c>
      <c r="CS3" s="208"/>
      <c r="CT3" s="208"/>
      <c r="CU3" s="208"/>
      <c r="CV3" s="212"/>
      <c r="CW3" s="208"/>
      <c r="CX3" s="203"/>
      <c r="CY3" s="208"/>
      <c r="CZ3" s="210"/>
      <c r="DA3" s="212"/>
      <c r="DB3" s="208"/>
      <c r="DC3" s="203"/>
      <c r="DD3" s="208"/>
      <c r="DE3" s="210"/>
      <c r="DF3" s="202" t="str">
        <f ca="1">INDIRECT("_"&amp;DF$5)</f>
        <v>ДС-4 СЛ Автобусный парк</v>
      </c>
      <c r="DG3" s="208"/>
      <c r="DH3" s="214"/>
      <c r="DI3" s="208" t="str">
        <f ca="1">DF3</f>
        <v>ДС-4 СЛ Автобусный парк</v>
      </c>
      <c r="DJ3" s="208"/>
      <c r="DK3" s="208"/>
      <c r="DL3" s="208"/>
      <c r="DM3" s="208"/>
      <c r="DN3" s="209"/>
      <c r="DO3" s="202" t="str">
        <f ca="1">INDIRECT("_"&amp;DO$5)</f>
        <v xml:space="preserve">ДП-1 </v>
      </c>
      <c r="DP3" s="209"/>
      <c r="DQ3" s="202" t="str">
        <f ca="1">INDIRECT("_"&amp;DQ$5)</f>
        <v>ДП-2 Буквы</v>
      </c>
      <c r="DR3" s="209"/>
      <c r="DS3" s="202" t="str">
        <f ca="1">INDIRECT("_"&amp;DS$5)</f>
        <v>ВКП-1 Воровского</v>
      </c>
      <c r="DT3" s="209"/>
      <c r="DU3" s="202" t="str">
        <f ca="1">INDIRECT("_"&amp;DU$5)</f>
        <v>ВКП-2 Ипподром</v>
      </c>
      <c r="DV3" s="209"/>
      <c r="DW3" s="458"/>
      <c r="DX3" s="458"/>
      <c r="DY3" s="458"/>
      <c r="DZ3" s="458"/>
      <c r="EA3" s="458"/>
      <c r="EB3" s="458"/>
      <c r="EC3" s="458"/>
      <c r="ED3" s="458"/>
      <c r="EE3" s="458"/>
      <c r="EF3" s="458"/>
      <c r="EG3" s="458"/>
      <c r="EH3" s="458"/>
      <c r="EI3" s="458"/>
      <c r="EJ3" s="458"/>
      <c r="EK3" s="458"/>
      <c r="EL3" s="458"/>
      <c r="EM3" s="458"/>
      <c r="EN3" s="458"/>
      <c r="EO3" s="458"/>
      <c r="EP3" s="458"/>
      <c r="EQ3" s="458"/>
      <c r="ER3" s="458"/>
      <c r="ES3" s="458"/>
      <c r="ET3" s="458"/>
      <c r="EU3" s="202" t="e">
        <f ca="1">INDIRECT("_"&amp;EU$5)</f>
        <v>#REF!</v>
      </c>
      <c r="EV3" s="237"/>
      <c r="EW3" s="203"/>
      <c r="EX3" s="208"/>
      <c r="EY3" s="209"/>
      <c r="EZ3" s="202" t="str">
        <f ca="1">INDIRECT("_"&amp;EZ$5)</f>
        <v>ДС-1 СЛ Аэропорт</v>
      </c>
      <c r="FA3" s="208"/>
      <c r="FB3" s="214"/>
      <c r="FC3" s="208"/>
      <c r="FD3" s="208"/>
      <c r="FE3" s="208"/>
      <c r="FF3" s="208"/>
      <c r="FG3" s="208"/>
      <c r="FH3" s="209"/>
    </row>
    <row r="4" spans="1:165" s="34" customFormat="1" ht="51" x14ac:dyDescent="0.25">
      <c r="A4" s="198" t="s">
        <v>0</v>
      </c>
      <c r="B4" s="216" t="s">
        <v>10</v>
      </c>
      <c r="C4" s="216" t="s">
        <v>372</v>
      </c>
      <c r="D4" s="216" t="s">
        <v>373</v>
      </c>
      <c r="E4" s="216" t="s">
        <v>31</v>
      </c>
      <c r="F4" s="198" t="s">
        <v>242</v>
      </c>
      <c r="G4" s="150" t="s">
        <v>15</v>
      </c>
      <c r="H4" s="150" t="s">
        <v>101</v>
      </c>
      <c r="I4" s="150" t="s">
        <v>100</v>
      </c>
      <c r="J4" s="200" t="s">
        <v>99</v>
      </c>
      <c r="K4" s="204" t="s">
        <v>118</v>
      </c>
      <c r="L4" s="198" t="s">
        <v>62</v>
      </c>
      <c r="M4" s="198"/>
      <c r="N4" s="198" t="s">
        <v>97</v>
      </c>
      <c r="O4" s="286" t="s">
        <v>11</v>
      </c>
      <c r="P4" s="198" t="s">
        <v>7</v>
      </c>
      <c r="Q4" s="292" t="s">
        <v>95</v>
      </c>
      <c r="R4" s="204" t="s">
        <v>32</v>
      </c>
      <c r="S4" s="198" t="s">
        <v>62</v>
      </c>
      <c r="T4" s="198"/>
      <c r="U4" s="198" t="s">
        <v>97</v>
      </c>
      <c r="V4" s="286" t="s">
        <v>11</v>
      </c>
      <c r="W4" s="198" t="s">
        <v>7</v>
      </c>
      <c r="X4" s="199" t="s">
        <v>95</v>
      </c>
      <c r="Y4" s="292" t="s">
        <v>197</v>
      </c>
      <c r="Z4" s="204" t="s">
        <v>682</v>
      </c>
      <c r="AA4" s="198" t="s">
        <v>62</v>
      </c>
      <c r="AB4" s="198"/>
      <c r="AC4" s="198" t="s">
        <v>97</v>
      </c>
      <c r="AD4" s="449" t="s">
        <v>11</v>
      </c>
      <c r="AE4" s="198" t="s">
        <v>7</v>
      </c>
      <c r="AF4" s="199" t="s">
        <v>95</v>
      </c>
      <c r="AG4" s="292" t="s">
        <v>197</v>
      </c>
      <c r="AH4" s="204" t="s">
        <v>32</v>
      </c>
      <c r="AI4" s="198" t="s">
        <v>62</v>
      </c>
      <c r="AJ4" s="198"/>
      <c r="AK4" s="198" t="s">
        <v>97</v>
      </c>
      <c r="AL4" s="449" t="s">
        <v>11</v>
      </c>
      <c r="AM4" s="198" t="s">
        <v>7</v>
      </c>
      <c r="AN4" s="199" t="s">
        <v>95</v>
      </c>
      <c r="AO4" s="292" t="s">
        <v>197</v>
      </c>
      <c r="AP4" s="204" t="s">
        <v>32</v>
      </c>
      <c r="AQ4" s="198" t="s">
        <v>62</v>
      </c>
      <c r="AR4" s="198"/>
      <c r="AS4" s="198" t="s">
        <v>97</v>
      </c>
      <c r="AT4" s="449" t="s">
        <v>11</v>
      </c>
      <c r="AU4" s="198" t="s">
        <v>7</v>
      </c>
      <c r="AV4" s="199" t="s">
        <v>95</v>
      </c>
      <c r="AW4" s="292" t="s">
        <v>197</v>
      </c>
      <c r="AX4" s="204" t="s">
        <v>683</v>
      </c>
      <c r="AY4" s="198" t="s">
        <v>62</v>
      </c>
      <c r="AZ4" s="198"/>
      <c r="BA4" s="198" t="s">
        <v>97</v>
      </c>
      <c r="BB4" s="449" t="s">
        <v>11</v>
      </c>
      <c r="BC4" s="198" t="s">
        <v>7</v>
      </c>
      <c r="BD4" s="199" t="s">
        <v>95</v>
      </c>
      <c r="BE4" s="292" t="s">
        <v>197</v>
      </c>
      <c r="BF4" s="204" t="s">
        <v>32</v>
      </c>
      <c r="BG4" s="198" t="s">
        <v>62</v>
      </c>
      <c r="BH4" s="198"/>
      <c r="BI4" s="198" t="s">
        <v>97</v>
      </c>
      <c r="BJ4" s="449" t="s">
        <v>11</v>
      </c>
      <c r="BK4" s="198" t="s">
        <v>7</v>
      </c>
      <c r="BL4" s="199" t="s">
        <v>95</v>
      </c>
      <c r="BM4" s="292" t="s">
        <v>197</v>
      </c>
      <c r="BN4" s="204" t="s">
        <v>32</v>
      </c>
      <c r="BO4" s="198" t="s">
        <v>62</v>
      </c>
      <c r="BP4" s="198"/>
      <c r="BQ4" s="198" t="s">
        <v>97</v>
      </c>
      <c r="BR4" s="205" t="s">
        <v>11</v>
      </c>
      <c r="BS4" s="204" t="s">
        <v>96</v>
      </c>
      <c r="BT4" s="198" t="s">
        <v>25</v>
      </c>
      <c r="BU4" s="198" t="s">
        <v>26</v>
      </c>
      <c r="BV4" s="198" t="s">
        <v>98</v>
      </c>
      <c r="BW4" s="198" t="s">
        <v>103</v>
      </c>
      <c r="BX4" s="198" t="s">
        <v>124</v>
      </c>
      <c r="BY4" s="198" t="s">
        <v>661</v>
      </c>
      <c r="BZ4" s="198" t="s">
        <v>848</v>
      </c>
      <c r="CA4" s="205" t="s">
        <v>11</v>
      </c>
      <c r="CB4" s="204" t="s">
        <v>96</v>
      </c>
      <c r="CC4" s="198" t="s">
        <v>25</v>
      </c>
      <c r="CD4" s="198" t="s">
        <v>26</v>
      </c>
      <c r="CE4" s="198"/>
      <c r="CF4" s="284"/>
      <c r="CG4" s="204" t="s">
        <v>356</v>
      </c>
      <c r="CH4" s="198" t="s">
        <v>357</v>
      </c>
      <c r="CI4" s="198"/>
      <c r="CJ4" s="198" t="s">
        <v>97</v>
      </c>
      <c r="CK4" s="211" t="s">
        <v>11</v>
      </c>
      <c r="CL4" s="204" t="s">
        <v>352</v>
      </c>
      <c r="CM4" s="198" t="s">
        <v>353</v>
      </c>
      <c r="CN4" s="198"/>
      <c r="CO4" s="198" t="s">
        <v>97</v>
      </c>
      <c r="CP4" s="211" t="s">
        <v>11</v>
      </c>
      <c r="CQ4" s="204" t="s">
        <v>96</v>
      </c>
      <c r="CR4" s="198" t="s">
        <v>25</v>
      </c>
      <c r="CS4" s="198" t="s">
        <v>26</v>
      </c>
      <c r="CT4" s="198"/>
      <c r="CU4" s="284"/>
      <c r="CV4" s="204" t="s">
        <v>356</v>
      </c>
      <c r="CW4" s="198" t="s">
        <v>357</v>
      </c>
      <c r="CX4" s="198"/>
      <c r="CY4" s="198" t="s">
        <v>97</v>
      </c>
      <c r="CZ4" s="211" t="s">
        <v>11</v>
      </c>
      <c r="DA4" s="204" t="s">
        <v>352</v>
      </c>
      <c r="DB4" s="198" t="s">
        <v>353</v>
      </c>
      <c r="DC4" s="198"/>
      <c r="DD4" s="198" t="s">
        <v>97</v>
      </c>
      <c r="DE4" s="211" t="s">
        <v>11</v>
      </c>
      <c r="DF4" s="204" t="s">
        <v>96</v>
      </c>
      <c r="DG4" s="198" t="s">
        <v>25</v>
      </c>
      <c r="DH4" s="198" t="s">
        <v>26</v>
      </c>
      <c r="DI4" s="198" t="s">
        <v>98</v>
      </c>
      <c r="DJ4" s="198" t="s">
        <v>103</v>
      </c>
      <c r="DK4" s="198" t="s">
        <v>124</v>
      </c>
      <c r="DL4" s="198" t="s">
        <v>661</v>
      </c>
      <c r="DM4" s="198" t="s">
        <v>848</v>
      </c>
      <c r="DN4" s="205" t="s">
        <v>11</v>
      </c>
      <c r="DO4" s="204" t="s">
        <v>88</v>
      </c>
      <c r="DP4" s="211" t="s">
        <v>11</v>
      </c>
      <c r="DQ4" s="204" t="s">
        <v>88</v>
      </c>
      <c r="DR4" s="211" t="s">
        <v>11</v>
      </c>
      <c r="DS4" s="204" t="s">
        <v>62</v>
      </c>
      <c r="DT4" s="205" t="s">
        <v>11</v>
      </c>
      <c r="DU4" s="204" t="s">
        <v>62</v>
      </c>
      <c r="DV4" s="205" t="s">
        <v>11</v>
      </c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238" t="s">
        <v>32</v>
      </c>
      <c r="EV4" s="201" t="s">
        <v>62</v>
      </c>
      <c r="EW4" s="198"/>
      <c r="EX4" s="198" t="s">
        <v>97</v>
      </c>
      <c r="EY4" s="205" t="s">
        <v>11</v>
      </c>
      <c r="EZ4" s="204" t="s">
        <v>96</v>
      </c>
      <c r="FA4" s="198" t="s">
        <v>25</v>
      </c>
      <c r="FB4" s="198" t="s">
        <v>26</v>
      </c>
      <c r="FC4" s="198" t="s">
        <v>98</v>
      </c>
      <c r="FD4" s="198" t="s">
        <v>103</v>
      </c>
      <c r="FE4" s="198" t="s">
        <v>315</v>
      </c>
      <c r="FF4" s="198" t="s">
        <v>124</v>
      </c>
      <c r="FG4" s="198" t="s">
        <v>358</v>
      </c>
      <c r="FH4" s="205" t="s">
        <v>11</v>
      </c>
    </row>
    <row r="5" spans="1:165" hidden="1" x14ac:dyDescent="0.25">
      <c r="A5" s="251"/>
      <c r="B5" s="281" t="s">
        <v>449</v>
      </c>
      <c r="C5" s="281"/>
      <c r="D5" s="128"/>
      <c r="E5" s="128"/>
      <c r="F5" s="128"/>
      <c r="G5" s="128"/>
      <c r="H5" s="128"/>
      <c r="I5" s="128"/>
      <c r="J5" s="128"/>
      <c r="K5" s="282" t="s">
        <v>644</v>
      </c>
      <c r="L5" s="128"/>
      <c r="M5" s="128"/>
      <c r="N5" s="128"/>
      <c r="O5" s="298"/>
      <c r="P5" s="299"/>
      <c r="Q5" s="206"/>
      <c r="R5" s="282" t="s">
        <v>414</v>
      </c>
      <c r="S5" s="128"/>
      <c r="T5" s="128"/>
      <c r="U5" s="128"/>
      <c r="V5" s="298"/>
      <c r="W5" s="299"/>
      <c r="X5" s="128"/>
      <c r="Y5" s="206"/>
      <c r="Z5" s="282" t="s">
        <v>415</v>
      </c>
      <c r="AA5" s="128"/>
      <c r="AB5" s="128"/>
      <c r="AC5" s="128"/>
      <c r="AD5" s="298"/>
      <c r="AE5" s="299"/>
      <c r="AF5" s="128"/>
      <c r="AG5" s="206"/>
      <c r="AH5" s="282" t="s">
        <v>428</v>
      </c>
      <c r="AI5" s="128"/>
      <c r="AJ5" s="128"/>
      <c r="AK5" s="128"/>
      <c r="AL5" s="298"/>
      <c r="AM5" s="299"/>
      <c r="AN5" s="128"/>
      <c r="AO5" s="206"/>
      <c r="AP5" s="282" t="s">
        <v>658</v>
      </c>
      <c r="AQ5" s="128"/>
      <c r="AR5" s="128"/>
      <c r="AS5" s="128"/>
      <c r="AT5" s="298"/>
      <c r="AU5" s="299"/>
      <c r="AV5" s="128"/>
      <c r="AW5" s="206"/>
      <c r="AX5" s="282" t="s">
        <v>659</v>
      </c>
      <c r="AY5" s="128"/>
      <c r="AZ5" s="128"/>
      <c r="BA5" s="128"/>
      <c r="BB5" s="298"/>
      <c r="BC5" s="299"/>
      <c r="BD5" s="128"/>
      <c r="BE5" s="206"/>
      <c r="BF5" s="282" t="s">
        <v>660</v>
      </c>
      <c r="BG5" s="128"/>
      <c r="BH5" s="128"/>
      <c r="BI5" s="128"/>
      <c r="BJ5" s="298"/>
      <c r="BK5" s="299"/>
      <c r="BL5" s="128"/>
      <c r="BM5" s="206"/>
      <c r="BN5" s="282" t="s">
        <v>657</v>
      </c>
      <c r="BO5" s="128"/>
      <c r="BP5" s="128"/>
      <c r="BQ5" s="128"/>
      <c r="BR5" s="206" t="s">
        <v>770</v>
      </c>
      <c r="BS5" s="285" t="s">
        <v>430</v>
      </c>
      <c r="BT5" s="128"/>
      <c r="BU5" s="128"/>
      <c r="BV5" s="128"/>
      <c r="BW5" s="128"/>
      <c r="BX5" s="128"/>
      <c r="BY5" s="128"/>
      <c r="BZ5" s="128"/>
      <c r="CA5" s="206"/>
      <c r="CB5" s="282" t="s">
        <v>435</v>
      </c>
      <c r="CC5" s="128"/>
      <c r="CD5" s="128"/>
      <c r="CE5" s="128"/>
      <c r="CF5" s="128"/>
      <c r="CG5" s="285" t="s">
        <v>678</v>
      </c>
      <c r="CH5" s="45"/>
      <c r="CI5" s="128"/>
      <c r="CJ5" s="128"/>
      <c r="CK5" s="206"/>
      <c r="CL5" s="285" t="s">
        <v>679</v>
      </c>
      <c r="CM5" s="45"/>
      <c r="CN5" s="128"/>
      <c r="CO5" s="128"/>
      <c r="CP5" s="206"/>
      <c r="CQ5" s="282" t="s">
        <v>431</v>
      </c>
      <c r="CR5" s="128"/>
      <c r="CS5" s="128"/>
      <c r="CT5" s="128"/>
      <c r="CU5" s="128"/>
      <c r="CV5" s="285" t="s">
        <v>432</v>
      </c>
      <c r="CW5" s="45"/>
      <c r="CX5" s="128"/>
      <c r="CY5" s="128"/>
      <c r="CZ5" s="206"/>
      <c r="DA5" s="285" t="s">
        <v>433</v>
      </c>
      <c r="DB5" s="45"/>
      <c r="DC5" s="128"/>
      <c r="DD5" s="128"/>
      <c r="DE5" s="206"/>
      <c r="DF5" s="285" t="s">
        <v>681</v>
      </c>
      <c r="DG5" s="128"/>
      <c r="DH5" s="128"/>
      <c r="DI5" s="128"/>
      <c r="DJ5" s="128"/>
      <c r="DK5" s="128"/>
      <c r="DL5" s="128"/>
      <c r="DM5" s="128"/>
      <c r="DN5" s="206"/>
      <c r="DO5" s="285" t="s">
        <v>436</v>
      </c>
      <c r="DP5" s="206"/>
      <c r="DQ5" s="285" t="s">
        <v>806</v>
      </c>
      <c r="DR5" s="206"/>
      <c r="DS5" s="285" t="s">
        <v>680</v>
      </c>
      <c r="DT5" s="206"/>
      <c r="DU5" s="285" t="s">
        <v>437</v>
      </c>
      <c r="DV5" s="206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285" t="s">
        <v>438</v>
      </c>
      <c r="EW5" s="128"/>
      <c r="EX5" s="128"/>
      <c r="EY5" s="206"/>
      <c r="EZ5" s="285" t="s">
        <v>430</v>
      </c>
      <c r="FA5" s="128"/>
      <c r="FB5" s="128"/>
      <c r="FC5" s="128"/>
      <c r="FD5" s="128"/>
      <c r="FE5" s="128"/>
      <c r="FF5" s="128"/>
      <c r="FG5" s="128"/>
      <c r="FH5" s="206"/>
    </row>
    <row r="6" spans="1:165" hidden="1" x14ac:dyDescent="0.25">
      <c r="A6" s="251"/>
      <c r="B6" s="283" t="str">
        <f>"стартоваяВедомость"&amp;"!"&amp;дСВ</f>
        <v>стартоваяВедомость!B10:H69</v>
      </c>
      <c r="C6" s="128"/>
      <c r="D6" s="128"/>
      <c r="E6" s="128"/>
      <c r="F6" s="128"/>
      <c r="G6" s="128"/>
      <c r="H6" s="281"/>
      <c r="I6" s="281"/>
      <c r="J6" s="281"/>
      <c r="K6" s="280" t="str">
        <f>"_протокол"&amp;K$5&amp;"!"&amp;дКВ0</f>
        <v>_протоколКВ0!A10:C69</v>
      </c>
      <c r="L6" s="128"/>
      <c r="M6" s="128"/>
      <c r="N6" s="128"/>
      <c r="O6" s="298"/>
      <c r="P6" s="300">
        <f ca="1">INDIRECT("_"&amp;LEFT(K$5,LEN(K$5)-1)&amp;(RIGHT(K$5,1)+1)&amp;"Время")</f>
        <v>4.86111119389534E-2</v>
      </c>
      <c r="Q6" s="293"/>
      <c r="R6" s="280" t="str">
        <f>"_протокол"&amp;R$5&amp;"!"&amp;дКВ</f>
        <v>_протоколКВ1!A10:B69</v>
      </c>
      <c r="S6" s="128"/>
      <c r="T6" s="128"/>
      <c r="U6" s="128"/>
      <c r="V6" s="298"/>
      <c r="W6" s="300">
        <f ca="1">INDIRECT("_"&amp;LEFT(R$5,LEN(R$5)-1)&amp;(RIGHT(R$5,1)+1)&amp;"Время")</f>
        <v>4.86111119389534E-2</v>
      </c>
      <c r="X6" s="281"/>
      <c r="Y6" s="206"/>
      <c r="Z6" s="280" t="str">
        <f>"_протокол"&amp;Z$5&amp;"!"&amp;дКВ</f>
        <v>_протоколКВ2!A10:B69</v>
      </c>
      <c r="AA6" s="128"/>
      <c r="AB6" s="128"/>
      <c r="AC6" s="128"/>
      <c r="AD6" s="298"/>
      <c r="AE6" s="300">
        <f ca="1">INDIRECT("_"&amp;LEFT(Z$5,LEN(Z$5)-1)&amp;(RIGHT(Z$5,1)+1)&amp;"Время")</f>
        <v>2.43055559694767E-2</v>
      </c>
      <c r="AF6" s="281"/>
      <c r="AG6" s="206"/>
      <c r="AH6" s="280" t="str">
        <f>"_протокол"&amp;AH$5&amp;"!"&amp;дКВ</f>
        <v>_протоколКВ3!A10:B69</v>
      </c>
      <c r="AI6" s="128"/>
      <c r="AJ6" s="128"/>
      <c r="AK6" s="128"/>
      <c r="AL6" s="298"/>
      <c r="AM6" s="300">
        <f ca="1">INDIRECT("_"&amp;LEFT(AH$5,LEN(AH$5)-1)&amp;(RIGHT(AH$5,1)+1)&amp;"Время")</f>
        <v>2.43055559694767E-2</v>
      </c>
      <c r="AN6" s="281"/>
      <c r="AO6" s="206"/>
      <c r="AP6" s="280" t="str">
        <f>"_протокол"&amp;AP$5&amp;"!"&amp;дКВ</f>
        <v>_протоколКВ4!A10:B69</v>
      </c>
      <c r="AQ6" s="128"/>
      <c r="AR6" s="128"/>
      <c r="AS6" s="128"/>
      <c r="AT6" s="298"/>
      <c r="AU6" s="300">
        <f ca="1">INDIRECT("_"&amp;LEFT(AP$5,LEN(AP$5)-1)&amp;(RIGHT(AP$5,1)+1)&amp;"Время")</f>
        <v>3.125E-2</v>
      </c>
      <c r="AV6" s="281"/>
      <c r="AW6" s="206"/>
      <c r="AX6" s="280" t="str">
        <f>"_протокол"&amp;AX$5&amp;"!"&amp;дКВ</f>
        <v>_протоколКВ5!A10:B69</v>
      </c>
      <c r="AY6" s="128"/>
      <c r="AZ6" s="128"/>
      <c r="BA6" s="128"/>
      <c r="BB6" s="298"/>
      <c r="BC6" s="300">
        <f ca="1">INDIRECT("_"&amp;LEFT(AX$5,LEN(AX$5)-1)&amp;(RIGHT(AX$5,1)+1)&amp;"Время")</f>
        <v>4.1666667908430099E-2</v>
      </c>
      <c r="BD6" s="281"/>
      <c r="BE6" s="206"/>
      <c r="BF6" s="280" t="str">
        <f>"_протокол"&amp;BF$5&amp;"!"&amp;дКВ</f>
        <v>_протоколКВ6!A10:B69</v>
      </c>
      <c r="BG6" s="128"/>
      <c r="BH6" s="128"/>
      <c r="BI6" s="128"/>
      <c r="BJ6" s="298"/>
      <c r="BK6" s="300">
        <f ca="1">INDIRECT("_"&amp;LEFT(BF$5,LEN(BF$5)-1)&amp;(RIGHT(BF$5,1)+1)&amp;"Время")</f>
        <v>2.777777798473835E-2</v>
      </c>
      <c r="BL6" s="281"/>
      <c r="BM6" s="206"/>
      <c r="BN6" s="280" t="str">
        <f>"_протокол"&amp;BN$5&amp;"!"&amp;дКВ</f>
        <v>_протоколКВ7!A10:B69</v>
      </c>
      <c r="BO6" s="128"/>
      <c r="BP6" s="128"/>
      <c r="BQ6" s="128">
        <f ca="1">ROUNDUP(вЦел(W$6)*0.1,0)</f>
        <v>7</v>
      </c>
      <c r="BR6" s="396" t="str">
        <f t="shared" ref="BR6" si="0">IF(BO6&lt;&gt;0,IF(BP6="+",MIN(MAX(вЦел(BQ6-Y6),0)*опережениеКВ,пределКВ),IF(вЦел(BQ6)&lt;=BQ$6,0,(вЦел(BQ6)-BQ$6)*опережениеКВ)),"DNF")</f>
        <v>DNF</v>
      </c>
      <c r="BS6" s="280" t="str">
        <f>"_протокол"&amp;BS$5&amp;"!"&amp;дКСЛ</f>
        <v>_протоколДС1!A10:I69</v>
      </c>
      <c r="BT6" s="128"/>
      <c r="BU6" s="128"/>
      <c r="BV6" s="128"/>
      <c r="BW6" s="128"/>
      <c r="BX6" s="128"/>
      <c r="BY6" s="128"/>
      <c r="BZ6" s="128"/>
      <c r="CA6" s="206"/>
      <c r="CB6" s="280" t="str">
        <f>"_протокол"&amp;CB$5&amp;"!"&amp;дДС</f>
        <v>_протоколДС2!A10:C69</v>
      </c>
      <c r="CC6" s="128"/>
      <c r="CD6" s="128"/>
      <c r="CE6" s="128"/>
      <c r="CF6" s="128"/>
      <c r="CG6" s="213">
        <f ca="1">INDIRECT("_"&amp;CG$5&amp;"Норматив")</f>
        <v>7.789351851851852E-3</v>
      </c>
      <c r="CH6" s="283" t="str">
        <f>"_протокол"&amp;CG$5&amp;"!"&amp;дДСФ</f>
        <v>_протоколСФ2_1!A10:C69</v>
      </c>
      <c r="CI6" s="128"/>
      <c r="CJ6" s="128"/>
      <c r="CK6" s="206"/>
      <c r="CL6" s="213">
        <f ca="1">INDIRECT("_"&amp;CL$5&amp;"Норматив")</f>
        <v>1.425925925925926E-2</v>
      </c>
      <c r="CM6" s="283" t="str">
        <f>"_протокол"&amp;CL$5&amp;"!"&amp;дДСФ</f>
        <v>_протоколДСФ2!A10:C69</v>
      </c>
      <c r="CN6" s="128"/>
      <c r="CO6" s="128"/>
      <c r="CP6" s="206"/>
      <c r="CQ6" s="280" t="str">
        <f>"_протокол"&amp;CQ$5&amp;"!"&amp;дДС</f>
        <v>_протоколДС3!A10:C69</v>
      </c>
      <c r="CR6" s="128"/>
      <c r="CS6" s="128"/>
      <c r="CT6" s="128"/>
      <c r="CU6" s="128"/>
      <c r="CV6" s="213">
        <f ca="1">INDIRECT("_"&amp;CV$5&amp;"Норматив")</f>
        <v>6.9560185185185185E-3</v>
      </c>
      <c r="CW6" s="283" t="str">
        <f>"_протокол"&amp;CV$5&amp;"!"&amp;дДСФ</f>
        <v>_протоколСФ3_1!A10:C69</v>
      </c>
      <c r="CX6" s="128"/>
      <c r="CY6" s="128"/>
      <c r="CZ6" s="206"/>
      <c r="DA6" s="213">
        <f ca="1">INDIRECT("_"&amp;DA$5&amp;"Норматив")</f>
        <v>4.861111111111111E-4</v>
      </c>
      <c r="DB6" s="283" t="str">
        <f>"_протокол"&amp;DA$5&amp;"!"&amp;дДСФ</f>
        <v>_протоколДСФ3!A10:C69</v>
      </c>
      <c r="DC6" s="128"/>
      <c r="DD6" s="128"/>
      <c r="DE6" s="206"/>
      <c r="DF6" s="280" t="str">
        <f>"_протокол"&amp;DF$5&amp;"!"&amp;дКСЛ</f>
        <v>_протоколДС4!A10:I69</v>
      </c>
      <c r="DG6" s="128"/>
      <c r="DH6" s="128"/>
      <c r="DI6" s="128"/>
      <c r="DJ6" s="128"/>
      <c r="DK6" s="128"/>
      <c r="DL6" s="128"/>
      <c r="DM6" s="128"/>
      <c r="DN6" s="206"/>
      <c r="DO6" s="280" t="str">
        <f>"_протокол"&amp;DO$5&amp;"!"&amp;дДП</f>
        <v>_протоколДП1!A10:D69</v>
      </c>
      <c r="DP6" s="206"/>
      <c r="DQ6" s="280" t="str">
        <f>"_протокол"&amp;DQ$5&amp;"!"&amp;дДП</f>
        <v>_протоколДП2!A10:D69</v>
      </c>
      <c r="DR6" s="206"/>
      <c r="DS6" s="280" t="str">
        <f>"_протокол"&amp;DS$5&amp;"!"&amp;дВКП</f>
        <v>_протоколВКП1!A10:B69</v>
      </c>
      <c r="DT6" s="206"/>
      <c r="DU6" s="280" t="str">
        <f>"_протокол"&amp;DU$5&amp;"!"&amp;дВКП</f>
        <v>_протоколВКП2!A10:B69</v>
      </c>
      <c r="DV6" s="206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280" t="str">
        <f>"_протокол"&amp;EU$5&amp;"!"&amp;дВКВ</f>
        <v>_протоколВКВ1!A10:B69</v>
      </c>
      <c r="EV6" s="288" t="s">
        <v>414</v>
      </c>
      <c r="EW6" s="128" t="s">
        <v>439</v>
      </c>
      <c r="EX6" s="128"/>
      <c r="EY6" s="206"/>
      <c r="EZ6" s="280" t="str">
        <f>"_протокол"&amp;EZ$5&amp;"!"&amp;дКСЛ</f>
        <v>_протоколДС1!A10:I69</v>
      </c>
      <c r="FA6" s="128"/>
      <c r="FB6" s="128"/>
      <c r="FC6" s="128"/>
      <c r="FD6" s="128"/>
      <c r="FE6" s="128"/>
      <c r="FF6" s="128"/>
      <c r="FG6" s="128"/>
      <c r="FH6" s="206"/>
    </row>
    <row r="7" spans="1:165" hidden="1" x14ac:dyDescent="0.25">
      <c r="A7" s="251"/>
      <c r="B7" s="314" t="s">
        <v>450</v>
      </c>
      <c r="C7" s="314"/>
      <c r="D7" s="235"/>
      <c r="E7" s="235" t="s">
        <v>326</v>
      </c>
      <c r="F7" s="235"/>
      <c r="G7" s="128"/>
      <c r="H7" s="128"/>
      <c r="I7" s="128"/>
      <c r="J7" s="128"/>
      <c r="K7" s="287" t="s">
        <v>429</v>
      </c>
      <c r="L7" s="128"/>
      <c r="M7" s="128"/>
      <c r="N7" s="128"/>
      <c r="O7" s="298"/>
      <c r="P7" s="300"/>
      <c r="Q7" s="206"/>
      <c r="R7" s="287" t="s">
        <v>416</v>
      </c>
      <c r="S7" s="128"/>
      <c r="T7" s="128"/>
      <c r="U7" s="128"/>
      <c r="V7" s="298"/>
      <c r="W7" s="300"/>
      <c r="X7" s="128"/>
      <c r="Y7" s="206"/>
      <c r="Z7" s="287" t="s">
        <v>416</v>
      </c>
      <c r="AA7" s="128"/>
      <c r="AB7" s="128"/>
      <c r="AC7" s="128"/>
      <c r="AD7" s="298"/>
      <c r="AE7" s="300"/>
      <c r="AF7" s="128"/>
      <c r="AG7" s="206"/>
      <c r="AH7" s="287" t="s">
        <v>416</v>
      </c>
      <c r="AI7" s="128"/>
      <c r="AJ7" s="128"/>
      <c r="AK7" s="128"/>
      <c r="AL7" s="298"/>
      <c r="AM7" s="300"/>
      <c r="AN7" s="128"/>
      <c r="AO7" s="206"/>
      <c r="AP7" s="287" t="s">
        <v>416</v>
      </c>
      <c r="AQ7" s="128"/>
      <c r="AR7" s="128"/>
      <c r="AS7" s="128"/>
      <c r="AT7" s="298"/>
      <c r="AU7" s="300"/>
      <c r="AV7" s="128"/>
      <c r="AW7" s="206"/>
      <c r="AX7" s="287" t="s">
        <v>416</v>
      </c>
      <c r="AY7" s="128"/>
      <c r="AZ7" s="128"/>
      <c r="BA7" s="128"/>
      <c r="BB7" s="298"/>
      <c r="BC7" s="300"/>
      <c r="BD7" s="128"/>
      <c r="BE7" s="206"/>
      <c r="BF7" s="287" t="s">
        <v>416</v>
      </c>
      <c r="BG7" s="128"/>
      <c r="BH7" s="128"/>
      <c r="BI7" s="128"/>
      <c r="BJ7" s="298"/>
      <c r="BK7" s="300"/>
      <c r="BL7" s="128"/>
      <c r="BM7" s="206"/>
      <c r="BN7" s="287" t="s">
        <v>427</v>
      </c>
      <c r="BO7" s="128"/>
      <c r="BP7" s="128"/>
      <c r="BQ7" s="128"/>
      <c r="BR7" s="206"/>
      <c r="BS7" s="287" t="s">
        <v>425</v>
      </c>
      <c r="BT7" s="128"/>
      <c r="BU7" s="128"/>
      <c r="BV7" s="128"/>
      <c r="BW7" s="128"/>
      <c r="BX7" s="128"/>
      <c r="BY7" s="128"/>
      <c r="BZ7" s="128"/>
      <c r="CA7" s="206"/>
      <c r="CB7" s="287" t="s">
        <v>445</v>
      </c>
      <c r="CC7" s="488" t="s">
        <v>849</v>
      </c>
      <c r="CD7" s="128"/>
      <c r="CE7" s="128"/>
      <c r="CF7" s="128"/>
      <c r="CG7" s="287" t="s">
        <v>434</v>
      </c>
      <c r="CH7" s="128"/>
      <c r="CI7" s="128"/>
      <c r="CJ7" s="128"/>
      <c r="CK7" s="206"/>
      <c r="CL7" s="287" t="s">
        <v>446</v>
      </c>
      <c r="CM7" s="128"/>
      <c r="CN7" s="128"/>
      <c r="CO7" s="128"/>
      <c r="CP7" s="206"/>
      <c r="CQ7" s="287" t="s">
        <v>445</v>
      </c>
      <c r="CR7" s="488" t="s">
        <v>849</v>
      </c>
      <c r="CS7" s="128"/>
      <c r="CT7" s="128"/>
      <c r="CU7" s="128"/>
      <c r="CV7" s="287" t="s">
        <v>434</v>
      </c>
      <c r="CW7" s="128"/>
      <c r="CX7" s="128"/>
      <c r="CY7" s="128"/>
      <c r="CZ7" s="206"/>
      <c r="DA7" s="287" t="s">
        <v>446</v>
      </c>
      <c r="DB7" s="128"/>
      <c r="DC7" s="128"/>
      <c r="DD7" s="128"/>
      <c r="DE7" s="206"/>
      <c r="DF7" s="287" t="s">
        <v>425</v>
      </c>
      <c r="DG7" s="128"/>
      <c r="DH7" s="128"/>
      <c r="DI7" s="128"/>
      <c r="DJ7" s="128"/>
      <c r="DK7" s="128"/>
      <c r="DL7" s="128"/>
      <c r="DM7" s="128"/>
      <c r="DN7" s="206"/>
      <c r="DO7" s="287" t="s">
        <v>419</v>
      </c>
      <c r="DP7" s="206"/>
      <c r="DQ7" s="287" t="s">
        <v>419</v>
      </c>
      <c r="DR7" s="206"/>
      <c r="DS7" s="287" t="s">
        <v>422</v>
      </c>
      <c r="DT7" s="206"/>
      <c r="DU7" s="287" t="s">
        <v>422</v>
      </c>
      <c r="DV7" s="206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287" t="s">
        <v>421</v>
      </c>
      <c r="EV7" s="283">
        <f>MATCH(EV$6,5:5,0)</f>
        <v>18</v>
      </c>
      <c r="EW7" s="128" t="s">
        <v>440</v>
      </c>
      <c r="EX7" s="128"/>
      <c r="EY7" s="206"/>
      <c r="EZ7" s="287" t="s">
        <v>426</v>
      </c>
      <c r="FA7" s="128"/>
      <c r="FB7" s="128"/>
      <c r="FC7" s="128"/>
      <c r="FD7" s="128"/>
      <c r="FE7" s="128"/>
      <c r="FF7" s="128"/>
      <c r="FG7" s="128"/>
      <c r="FH7" s="206"/>
    </row>
    <row r="8" spans="1:165" hidden="1" x14ac:dyDescent="0.25">
      <c r="A8" s="251"/>
      <c r="B8" s="314"/>
      <c r="C8" s="314"/>
      <c r="D8" s="235"/>
      <c r="E8" s="235"/>
      <c r="F8" s="235"/>
      <c r="G8" s="128"/>
      <c r="H8" s="128"/>
      <c r="I8" s="128"/>
      <c r="J8" s="128"/>
      <c r="K8" s="287"/>
      <c r="L8" s="128"/>
      <c r="M8" s="128"/>
      <c r="N8" s="128"/>
      <c r="O8" s="298"/>
      <c r="P8" s="300"/>
      <c r="Q8" s="206"/>
      <c r="R8" s="287"/>
      <c r="S8" s="128"/>
      <c r="T8" s="128"/>
      <c r="U8" s="128"/>
      <c r="V8" s="298"/>
      <c r="W8" s="300"/>
      <c r="X8" s="128"/>
      <c r="Y8" s="206"/>
      <c r="Z8" s="287"/>
      <c r="AA8" s="128"/>
      <c r="AB8" s="128"/>
      <c r="AC8" s="128"/>
      <c r="AD8" s="298"/>
      <c r="AE8" s="300"/>
      <c r="AF8" s="128"/>
      <c r="AG8" s="206"/>
      <c r="AH8" s="287"/>
      <c r="AI8" s="128"/>
      <c r="AJ8" s="128"/>
      <c r="AK8" s="128"/>
      <c r="AL8" s="298"/>
      <c r="AM8" s="300"/>
      <c r="AN8" s="128"/>
      <c r="AO8" s="206"/>
      <c r="AP8" s="287"/>
      <c r="AQ8" s="128"/>
      <c r="AR8" s="128"/>
      <c r="AS8" s="128"/>
      <c r="AT8" s="298"/>
      <c r="AU8" s="300"/>
      <c r="AV8" s="128"/>
      <c r="AW8" s="206"/>
      <c r="AX8" s="287"/>
      <c r="AY8" s="128"/>
      <c r="AZ8" s="128"/>
      <c r="BA8" s="128"/>
      <c r="BB8" s="298"/>
      <c r="BC8" s="300"/>
      <c r="BD8" s="128"/>
      <c r="BE8" s="206"/>
      <c r="BF8" s="287"/>
      <c r="BG8" s="128"/>
      <c r="BH8" s="128"/>
      <c r="BI8" s="128"/>
      <c r="BJ8" s="298"/>
      <c r="BK8" s="300"/>
      <c r="BL8" s="128"/>
      <c r="BM8" s="206"/>
      <c r="BN8" s="287"/>
      <c r="BO8" s="128"/>
      <c r="BP8" s="128"/>
      <c r="BQ8" s="128"/>
      <c r="BR8" s="206"/>
      <c r="BS8" s="287"/>
      <c r="BT8" s="128"/>
      <c r="BU8" s="128"/>
      <c r="BV8" s="128"/>
      <c r="BW8" s="128"/>
      <c r="BX8" s="128"/>
      <c r="BY8" s="128"/>
      <c r="BZ8" s="128"/>
      <c r="CA8" s="206"/>
      <c r="CB8" s="287"/>
      <c r="CC8" s="488"/>
      <c r="CD8" s="128"/>
      <c r="CE8" s="128"/>
      <c r="CF8" s="128"/>
      <c r="CG8" s="287"/>
      <c r="CH8" s="128"/>
      <c r="CI8" s="128"/>
      <c r="CJ8" s="128"/>
      <c r="CK8" s="206"/>
      <c r="CL8" s="287"/>
      <c r="CM8" s="128"/>
      <c r="CN8" s="128"/>
      <c r="CO8" s="128"/>
      <c r="CP8" s="206"/>
      <c r="CQ8" s="287"/>
      <c r="CR8" s="488"/>
      <c r="CS8" s="128"/>
      <c r="CT8" s="128"/>
      <c r="CU8" s="128"/>
      <c r="CV8" s="287"/>
      <c r="CW8" s="128"/>
      <c r="CX8" s="128"/>
      <c r="CY8" s="128"/>
      <c r="CZ8" s="206"/>
      <c r="DA8" s="287"/>
      <c r="DB8" s="128"/>
      <c r="DC8" s="128"/>
      <c r="DD8" s="128"/>
      <c r="DE8" s="206"/>
      <c r="DF8" s="287"/>
      <c r="DG8" s="128"/>
      <c r="DH8" s="128"/>
      <c r="DI8" s="128"/>
      <c r="DJ8" s="128"/>
      <c r="DK8" s="128"/>
      <c r="DL8" s="128"/>
      <c r="DM8" s="128"/>
      <c r="DN8" s="206"/>
      <c r="DO8" s="287"/>
      <c r="DP8" s="206"/>
      <c r="DQ8" s="287"/>
      <c r="DR8" s="206"/>
      <c r="DS8" s="287"/>
      <c r="DT8" s="206"/>
      <c r="DU8" s="287"/>
      <c r="DV8" s="206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287"/>
      <c r="EV8" s="283"/>
      <c r="EW8" s="128"/>
      <c r="EX8" s="128"/>
      <c r="EY8" s="206"/>
      <c r="EZ8" s="287"/>
      <c r="FA8" s="128"/>
      <c r="FB8" s="128"/>
      <c r="FC8" s="128"/>
      <c r="FD8" s="128"/>
      <c r="FE8" s="128"/>
      <c r="FF8" s="128"/>
      <c r="FG8" s="128"/>
      <c r="FH8" s="206"/>
    </row>
    <row r="9" spans="1:165" hidden="1" x14ac:dyDescent="0.25">
      <c r="A9" s="251"/>
      <c r="B9" s="128" t="s">
        <v>239</v>
      </c>
      <c r="C9" s="128"/>
      <c r="D9" s="128"/>
      <c r="E9" s="128"/>
      <c r="F9" s="128"/>
      <c r="G9" s="128"/>
      <c r="H9" s="128"/>
      <c r="I9" s="128"/>
      <c r="J9" s="128"/>
      <c r="K9" s="207"/>
      <c r="L9" s="128"/>
      <c r="M9" s="128"/>
      <c r="N9" s="128"/>
      <c r="O9" s="298"/>
      <c r="P9" s="299"/>
      <c r="Q9" s="206"/>
      <c r="R9" s="207"/>
      <c r="S9" s="128"/>
      <c r="T9" s="128"/>
      <c r="U9" s="128"/>
      <c r="V9" s="298"/>
      <c r="W9" s="299"/>
      <c r="X9" s="128"/>
      <c r="Y9" s="206"/>
      <c r="Z9" s="207"/>
      <c r="AA9" s="128"/>
      <c r="AB9" s="128"/>
      <c r="AC9" s="128"/>
      <c r="AD9" s="298"/>
      <c r="AE9" s="299"/>
      <c r="AF9" s="128"/>
      <c r="AG9" s="206"/>
      <c r="AH9" s="207"/>
      <c r="AI9" s="128"/>
      <c r="AJ9" s="128"/>
      <c r="AK9" s="128"/>
      <c r="AL9" s="298"/>
      <c r="AM9" s="299"/>
      <c r="AN9" s="128"/>
      <c r="AO9" s="206"/>
      <c r="AP9" s="207"/>
      <c r="AQ9" s="128"/>
      <c r="AR9" s="128"/>
      <c r="AS9" s="128"/>
      <c r="AT9" s="298"/>
      <c r="AU9" s="299"/>
      <c r="AV9" s="128"/>
      <c r="AW9" s="206"/>
      <c r="AX9" s="207"/>
      <c r="AY9" s="128"/>
      <c r="AZ9" s="128"/>
      <c r="BA9" s="128"/>
      <c r="BB9" s="298"/>
      <c r="BC9" s="299"/>
      <c r="BD9" s="128"/>
      <c r="BE9" s="206"/>
      <c r="BF9" s="207"/>
      <c r="BG9" s="128"/>
      <c r="BH9" s="128"/>
      <c r="BI9" s="128"/>
      <c r="BJ9" s="298"/>
      <c r="BK9" s="299"/>
      <c r="BL9" s="128"/>
      <c r="BM9" s="206"/>
      <c r="BN9" s="207"/>
      <c r="BO9" s="128"/>
      <c r="BP9" s="128"/>
      <c r="BQ9" s="128"/>
      <c r="BR9" s="206"/>
      <c r="BS9" s="207"/>
      <c r="BT9" s="128"/>
      <c r="BU9" s="128"/>
      <c r="BV9" s="128"/>
      <c r="BW9" s="128"/>
      <c r="BX9" s="128"/>
      <c r="BY9" s="128"/>
      <c r="BZ9" s="128"/>
      <c r="CA9" s="206"/>
      <c r="CB9" s="207"/>
      <c r="CC9" s="128"/>
      <c r="CD9" s="128"/>
      <c r="CE9" s="128"/>
      <c r="CF9" s="128"/>
      <c r="CG9" s="207"/>
      <c r="CH9" s="128"/>
      <c r="CI9" s="128"/>
      <c r="CJ9" s="128"/>
      <c r="CK9" s="206"/>
      <c r="CL9" s="207"/>
      <c r="CM9" s="128"/>
      <c r="CN9" s="128"/>
      <c r="CO9" s="128"/>
      <c r="CP9" s="206"/>
      <c r="CQ9" s="207"/>
      <c r="CR9" s="128"/>
      <c r="CS9" s="128"/>
      <c r="CT9" s="128"/>
      <c r="CU9" s="128"/>
      <c r="CV9" s="207"/>
      <c r="CW9" s="128"/>
      <c r="CX9" s="128"/>
      <c r="CY9" s="128"/>
      <c r="CZ9" s="206"/>
      <c r="DA9" s="207"/>
      <c r="DB9" s="128"/>
      <c r="DC9" s="128"/>
      <c r="DD9" s="128"/>
      <c r="DE9" s="206"/>
      <c r="DF9" s="207"/>
      <c r="DG9" s="128"/>
      <c r="DH9" s="128"/>
      <c r="DI9" s="128"/>
      <c r="DJ9" s="128"/>
      <c r="DK9" s="128"/>
      <c r="DL9" s="128"/>
      <c r="DM9" s="128"/>
      <c r="DN9" s="206"/>
      <c r="DO9" s="207"/>
      <c r="DP9" s="206"/>
      <c r="DQ9" s="207"/>
      <c r="DR9" s="206"/>
      <c r="DS9" s="207"/>
      <c r="DT9" s="206"/>
      <c r="DU9" s="207"/>
      <c r="DV9" s="206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290" t="e">
        <f ca="1">вЦел(INDIRECT("_"&amp;EU$5&amp;"Расстояние")/INDIRECT("_"&amp;LEFT(EV$6,LEN(EV$6)-1)&amp;(RIGHT(EV$6,1)+1)&amp;"Скорость")/24)/1440</f>
        <v>#VALUE!</v>
      </c>
      <c r="EV9" s="289" t="e">
        <f ca="1">ROUNDUP(вЦел(EU9)/10,0)/1440</f>
        <v>#VALUE!</v>
      </c>
      <c r="EW9" s="128"/>
      <c r="EX9" s="128"/>
      <c r="EY9" s="206"/>
      <c r="EZ9" s="207"/>
      <c r="FA9" s="128"/>
      <c r="FB9" s="128"/>
      <c r="FC9" s="128"/>
      <c r="FD9" s="128"/>
      <c r="FE9" s="128"/>
      <c r="FF9" s="128"/>
      <c r="FG9" s="128"/>
      <c r="FH9" s="206"/>
    </row>
    <row r="10" spans="1:165" s="236" customFormat="1" x14ac:dyDescent="0.25">
      <c r="A10" s="388">
        <f>стартоваяВедомость!B10</f>
        <v>1</v>
      </c>
      <c r="B10" s="389" t="str">
        <f t="shared" ref="B10:B69" ca="1" si="1">VLOOKUP($A10,INDIRECT($B$6),2,FALSE)</f>
        <v>BMW 420i xDrive</v>
      </c>
      <c r="C10" s="389" t="str">
        <f t="shared" ref="C10:C69" ca="1" si="2">VLOOKUP($A10,INDIRECT($B$6),3,FALSE)</f>
        <v>Мозговая Светлана</v>
      </c>
      <c r="D10" s="389" t="str">
        <f t="shared" ref="D10:D69" ca="1" si="3">VLOOKUP($A10,INDIRECT($B$6),4,FALSE)</f>
        <v>Сальников Евгений</v>
      </c>
      <c r="E10" s="389" t="str">
        <f t="shared" ref="E10:E69" ca="1" si="4">VLOOKUP($A10,INDIRECT($B$6),5,FALSE)</f>
        <v>Москва</v>
      </c>
      <c r="F10" s="389" t="str">
        <f t="shared" ref="F10:F69" ca="1" si="5">VLOOKUP($A10,INDIRECT($B$6),6,FALSE)</f>
        <v>Pro, Кубок</v>
      </c>
      <c r="G10" s="486">
        <f t="shared" ref="G10" ca="1" si="6">IF(LEN(A10)&gt;0,IF(ISNUMBER(H10),H10+I10+J10,H10),"")</f>
        <v>622.29999999999995</v>
      </c>
      <c r="H10" s="486">
        <f t="shared" ref="H10" ca="1" si="7">IF(O10&lt;&gt;"DNS",IF(BR10&lt;&gt;"DNF",O10+V10+AD10+AL10+AT10+BB10+BJ10+BR10+DT10+DV10,"DNF"),"DNS")</f>
        <v>0</v>
      </c>
      <c r="I10" s="486">
        <f t="shared" ref="I10" ca="1" si="8">CA10+CK10+CP10+CZ10+DE10+DN10</f>
        <v>382.3</v>
      </c>
      <c r="J10" s="486">
        <f ca="1">DP10++DR10</f>
        <v>240</v>
      </c>
      <c r="K10" s="390">
        <f t="shared" ref="K10:K69" ca="1" si="9">VLOOKUP($A10,INDIRECT($B$6),7,FALSE)</f>
        <v>0.41736111111111113</v>
      </c>
      <c r="L10" s="391">
        <f t="shared" ref="L10" ca="1" si="10">IFERROR(VLOOKUP($A10,INDIRECT(K$6),3,FALSE),0)</f>
        <v>0.41736111111111113</v>
      </c>
      <c r="M10" s="392" t="str">
        <f ca="1">IF(L10&lt;&gt;0,вПМ(L10,K10),"")</f>
        <v/>
      </c>
      <c r="N10" s="391">
        <f ca="1">IF(L10&lt;&gt;0,вРазн(L10,K10), 0)</f>
        <v>0</v>
      </c>
      <c r="O10" s="393">
        <f t="shared" ref="O10" ca="1" si="11">IF(L10&lt;&gt;0,IF(M10="+",MIN(вЦел(N10)*опережениеКВ,пределКВ),вЦел(N10)*опережениеКВ),"DNS")</f>
        <v>0</v>
      </c>
      <c r="P10" s="394">
        <f t="shared" ref="P10:P69" ca="1" si="12">P$6</f>
        <v>4.86111119389534E-2</v>
      </c>
      <c r="Q10" s="395"/>
      <c r="R10" s="390">
        <f t="shared" ref="R10" ca="1" si="13">IF(L10&lt;&gt;0,L10,K10)+P10</f>
        <v>0.46597222305006453</v>
      </c>
      <c r="S10" s="391">
        <f t="shared" ref="S10" ca="1" si="14">IFERROR(VLOOKUP($A10,INDIRECT(R$6),2,FALSE),0)</f>
        <v>0.46597222222222223</v>
      </c>
      <c r="T10" s="392" t="str">
        <f ca="1">IF(S10&lt;&gt;0,вПМ(S10,R10),"")</f>
        <v/>
      </c>
      <c r="U10" s="391">
        <f ca="1">IF(S10&lt;&gt;0,вРазн(S10,R10), 0)</f>
        <v>0</v>
      </c>
      <c r="V10" s="393">
        <f t="shared" ref="V10" ca="1" si="15">IF(S10&lt;&gt;0,IF(T10="+",MIN(MAX(вЦел(U10-Q10),0)*опережениеКВ,пределКВ),вЦел(U10)*опережениеКВ),пропускКВ)</f>
        <v>0</v>
      </c>
      <c r="W10" s="394">
        <f t="shared" ref="W10:W69" ca="1" si="16">W$6</f>
        <v>4.86111119389534E-2</v>
      </c>
      <c r="X10" s="391"/>
      <c r="Y10" s="395">
        <f t="shared" ref="Y10" ca="1" si="17">IF(S10&lt;&gt;0,X10,Q10+X10)</f>
        <v>0</v>
      </c>
      <c r="Z10" s="390">
        <f t="shared" ref="Z10" ca="1" si="18">IF(S10&lt;&gt;0,CC10,R10)+W10</f>
        <v>0.51666666749450885</v>
      </c>
      <c r="AA10" s="391">
        <f t="shared" ref="AA10" ca="1" si="19">IFERROR(VLOOKUP($A10,INDIRECT(Z$6),2,FALSE),0)</f>
        <v>0.51666666666666672</v>
      </c>
      <c r="AB10" s="392" t="str">
        <f ca="1">IF(AA10&lt;&gt;0,вПМ(AA10,Z10),"")</f>
        <v/>
      </c>
      <c r="AC10" s="391">
        <f ca="1">IF(AA10&lt;&gt;0,вРазн(AA10,Z10), 0)</f>
        <v>0</v>
      </c>
      <c r="AD10" s="393">
        <f t="shared" ref="AD10" ca="1" si="20">IF(AA10&lt;&gt;0,IF(AB10="+",MIN(MAX(вЦел(AC10-Y10),0)*опережениеКВ,пределКВ),вЦел(AC10)*опережениеКВ),пропускКВ)</f>
        <v>0</v>
      </c>
      <c r="AE10" s="394">
        <f t="shared" ref="AE10:AE69" ca="1" si="21">AE$6</f>
        <v>2.43055559694767E-2</v>
      </c>
      <c r="AF10" s="391"/>
      <c r="AG10" s="395">
        <f t="shared" ref="AG10" ca="1" si="22">IF(AA10&lt;&gt;0,AF10,Y10+AF10)</f>
        <v>0</v>
      </c>
      <c r="AH10" s="390">
        <f t="shared" ref="AH10" ca="1" si="23">IF(AA10&lt;&gt;0,AA10,Z10)+AE10</f>
        <v>0.54097222263614342</v>
      </c>
      <c r="AI10" s="391">
        <f t="shared" ref="AI10" ca="1" si="24">IFERROR(VLOOKUP($A10,INDIRECT(AH$6),2,FALSE),0)</f>
        <v>0.54097222222222219</v>
      </c>
      <c r="AJ10" s="392" t="str">
        <f ca="1">IF(AI10&lt;&gt;0,вПМ(AI10,AH10),"")</f>
        <v/>
      </c>
      <c r="AK10" s="391">
        <f ca="1">IF(AI10&lt;&gt;0,вРазн(AI10,AH10), 0)</f>
        <v>0</v>
      </c>
      <c r="AL10" s="393">
        <f t="shared" ref="AL10" ca="1" si="25">IF(AI10&lt;&gt;0,IF(AJ10="+",MIN(MAX(вЦел(AK10-AG10),0)*опережениеКВ,пределКВ),вЦел(AK10)*опережениеКВ),пропускКВ)</f>
        <v>0</v>
      </c>
      <c r="AM10" s="394">
        <f t="shared" ref="AM10:AM69" ca="1" si="26">AM$6</f>
        <v>2.43055559694767E-2</v>
      </c>
      <c r="AN10" s="391"/>
      <c r="AO10" s="395">
        <f t="shared" ref="AO10" ca="1" si="27">IF(AI10&lt;&gt;0,AN10,AG10+AN10)</f>
        <v>0</v>
      </c>
      <c r="AP10" s="390">
        <f t="shared" ref="AP10" ca="1" si="28">IF(AI10&lt;&gt;0,AI10,AH10)+AM10</f>
        <v>0.56527777819169889</v>
      </c>
      <c r="AQ10" s="391">
        <f t="shared" ref="AQ10" ca="1" si="29">IFERROR(VLOOKUP($A10,INDIRECT(AP$6),2,FALSE),0)</f>
        <v>0.56527777777777777</v>
      </c>
      <c r="AR10" s="392" t="str">
        <f ca="1">IF(AQ10&lt;&gt;0,вПМ(AQ10,AP10),"")</f>
        <v/>
      </c>
      <c r="AS10" s="391">
        <f ca="1">IF(AQ10&lt;&gt;0,вРазн(AQ10,AP10), 0)</f>
        <v>0</v>
      </c>
      <c r="AT10" s="393">
        <f t="shared" ref="AT10" ca="1" si="30">IF(AQ10&lt;&gt;0,IF(AR10="+",MIN(MAX(вЦел(AS10-AG10),0)*опережениеКВ,пределКВ),вЦел(AS10)*опережениеКВ),пропускКВ)</f>
        <v>0</v>
      </c>
      <c r="AU10" s="394">
        <f t="shared" ref="AU10:AU69" ca="1" si="31">AU$6</f>
        <v>3.125E-2</v>
      </c>
      <c r="AV10" s="391"/>
      <c r="AW10" s="395">
        <f t="shared" ref="AW10" ca="1" si="32">IF(AQ10&lt;&gt;0,AV10,AG10+AV10)</f>
        <v>0</v>
      </c>
      <c r="AX10" s="390">
        <f t="shared" ref="AX10" ca="1" si="33">IF(AQ10&lt;&gt;0,CR10,AP10)+AU10</f>
        <v>0.59861111111111109</v>
      </c>
      <c r="AY10" s="391">
        <f t="shared" ref="AY10" ca="1" si="34">IFERROR(VLOOKUP($A10,INDIRECT(AX$6),2,FALSE),0)</f>
        <v>0.59861111111111109</v>
      </c>
      <c r="AZ10" s="392" t="str">
        <f ca="1">IF(AY10&lt;&gt;0,вПМ(AY10,AX10),"")</f>
        <v/>
      </c>
      <c r="BA10" s="391">
        <f ca="1">IF(AY10&lt;&gt;0,вРазн(AY10,AX10), 0)</f>
        <v>0</v>
      </c>
      <c r="BB10" s="393">
        <f t="shared" ref="BB10" ca="1" si="35">IF(AY10&lt;&gt;0,IF(AZ10="+",MIN(MAX(вЦел(BA10-AO10),0)*опережениеКВ,пределКВ),вЦел(BA10)*опережениеКВ),пропускКВ)</f>
        <v>0</v>
      </c>
      <c r="BC10" s="394">
        <f t="shared" ref="BC10:BC69" ca="1" si="36">BC$6</f>
        <v>4.1666667908430099E-2</v>
      </c>
      <c r="BD10" s="391"/>
      <c r="BE10" s="395">
        <f t="shared" ref="BE10" ca="1" si="37">IF(AY10&lt;&gt;0,BD10,AO10+BD10)</f>
        <v>0</v>
      </c>
      <c r="BF10" s="390">
        <f t="shared" ref="BF10" ca="1" si="38">IF(AY10&lt;&gt;0,AY10,AX10)+BC10</f>
        <v>0.64027777901954119</v>
      </c>
      <c r="BG10" s="391">
        <f t="shared" ref="BG10" ca="1" si="39">IFERROR(VLOOKUP($A10,INDIRECT(BF$6),2,FALSE),0)</f>
        <v>0.64027777777777783</v>
      </c>
      <c r="BH10" s="392" t="str">
        <f ca="1">IF(BG10&lt;&gt;0,вПМ(BG10,BF10),"")</f>
        <v/>
      </c>
      <c r="BI10" s="391">
        <f ca="1">IF(BG10&lt;&gt;0,вРазн(BG10,BF10), 0)</f>
        <v>0</v>
      </c>
      <c r="BJ10" s="393">
        <f t="shared" ref="BJ10" ca="1" si="40">IF(BG10&lt;&gt;0,IF(BH10="+",MIN(MAX(вЦел(BI10-AW10),0)*опережениеКВ,пределКВ),вЦел(BI10)*опережениеКВ),пропускКВ)</f>
        <v>0</v>
      </c>
      <c r="BK10" s="394">
        <f t="shared" ref="BK10:BK69" ca="1" si="41">BK$6</f>
        <v>2.777777798473835E-2</v>
      </c>
      <c r="BL10" s="391"/>
      <c r="BM10" s="395">
        <f t="shared" ref="BM10" ca="1" si="42">IF(BG10&lt;&gt;0,BL10,AW10+BL10)</f>
        <v>0</v>
      </c>
      <c r="BN10" s="390">
        <f t="shared" ref="BN10" ca="1" si="43">IF(BG10&lt;&gt;0,BG10,BF10)+BK10</f>
        <v>0.66805555576251618</v>
      </c>
      <c r="BO10" s="391">
        <f t="shared" ref="BO10" ca="1" si="44">IFERROR(VLOOKUP($A10,INDIRECT(BN$6),2,FALSE),0)</f>
        <v>0.66388888888888886</v>
      </c>
      <c r="BP10" s="392" t="str">
        <f ca="1">IF(BO10&lt;&gt;0,вПМ(BO10,BN10),"")</f>
        <v>-</v>
      </c>
      <c r="BQ10" s="391">
        <f ca="1">IF(BO10&lt;&gt;0,вРазн(BO10,BN10), 0)</f>
        <v>4.1666626930236816E-3</v>
      </c>
      <c r="BR10" s="396">
        <f t="shared" ref="BR10" ca="1" si="45">IF(BO10&lt;&gt;0,IF(BP10="+",MIN(MAX(вЦел(BQ10-Y10),0)*опережениеКВ,пределКВ),0),"DNF")</f>
        <v>0</v>
      </c>
      <c r="BS10" s="390">
        <f t="shared" ref="BS10:BS69" ca="1" si="46">IFERROR(VLOOKUP($A10,INDIRECT(BS$6),2,FALSE),0)</f>
        <v>0</v>
      </c>
      <c r="BT10" s="391">
        <f t="shared" ref="BT10" ca="1" si="47">IFERROR(VLOOKUP($A10,INDIRECT(BS$6),3,FALSE),0)</f>
        <v>0</v>
      </c>
      <c r="BU10" s="391">
        <f t="shared" ref="BU10" ca="1" si="48">IF(OR(BS10=0,BT10=0),0,ROUND(BT10*1440,0)/1440-ROUND(BS10*1440,0)/1440)</f>
        <v>0</v>
      </c>
      <c r="BV10" s="401">
        <f t="shared" ref="BV10" ca="1" si="49">ROUND(IFERROR(VLOOKUP($A10,INDIRECT(BS$6),5,FALSE),0),1)</f>
        <v>63</v>
      </c>
      <c r="BW10" s="401">
        <f t="shared" ref="BW10" ca="1" si="50">IFERROR(VLOOKUP($A10,INDIRECT(BS$6),6,FALSE),0)</f>
        <v>0</v>
      </c>
      <c r="BX10" s="392">
        <f ca="1">IFERROR(VLOOKUP($A10,INDIRECT(BS$6),7,FALSE),0)</f>
        <v>0</v>
      </c>
      <c r="BY10" s="392">
        <f ca="1">IFERROR(VLOOKUP($A10,INDIRECT(BS$6),8,FALSE),0)</f>
        <v>0</v>
      </c>
      <c r="BZ10" s="392">
        <f ca="1">IFERROR(VLOOKUP($A10,INDIRECT(BS$6),9,FALSE),0)</f>
        <v>0</v>
      </c>
      <c r="CA10" s="462">
        <f t="shared" ref="CA10" ca="1" si="51">IF(BV10=0,пропускДС,BV10*секундаСЛ+BW10*конус+IF(BX10&lt;&gt;0,фальстарт,0)+IF(BY10&lt;&gt;0,база,0)+IF(BZ10&lt;&gt;0,неПоСхеме,0))</f>
        <v>189</v>
      </c>
      <c r="CB10" s="390">
        <f t="shared" ref="CB10:CB69" ca="1" si="52">IFERROR(VLOOKUP($A10,INDIRECT(CB$6),2,FALSE),0)</f>
        <v>0.4680555555555555</v>
      </c>
      <c r="CC10" s="391">
        <f ca="1">IFERROR(VLOOKUP($A10,INDIRECT(CB$6),2,FALSE),0)</f>
        <v>0.4680555555555555</v>
      </c>
      <c r="CD10" s="391">
        <f ca="1">IF(OR(CB10=0,CC10=0),0,вРазн(CC10,CB10))</f>
        <v>0</v>
      </c>
      <c r="CE10" s="391"/>
      <c r="CF10" s="391"/>
      <c r="CG10" s="397">
        <f t="shared" ref="CG10" ca="1" si="53">IF(CC10&lt;&gt;0,CC10+CG$6,0)</f>
        <v>0.47584490740740737</v>
      </c>
      <c r="CH10" s="398">
        <f t="shared" ref="CH10:CH69" ca="1" si="54">IFERROR(VLOOKUP($A10,INDIRECT(CH$6),2,FALSE),0)</f>
        <v>0.47546296296296298</v>
      </c>
      <c r="CI10" s="399" t="str">
        <f ca="1">IF(CH10&lt;&gt;0,вПМ(CH10,CG10,"s"),"")</f>
        <v>-</v>
      </c>
      <c r="CJ10" s="398">
        <f ca="1">IF(CH10&lt;&gt;0,вРазн(CH10,CG10,"s"), 0)</f>
        <v>3.8194656372070313E-4</v>
      </c>
      <c r="CK10" s="462">
        <f t="shared" ref="CK10" ca="1" si="55">IF(CH10=0,пропускСФ,MIN(вЦел(CJ10,"s")*отклонениеРД,пределРД))</f>
        <v>33</v>
      </c>
      <c r="CL10" s="397">
        <f t="shared" ref="CL10" ca="1" si="56">IF(CH10&lt;&gt;0,CH10+CL$6,0)</f>
        <v>0.48972222222222223</v>
      </c>
      <c r="CM10" s="398">
        <f t="shared" ref="CM10:CM69" ca="1" si="57">IFERROR(VLOOKUP($A10,INDIRECT(CM$6),2,FALSE),0)</f>
        <v>0.48972222222222223</v>
      </c>
      <c r="CN10" s="392" t="str">
        <f ca="1">IF(AND(CM10&lt;&gt;0,CL10&lt;&gt;0),вПМ(CM10,CL10,"s"),"")</f>
        <v/>
      </c>
      <c r="CO10" s="398">
        <f ca="1">IF(AND(CM10&lt;&gt;0,CL10&lt;&gt;0),вРазн(CM10,CL10,"s"), 0)</f>
        <v>0</v>
      </c>
      <c r="CP10" s="462">
        <f t="shared" ref="CP10" ca="1" si="58">IF(CL10=0,0,IF(CM10=0,пропускДС,MIN(вЦел(CO10,"s")*отклонениеРД,пределРД)))</f>
        <v>0</v>
      </c>
      <c r="CQ10" s="390">
        <f t="shared" ref="CQ10:CQ69" ca="1" si="59">IFERROR(VLOOKUP($A10,INDIRECT(CQ$6),2,FALSE),0)</f>
        <v>0.56736111111111109</v>
      </c>
      <c r="CR10" s="391">
        <f ca="1">IFERROR(VLOOKUP($A10,INDIRECT(CQ$6),2,FALSE),0)</f>
        <v>0.56736111111111109</v>
      </c>
      <c r="CS10" s="391">
        <f ca="1">IF(OR(CQ10=0,CR10=0),0,вРазн(CR10,CQ10))</f>
        <v>0</v>
      </c>
      <c r="CT10" s="391"/>
      <c r="CU10" s="391"/>
      <c r="CV10" s="397">
        <f t="shared" ref="CV10" ca="1" si="60">IF(CR10&lt;&gt;0,CR10+CV$6,0)</f>
        <v>0.57431712962962966</v>
      </c>
      <c r="CW10" s="398">
        <f t="shared" ref="CW10:CW69" ca="1" si="61">IFERROR(VLOOKUP($A10,INDIRECT(CW$6),2,FALSE),0)</f>
        <v>0.57406250000000003</v>
      </c>
      <c r="CX10" s="399" t="str">
        <f ca="1">IF(CW10&lt;&gt;0,вПМ(CW10,CV10,"s"),"")</f>
        <v>-</v>
      </c>
      <c r="CY10" s="398">
        <f ca="1">IF(CW10&lt;&gt;0,вРазн(CW10,CV10,"s"), 0)</f>
        <v>2.5463104248046875E-4</v>
      </c>
      <c r="CZ10" s="462">
        <f t="shared" ref="CZ10" ca="1" si="62">IF(CW10=0,пропускСФ,MIN(вЦел(CY10,"s")*отклонениеРД,пределРД))</f>
        <v>22</v>
      </c>
      <c r="DA10" s="397">
        <f t="shared" ref="DA10" ca="1" si="63">IF(CW10&lt;&gt;0,CW10+DA$6,0)</f>
        <v>0.57454861111111111</v>
      </c>
      <c r="DB10" s="398">
        <f t="shared" ref="DB10:DB69" ca="1" si="64">IFERROR(VLOOKUP($A10,INDIRECT(DB$6),2,FALSE),0)</f>
        <v>0.57454861111111111</v>
      </c>
      <c r="DC10" s="392" t="str">
        <f ca="1">IF(AND(DB10&lt;&gt;0,DA10&lt;&gt;0),вПМ(DB10,DA10,"s"),"")</f>
        <v/>
      </c>
      <c r="DD10" s="398">
        <f ca="1">IF(AND(DB10&lt;&gt;0,DA10&lt;&gt;0),вРазн(DB10,DA10,"s"), 0)</f>
        <v>0</v>
      </c>
      <c r="DE10" s="462">
        <f t="shared" ref="DE10" ca="1" si="65">IF(DA10=0,0,IF(DB10=0,пропускДС,MIN(вЦел(DD10,"s")*отклонениеРД,пределРД)))</f>
        <v>0</v>
      </c>
      <c r="DF10" s="390">
        <f t="shared" ref="DF10:DF69" ca="1" si="66">IFERROR(VLOOKUP($A10,INDIRECT(DF$6),2,FALSE),0)</f>
        <v>0</v>
      </c>
      <c r="DG10" s="391">
        <f t="shared" ref="DG10" ca="1" si="67">IFERROR(VLOOKUP($A10,INDIRECT(DF$6),3,FALSE),0)</f>
        <v>0</v>
      </c>
      <c r="DH10" s="391">
        <f t="shared" ref="DH10" ca="1" si="68">IF(OR(DF10=0,DG10=0),0,ROUND(DG10*1440,0)/1440-ROUND(DF10*1440,0)/1440)</f>
        <v>0</v>
      </c>
      <c r="DI10" s="401">
        <f t="shared" ref="DI10" ca="1" si="69">ROUND(IFERROR(VLOOKUP($A10,INDIRECT(DF$6),5,FALSE),0),1)</f>
        <v>46.1</v>
      </c>
      <c r="DJ10" s="401">
        <f t="shared" ref="DJ10" ca="1" si="70">IFERROR(VLOOKUP($A10,INDIRECT(DF$6),6,FALSE),0)</f>
        <v>0</v>
      </c>
      <c r="DK10" s="392">
        <f ca="1">IFERROR(VLOOKUP($A10,INDIRECT(DF$6),7,FALSE),0)</f>
        <v>0</v>
      </c>
      <c r="DL10" s="392">
        <f ca="1">IFERROR(VLOOKUP($A10,INDIRECT(DF$6),8,FALSE),0)</f>
        <v>0</v>
      </c>
      <c r="DM10" s="392">
        <f ca="1">IFERROR(VLOOKUP($A10,INDIRECT(DF$6),9,FALSE),0)</f>
        <v>0</v>
      </c>
      <c r="DN10" s="462">
        <f t="shared" ref="DN10" ca="1" si="71">IF(DI10=0,пропускДС,DI10*секундаСЛ+DJ10*конус+IF(DK10&lt;&gt;0,фальстарт,0)+IF(DL10&lt;&gt;0,база,0)+IF(DM10&lt;&gt;0,неПоСхеме,0))</f>
        <v>138.30000000000001</v>
      </c>
      <c r="DO10" s="402">
        <f t="shared" ref="DO10:DQ69" ca="1" si="72">IFERROR(VLOOKUP($A10,INDIRECT(DO$6),2,FALSE),0)</f>
        <v>0</v>
      </c>
      <c r="DP10" s="400">
        <f t="shared" ref="DP10" ca="1" si="73">IFERROR(VLOOKUP($A10,INDIRECT(DO$6),4,FALSE),0)</f>
        <v>0</v>
      </c>
      <c r="DQ10" s="402">
        <f t="shared" ca="1" si="72"/>
        <v>0</v>
      </c>
      <c r="DR10" s="400">
        <f t="shared" ref="DR10" ca="1" si="74">IFERROR(VLOOKUP($A10,INDIRECT(DQ$6),4,FALSE),0)</f>
        <v>240</v>
      </c>
      <c r="DS10" s="390">
        <f t="shared" ref="DS10:DU35" ca="1" si="75">IFERROR(VLOOKUP($A10,INDIRECT(DS$6),2,FALSE),0)</f>
        <v>0.65138888888888891</v>
      </c>
      <c r="DT10" s="396">
        <f t="shared" ref="DT10" ca="1" si="76">IF(DS10&lt;&gt;0,0,пропускКВ)</f>
        <v>0</v>
      </c>
      <c r="DU10" s="390">
        <f t="shared" ca="1" si="75"/>
        <v>0.66041666666666665</v>
      </c>
      <c r="DV10" s="396">
        <f t="shared" ref="DV10" ca="1" si="77">IF(DU10&lt;&gt;0,0,пропускКВ)</f>
        <v>0</v>
      </c>
      <c r="DW10" s="459"/>
      <c r="DX10" s="459"/>
      <c r="DY10" s="459"/>
      <c r="DZ10" s="459"/>
      <c r="EA10" s="459"/>
      <c r="EB10" s="459"/>
      <c r="EC10" s="459"/>
      <c r="ED10" s="459"/>
      <c r="EE10" s="459"/>
      <c r="EF10" s="459"/>
      <c r="EG10" s="459"/>
      <c r="EH10" s="459"/>
      <c r="EI10" s="459"/>
      <c r="EJ10" s="459"/>
      <c r="EK10" s="459"/>
      <c r="EL10" s="459"/>
      <c r="EM10" s="459"/>
      <c r="EN10" s="459"/>
      <c r="EO10" s="459"/>
      <c r="EP10" s="459"/>
      <c r="EQ10" s="459"/>
      <c r="ER10" s="459"/>
      <c r="ES10" s="459"/>
      <c r="ET10" s="459"/>
      <c r="EU10" s="390" t="e">
        <f t="shared" ref="EU10" ca="1" si="78">IF(INDIRECT(ADDRESS(ROW(),EV$7))&lt;&gt;0,INDIRECT(ADDRESS(ROW(),EV$7))+EU$9,INDIRECT(ADDRESS(ROW(),EV$7+1))+EU$9)</f>
        <v>#VALUE!</v>
      </c>
      <c r="EV10" s="391">
        <f t="shared" ref="EV10" ca="1" si="79">IFERROR(VLOOKUP($A10,INDIRECT(EU$6),2,FALSE),0)</f>
        <v>0</v>
      </c>
      <c r="EW10" s="392" t="e">
        <f ca="1">IF(AND(EV10&lt;&gt;0,EU10&lt;&gt;0),вПМ(EV10,EU10),"")</f>
        <v>#VALUE!</v>
      </c>
      <c r="EX10" s="391">
        <f ca="1">IF(EV10&lt;&gt;0,вРазн(EV10,EU10), 0)</f>
        <v>0</v>
      </c>
      <c r="EY10" s="396">
        <f t="shared" ref="EY10" ca="1" si="80">IF(EV10&lt;&gt;0,IF(EW10="+",0,IF(EX10&gt;EV$9,вЦел(EX10-EV$9)*опережениеКВ,0)),пропускКВ)</f>
        <v>900</v>
      </c>
      <c r="EZ10" s="390">
        <f t="shared" ref="EZ10:EZ69" ca="1" si="81">IFERROR(VLOOKUP($A10,INDIRECT(EZ$6),2,FALSE),0)</f>
        <v>0</v>
      </c>
      <c r="FA10" s="391">
        <f t="shared" ref="FA10" ca="1" si="82">IFERROR(VLOOKUP($A10,INDIRECT(EZ$6),3,FALSE),0)</f>
        <v>0</v>
      </c>
      <c r="FB10" s="391">
        <f t="shared" ref="FB10" ca="1" si="83">IF(OR(EZ10=0,FA10=0),0,ROUND(FA10*1440,0)/1440-ROUND(EZ10*1440,0)/1440)</f>
        <v>0</v>
      </c>
      <c r="FC10" s="401">
        <f t="shared" ref="FC10" ca="1" si="84">ROUND(IFERROR(VLOOKUP($A10,INDIRECT(EZ$6),5,FALSE),0),1)</f>
        <v>63</v>
      </c>
      <c r="FD10" s="401">
        <f t="shared" ref="FD10" ca="1" si="85">IFERROR(VLOOKUP($A10,INDIRECT(EZ$6),6,FALSE),0)</f>
        <v>0</v>
      </c>
      <c r="FE10" s="401">
        <f t="shared" ref="FE10" ca="1" si="86">IFERROR(VLOOKUP($A10,INDIRECT(EZ$6),7,FALSE),0)</f>
        <v>0</v>
      </c>
      <c r="FF10" s="392">
        <f t="shared" ref="FF10" ca="1" si="87">IFERROR(VLOOKUP($A10,INDIRECT(EZ$6),8,FALSE),0)</f>
        <v>0</v>
      </c>
      <c r="FG10" s="392">
        <f t="shared" ref="FG10" ca="1" si="88">IFERROR(VLOOKUP($A10,INDIRECT(EZ$6),9,FALSE),0)</f>
        <v>0</v>
      </c>
      <c r="FH10" s="462">
        <f t="shared" ref="FH10" ca="1" si="89">IF(FC10=0,пропускДС+пропускДС,FC10*секундаСЛ+FD10*конус+FE10*конус+IF(FF10&lt;&gt;0,фальстарт,0)+IF(FG10&lt;&gt;0,база,0))</f>
        <v>189</v>
      </c>
      <c r="FI10" s="403"/>
    </row>
    <row r="11" spans="1:165" s="20" customFormat="1" x14ac:dyDescent="0.25">
      <c r="A11" s="253">
        <f>стартоваяВедомость!B11</f>
        <v>2</v>
      </c>
      <c r="B11" s="241" t="str">
        <f t="shared" ca="1" si="1"/>
        <v>Renault Sandero</v>
      </c>
      <c r="C11" s="241" t="str">
        <f t="shared" ca="1" si="2"/>
        <v>Працкова Яна</v>
      </c>
      <c r="D11" s="241" t="str">
        <f t="shared" ca="1" si="3"/>
        <v>Левинский Борис</v>
      </c>
      <c r="E11" s="241" t="str">
        <f t="shared" ca="1" si="4"/>
        <v>Смоленск / Москва</v>
      </c>
      <c r="F11" s="241" t="str">
        <f t="shared" ca="1" si="5"/>
        <v>Pro</v>
      </c>
      <c r="G11" s="487">
        <f t="shared" ref="G11:G69" ca="1" si="90">IF(LEN(A11)&gt;0,IF(ISNUMBER(H11),H11+I11+J11,H11),"")</f>
        <v>1368.4</v>
      </c>
      <c r="H11" s="487">
        <f t="shared" ref="H11:H69" ca="1" si="91">IF(O11&lt;&gt;"DNS",IF(BR11&lt;&gt;"DNF",O11+V11+AD11+AL11+AT11+BB11+BJ11+BR11+DT11+DV11,"DNF"),"DNS")</f>
        <v>60</v>
      </c>
      <c r="I11" s="487">
        <f t="shared" ref="I11:I69" ca="1" si="92">CA11+CK11+CP11+CZ11+DE11+DN11</f>
        <v>1068.4000000000001</v>
      </c>
      <c r="J11" s="487">
        <f t="shared" ref="J11:J69" ca="1" si="93">DP11++DR11</f>
        <v>240</v>
      </c>
      <c r="K11" s="242">
        <f t="shared" ca="1" si="9"/>
        <v>0.41805555555555557</v>
      </c>
      <c r="L11" s="122">
        <f t="shared" ref="L11:L69" ca="1" si="94">IFERROR(VLOOKUP($A11,INDIRECT(K$6),3,FALSE),0)</f>
        <v>0.41805555555555557</v>
      </c>
      <c r="M11" s="243" t="str">
        <f ca="1">IF(L11&lt;&gt;0,вПМ(L11,K11),"")</f>
        <v/>
      </c>
      <c r="N11" s="122">
        <f ca="1">IF(L11&lt;&gt;0,вРазн(L11,K11), 0)</f>
        <v>0</v>
      </c>
      <c r="O11" s="301">
        <f t="shared" ref="O11:O69" ca="1" si="95">IF(L11&lt;&gt;0,IF(M11="+",MIN(вЦел(N11)*опережениеКВ,пределКВ),вЦел(N11)*опережениеКВ),"DNS")</f>
        <v>0</v>
      </c>
      <c r="P11" s="300">
        <f t="shared" ca="1" si="12"/>
        <v>4.86111119389534E-2</v>
      </c>
      <c r="Q11" s="294"/>
      <c r="R11" s="242">
        <f t="shared" ref="R11:R69" ca="1" si="96">IF(L11&lt;&gt;0,L11,K11)+P11</f>
        <v>0.46666666749450897</v>
      </c>
      <c r="S11" s="122">
        <f t="shared" ref="S11:S69" ca="1" si="97">IFERROR(VLOOKUP($A11,INDIRECT(R$6),2,FALSE),0)</f>
        <v>0.46666666666666662</v>
      </c>
      <c r="T11" s="243" t="str">
        <f ca="1">IF(S11&lt;&gt;0,вПМ(S11,R11),"")</f>
        <v/>
      </c>
      <c r="U11" s="122">
        <f ca="1">IF(S11&lt;&gt;0,вРазн(S11,R11), 0)</f>
        <v>0</v>
      </c>
      <c r="V11" s="301">
        <f t="shared" ref="V11:V69" ca="1" si="98">IF(S11&lt;&gt;0,IF(T11="+",MIN(MAX(вЦел(U11-Q11),0)*опережениеКВ,пределКВ),вЦел(U11)*опережениеКВ),пропускКВ)</f>
        <v>0</v>
      </c>
      <c r="W11" s="300">
        <f t="shared" ca="1" si="16"/>
        <v>4.86111119389534E-2</v>
      </c>
      <c r="X11" s="122"/>
      <c r="Y11" s="294">
        <f t="shared" ref="Y11:Y69" ca="1" si="99">IF(S11&lt;&gt;0,X11,Q11+X11)</f>
        <v>0</v>
      </c>
      <c r="Z11" s="242">
        <f t="shared" ref="Z11:Z69" ca="1" si="100">IF(S11&lt;&gt;0,CC11,R11)+W11</f>
        <v>0.5173611119389534</v>
      </c>
      <c r="AA11" s="122">
        <f t="shared" ref="AA11:AA69" ca="1" si="101">IFERROR(VLOOKUP($A11,INDIRECT(Z$6),2,FALSE),0)</f>
        <v>0.51736111111111105</v>
      </c>
      <c r="AB11" s="243" t="str">
        <f ca="1">IF(AA11&lt;&gt;0,вПМ(AA11,Z11),"")</f>
        <v/>
      </c>
      <c r="AC11" s="122">
        <f ca="1">IF(AA11&lt;&gt;0,вРазн(AA11,Z11), 0)</f>
        <v>0</v>
      </c>
      <c r="AD11" s="301">
        <f t="shared" ref="AD11:AD69" ca="1" si="102">IF(AA11&lt;&gt;0,IF(AB11="+",MIN(MAX(вЦел(AC11-Y11),0)*опережениеКВ,пределКВ),вЦел(AC11)*опережениеКВ),пропускКВ)</f>
        <v>0</v>
      </c>
      <c r="AE11" s="300">
        <f t="shared" ca="1" si="21"/>
        <v>2.43055559694767E-2</v>
      </c>
      <c r="AF11" s="122"/>
      <c r="AG11" s="294">
        <f t="shared" ref="AG11:AG69" ca="1" si="103">IF(AA11&lt;&gt;0,AF11,Y11+AF11)</f>
        <v>0</v>
      </c>
      <c r="AH11" s="242">
        <f t="shared" ref="AH11:AH69" ca="1" si="104">IF(AA11&lt;&gt;0,AA11,Z11)+AE11</f>
        <v>0.54166666708058775</v>
      </c>
      <c r="AI11" s="122">
        <f t="shared" ref="AI11:AI69" ca="1" si="105">IFERROR(VLOOKUP($A11,INDIRECT(AH$6),2,FALSE),0)</f>
        <v>0.54166666666666663</v>
      </c>
      <c r="AJ11" s="243" t="str">
        <f ca="1">IF(AI11&lt;&gt;0,вПМ(AI11,AH11),"")</f>
        <v/>
      </c>
      <c r="AK11" s="122">
        <f ca="1">IF(AI11&lt;&gt;0,вРазн(AI11,AH11), 0)</f>
        <v>0</v>
      </c>
      <c r="AL11" s="301">
        <f t="shared" ref="AL11:AL69" ca="1" si="106">IF(AI11&lt;&gt;0,IF(AJ11="+",MIN(MAX(вЦел(AK11-AG11),0)*опережениеКВ,пределКВ),вЦел(AK11)*опережениеКВ),пропускКВ)</f>
        <v>0</v>
      </c>
      <c r="AM11" s="300">
        <f t="shared" ca="1" si="26"/>
        <v>2.43055559694767E-2</v>
      </c>
      <c r="AN11" s="122"/>
      <c r="AO11" s="294">
        <f t="shared" ref="AO11:AO69" ca="1" si="107">IF(AI11&lt;&gt;0,AN11,AG11+AN11)</f>
        <v>0</v>
      </c>
      <c r="AP11" s="242">
        <f t="shared" ref="AP11:AP69" ca="1" si="108">IF(AI11&lt;&gt;0,AI11,AH11)+AM11</f>
        <v>0.56597222263614333</v>
      </c>
      <c r="AQ11" s="122">
        <f t="shared" ref="AQ11:AQ69" ca="1" si="109">IFERROR(VLOOKUP($A11,INDIRECT(AP$6),2,FALSE),0)</f>
        <v>0.56597222222222221</v>
      </c>
      <c r="AR11" s="243" t="str">
        <f ca="1">IF(AQ11&lt;&gt;0,вПМ(AQ11,AP11),"")</f>
        <v/>
      </c>
      <c r="AS11" s="122">
        <f ca="1">IF(AQ11&lt;&gt;0,вРазн(AQ11,AP11), 0)</f>
        <v>0</v>
      </c>
      <c r="AT11" s="301">
        <f t="shared" ref="AT11:AT69" ca="1" si="110">IF(AQ11&lt;&gt;0,IF(AR11="+",MIN(MAX(вЦел(AS11-AG11),0)*опережениеКВ,пределКВ),вЦел(AS11)*опережениеКВ),пропускКВ)</f>
        <v>0</v>
      </c>
      <c r="AU11" s="300">
        <f t="shared" ca="1" si="31"/>
        <v>3.125E-2</v>
      </c>
      <c r="AV11" s="122"/>
      <c r="AW11" s="294">
        <f t="shared" ref="AW11:AW69" ca="1" si="111">IF(AQ11&lt;&gt;0,AV11,AG11+AV11)</f>
        <v>0</v>
      </c>
      <c r="AX11" s="242">
        <f t="shared" ref="AX11:AX69" ca="1" si="112">IF(AQ11&lt;&gt;0,CR11,AP11)+AU11</f>
        <v>0.59930555555555554</v>
      </c>
      <c r="AY11" s="122">
        <f t="shared" ref="AY11:AY69" ca="1" si="113">IFERROR(VLOOKUP($A11,INDIRECT(AX$6),2,FALSE),0)</f>
        <v>0.59930555555555554</v>
      </c>
      <c r="AZ11" s="243" t="str">
        <f ca="1">IF(AY11&lt;&gt;0,вПМ(AY11,AX11),"")</f>
        <v/>
      </c>
      <c r="BA11" s="122">
        <f ca="1">IF(AY11&lt;&gt;0,вРазн(AY11,AX11), 0)</f>
        <v>0</v>
      </c>
      <c r="BB11" s="301">
        <f t="shared" ref="BB11:BB69" ca="1" si="114">IF(AY11&lt;&gt;0,IF(AZ11="+",MIN(MAX(вЦел(BA11-AO11),0)*опережениеКВ,пределКВ),вЦел(BA11)*опережениеКВ),пропускКВ)</f>
        <v>0</v>
      </c>
      <c r="BC11" s="300">
        <f t="shared" ca="1" si="36"/>
        <v>4.1666667908430099E-2</v>
      </c>
      <c r="BD11" s="122"/>
      <c r="BE11" s="294">
        <f t="shared" ref="BE11:BE69" ca="1" si="115">IF(AY11&lt;&gt;0,BD11,AO11+BD11)</f>
        <v>0</v>
      </c>
      <c r="BF11" s="242">
        <f t="shared" ref="BF11:BF69" ca="1" si="116">IF(AY11&lt;&gt;0,AY11,AX11)+BC11</f>
        <v>0.64097222346398564</v>
      </c>
      <c r="BG11" s="122">
        <f t="shared" ref="BG11:BG69" ca="1" si="117">IFERROR(VLOOKUP($A11,INDIRECT(BF$6),2,FALSE),0)</f>
        <v>0.64097222222222217</v>
      </c>
      <c r="BH11" s="243" t="str">
        <f ca="1">IF(BG11&lt;&gt;0,вПМ(BG11,BF11),"")</f>
        <v/>
      </c>
      <c r="BI11" s="122">
        <f ca="1">IF(BG11&lt;&gt;0,вРазн(BG11,BF11), 0)</f>
        <v>0</v>
      </c>
      <c r="BJ11" s="301">
        <f t="shared" ref="BJ11:BJ69" ca="1" si="118">IF(BG11&lt;&gt;0,IF(BH11="+",MIN(MAX(вЦел(BI11-AW11),0)*опережениеКВ,пределКВ),вЦел(BI11)*опережениеКВ),пропускКВ)</f>
        <v>0</v>
      </c>
      <c r="BK11" s="300">
        <f t="shared" ca="1" si="41"/>
        <v>2.777777798473835E-2</v>
      </c>
      <c r="BL11" s="122"/>
      <c r="BM11" s="294">
        <f t="shared" ref="BM11:BM69" ca="1" si="119">IF(BG11&lt;&gt;0,BL11,AW11+BL11)</f>
        <v>0</v>
      </c>
      <c r="BN11" s="242">
        <f t="shared" ref="BN11:BN69" ca="1" si="120">IF(BG11&lt;&gt;0,BG11,BF11)+BK11</f>
        <v>0.66875000020696052</v>
      </c>
      <c r="BO11" s="122">
        <f t="shared" ref="BO11:BO69" ca="1" si="121">IFERROR(VLOOKUP($A11,INDIRECT(BN$6),2,FALSE),0)</f>
        <v>0.6694444444444444</v>
      </c>
      <c r="BP11" s="243" t="str">
        <f ca="1">IF(BO11&lt;&gt;0,вПМ(BO11,BN11),"")</f>
        <v>+</v>
      </c>
      <c r="BQ11" s="122">
        <f ca="1">IF(BO11&lt;&gt;0,вРазн(BO11,BN11), 0)</f>
        <v>6.9445371627807617E-4</v>
      </c>
      <c r="BR11" s="244">
        <f t="shared" ref="BR11:BR69" ca="1" si="122">IF(BO11&lt;&gt;0,IF(BP11="+",MIN(MAX(вЦел(BQ11-Y11),0)*опережениеКВ,пределКВ),0),"DNF")</f>
        <v>60</v>
      </c>
      <c r="BS11" s="242">
        <f t="shared" ca="1" si="46"/>
        <v>0</v>
      </c>
      <c r="BT11" s="122">
        <f t="shared" ref="BT11:BT69" ca="1" si="123">IFERROR(VLOOKUP($A11,INDIRECT(BS$6),3,FALSE),0)</f>
        <v>0</v>
      </c>
      <c r="BU11" s="122">
        <f t="shared" ref="BU11:BU69" ca="1" si="124">IF(OR(BS11=0,BT11=0),0,ROUND(BT11*1440,0)/1440-ROUND(BS11*1440,0)/1440)</f>
        <v>0</v>
      </c>
      <c r="BV11" s="248">
        <f t="shared" ref="BV11:BV69" ca="1" si="125">ROUND(IFERROR(VLOOKUP($A11,INDIRECT(BS$6),5,FALSE),0),1)</f>
        <v>61.1</v>
      </c>
      <c r="BW11" s="248">
        <f t="shared" ref="BW11:BW69" ca="1" si="126">IFERROR(VLOOKUP($A11,INDIRECT(BS$6),6,FALSE),0)</f>
        <v>0</v>
      </c>
      <c r="BX11" s="243">
        <f t="shared" ref="BX11:BX69" ca="1" si="127">IFERROR(VLOOKUP($A11,INDIRECT(BS$6),7,FALSE),0)</f>
        <v>0</v>
      </c>
      <c r="BY11" s="243">
        <f t="shared" ref="BY11:BY69" ca="1" si="128">IFERROR(VLOOKUP($A11,INDIRECT(BS$6),8,FALSE),0)</f>
        <v>0</v>
      </c>
      <c r="BZ11" s="243">
        <f t="shared" ref="BZ11:BZ69" ca="1" si="129">IFERROR(VLOOKUP($A11,INDIRECT(BS$6),9,FALSE),0)</f>
        <v>0</v>
      </c>
      <c r="CA11" s="463">
        <f t="shared" ref="CA11:CA69" ca="1" si="130">IF(BV11=0,пропускДС,BV11*секундаСЛ+BW11*конус+IF(BX11&lt;&gt;0,фальстарт,0)+IF(BY11&lt;&gt;0,база,0)+IF(BZ11&lt;&gt;0,неПоСхеме,0))</f>
        <v>183.3</v>
      </c>
      <c r="CB11" s="242">
        <f t="shared" ca="1" si="52"/>
        <v>0.46875</v>
      </c>
      <c r="CC11" s="122">
        <f t="shared" ref="CC11:CC69" ca="1" si="131">IFERROR(VLOOKUP($A11,INDIRECT(CB$6),2,FALSE),0)</f>
        <v>0.46875</v>
      </c>
      <c r="CD11" s="122">
        <f ca="1">IF(OR(CB11=0,CC11=0),0,вРазн(CC11,CB11))</f>
        <v>0</v>
      </c>
      <c r="CE11" s="122"/>
      <c r="CF11" s="122"/>
      <c r="CG11" s="247">
        <f t="shared" ref="CG11:CG69" ca="1" si="132">IF(CC11&lt;&gt;0,CC11+CG$6,0)</f>
        <v>0.47653935185185187</v>
      </c>
      <c r="CH11" s="245">
        <f t="shared" ca="1" si="54"/>
        <v>0.47642361111111109</v>
      </c>
      <c r="CI11" s="240" t="str">
        <f ca="1">IF(CH11&lt;&gt;0,вПМ(CH11,CG11,"s"),"")</f>
        <v>-</v>
      </c>
      <c r="CJ11" s="245">
        <f ca="1">IF(CH11&lt;&gt;0,вРазн(CH11,CG11,"s"), 0)</f>
        <v>1.157224178314209E-4</v>
      </c>
      <c r="CK11" s="463">
        <f t="shared" ref="CK11:CK69" ca="1" si="133">IF(CH11=0,пропускСФ,MIN(вЦел(CJ11,"s")*отклонениеРД,пределРД))</f>
        <v>10</v>
      </c>
      <c r="CL11" s="247">
        <f t="shared" ref="CL11:CL69" ca="1" si="134">IF(CH11&lt;&gt;0,CH11+CL$6,0)</f>
        <v>0.49068287037037034</v>
      </c>
      <c r="CM11" s="245">
        <f t="shared" ca="1" si="57"/>
        <v>0.48993055555555554</v>
      </c>
      <c r="CN11" s="243" t="str">
        <f ca="1">IF(AND(CM11&lt;&gt;0,CL11&lt;&gt;0),вПМ(CM11,CL11,"s"),"")</f>
        <v>-</v>
      </c>
      <c r="CO11" s="245">
        <f ca="1">IF(AND(CM11&lt;&gt;0,CL11&lt;&gt;0),вРазн(CM11,CL11,"s"), 0)</f>
        <v>7.5230002403259277E-4</v>
      </c>
      <c r="CP11" s="463">
        <f t="shared" ref="CP11:CP69" ca="1" si="135">IF(CL11=0,0,IF(CM11=0,пропускДС,MIN(вЦел(CO11,"s")*отклонениеРД,пределРД)))</f>
        <v>65</v>
      </c>
      <c r="CQ11" s="242">
        <f t="shared" ca="1" si="59"/>
        <v>0.56805555555555554</v>
      </c>
      <c r="CR11" s="122">
        <f t="shared" ref="CR11:CR69" ca="1" si="136">IFERROR(VLOOKUP($A11,INDIRECT(CQ$6),2,FALSE),0)</f>
        <v>0.56805555555555554</v>
      </c>
      <c r="CS11" s="122">
        <f ca="1">IF(OR(CQ11=0,CR11=0),0,вРазн(CR11,CQ11))</f>
        <v>0</v>
      </c>
      <c r="CT11" s="122"/>
      <c r="CU11" s="122"/>
      <c r="CV11" s="247">
        <f t="shared" ref="CV11:CV69" ca="1" si="137">IF(CR11&lt;&gt;0,CR11+CV$6,0)</f>
        <v>0.57501157407407411</v>
      </c>
      <c r="CW11" s="245">
        <f t="shared" ca="1" si="61"/>
        <v>0.57881944444444444</v>
      </c>
      <c r="CX11" s="240" t="str">
        <f ca="1">IF(CW11&lt;&gt;0,вПМ(CW11,CV11,"s"),"")</f>
        <v>+</v>
      </c>
      <c r="CY11" s="245">
        <f ca="1">IF(CW11&lt;&gt;0,вРазн(CW11,CV11,"s"), 0)</f>
        <v>3.8079023361206055E-3</v>
      </c>
      <c r="CZ11" s="463">
        <f t="shared" ref="CZ11:CZ69" ca="1" si="138">IF(CW11=0,пропускСФ,MIN(вЦел(CY11,"s")*отклонениеРД,пределРД))</f>
        <v>329</v>
      </c>
      <c r="DA11" s="247">
        <f t="shared" ref="DA11:DA69" ca="1" si="139">IF(CW11&lt;&gt;0,CW11+DA$6,0)</f>
        <v>0.57930555555555552</v>
      </c>
      <c r="DB11" s="245">
        <f t="shared" ca="1" si="64"/>
        <v>0.57914351851851853</v>
      </c>
      <c r="DC11" s="243" t="str">
        <f ca="1">IF(AND(DB11&lt;&gt;0,DA11&lt;&gt;0),вПМ(DB11,DA11,"s"),"")</f>
        <v>-</v>
      </c>
      <c r="DD11" s="245">
        <f ca="1">IF(AND(DB11&lt;&gt;0,DA11&lt;&gt;0),вРазн(DB11,DA11,"s"), 0)</f>
        <v>1.6200542449951172E-4</v>
      </c>
      <c r="DE11" s="463">
        <f t="shared" ref="DE11:DE69" ca="1" si="140">IF(DA11=0,0,IF(DB11=0,пропускДС,MIN(вЦел(DD11,"s")*отклонениеРД,пределРД)))</f>
        <v>14</v>
      </c>
      <c r="DF11" s="242">
        <f t="shared" ca="1" si="66"/>
        <v>0</v>
      </c>
      <c r="DG11" s="122">
        <f t="shared" ref="DG11:DG69" ca="1" si="141">IFERROR(VLOOKUP($A11,INDIRECT(DF$6),3,FALSE),0)</f>
        <v>0</v>
      </c>
      <c r="DH11" s="122">
        <f t="shared" ref="DH11:DH69" ca="1" si="142">IF(OR(DF11=0,DG11=0),0,ROUND(DG11*1440,0)/1440-ROUND(DF11*1440,0)/1440)</f>
        <v>0</v>
      </c>
      <c r="DI11" s="248">
        <f t="shared" ref="DI11:DI69" ca="1" si="143">ROUND(IFERROR(VLOOKUP($A11,INDIRECT(DF$6),5,FALSE),0),1)</f>
        <v>55.7</v>
      </c>
      <c r="DJ11" s="248">
        <f t="shared" ref="DJ11:DJ69" ca="1" si="144">IFERROR(VLOOKUP($A11,INDIRECT(DF$6),6,FALSE),0)</f>
        <v>0</v>
      </c>
      <c r="DK11" s="243">
        <f t="shared" ref="DK11:DK69" ca="1" si="145">IFERROR(VLOOKUP($A11,INDIRECT(DF$6),7,FALSE),0)</f>
        <v>0</v>
      </c>
      <c r="DL11" s="243">
        <f t="shared" ref="DL11:DL69" ca="1" si="146">IFERROR(VLOOKUP($A11,INDIRECT(DF$6),8,FALSE),0)</f>
        <v>0</v>
      </c>
      <c r="DM11" s="243" t="str">
        <f t="shared" ref="DM11:DM69" ca="1" si="147">IFERROR(VLOOKUP($A11,INDIRECT(DF$6),9,FALSE),0)</f>
        <v>да</v>
      </c>
      <c r="DN11" s="463">
        <f t="shared" ref="DN11:DN69" ca="1" si="148">IF(DI11=0,пропускДС,DI11*секундаСЛ+DJ11*конус+IF(DK11&lt;&gt;0,фальстарт,0)+IF(DL11&lt;&gt;0,база,0)+IF(DM11&lt;&gt;0,неПоСхеме,0))</f>
        <v>467.1</v>
      </c>
      <c r="DO11" s="249">
        <f t="shared" ca="1" si="72"/>
        <v>0</v>
      </c>
      <c r="DP11" s="246">
        <f t="shared" ref="DP11:DP69" ca="1" si="149">IFERROR(VLOOKUP($A11,INDIRECT(DO$6),4,FALSE),0)</f>
        <v>0</v>
      </c>
      <c r="DQ11" s="249">
        <f t="shared" ca="1" si="72"/>
        <v>0</v>
      </c>
      <c r="DR11" s="246">
        <f t="shared" ref="DR11:DR69" ca="1" si="150">IFERROR(VLOOKUP($A11,INDIRECT(DQ$6),4,FALSE),0)</f>
        <v>240</v>
      </c>
      <c r="DS11" s="242">
        <f t="shared" ca="1" si="75"/>
        <v>0.65208333333333335</v>
      </c>
      <c r="DT11" s="244">
        <f t="shared" ref="DT11:DT69" ca="1" si="151">IF(DS11&lt;&gt;0,0,пропускКВ)</f>
        <v>0</v>
      </c>
      <c r="DU11" s="242">
        <f t="shared" ca="1" si="75"/>
        <v>0.6645833333333333</v>
      </c>
      <c r="DV11" s="244">
        <f t="shared" ref="DV11:DV69" ca="1" si="152">IF(DU11&lt;&gt;0,0,пропускКВ)</f>
        <v>0</v>
      </c>
      <c r="DW11" s="459"/>
      <c r="DX11" s="459"/>
      <c r="DY11" s="459"/>
      <c r="DZ11" s="459"/>
      <c r="EA11" s="459"/>
      <c r="EB11" s="459"/>
      <c r="EC11" s="459"/>
      <c r="ED11" s="459"/>
      <c r="EE11" s="459"/>
      <c r="EF11" s="459"/>
      <c r="EG11" s="459"/>
      <c r="EH11" s="459"/>
      <c r="EI11" s="459"/>
      <c r="EJ11" s="459"/>
      <c r="EK11" s="459"/>
      <c r="EL11" s="459"/>
      <c r="EM11" s="459"/>
      <c r="EN11" s="459"/>
      <c r="EO11" s="459"/>
      <c r="EP11" s="459"/>
      <c r="EQ11" s="459"/>
      <c r="ER11" s="459"/>
      <c r="ES11" s="459"/>
      <c r="ET11" s="459"/>
      <c r="EU11" s="242" t="e">
        <f t="shared" ref="EU11:EU69" ca="1" si="153">IF(INDIRECT(ADDRESS(ROW(),EV$7))&lt;&gt;0,INDIRECT(ADDRESS(ROW(),EV$7))+EU$9,INDIRECT(ADDRESS(ROW(),EV$7+1))+EU$9)</f>
        <v>#VALUE!</v>
      </c>
      <c r="EV11" s="122">
        <f t="shared" ref="EV11:EV69" ca="1" si="154">IFERROR(VLOOKUP($A11,INDIRECT(EU$6),2,FALSE),0)</f>
        <v>0</v>
      </c>
      <c r="EW11" s="243" t="e">
        <f ca="1">IF(AND(EV11&lt;&gt;0,EU11&lt;&gt;0),вПМ(EV11,EU11),"")</f>
        <v>#VALUE!</v>
      </c>
      <c r="EX11" s="122">
        <f ca="1">IF(EV11&lt;&gt;0,вРазн(EV11,EU11), 0)</f>
        <v>0</v>
      </c>
      <c r="EY11" s="244">
        <f t="shared" ref="EY11:EY69" ca="1" si="155">IF(EV11&lt;&gt;0,IF(EW11="+",0,IF(EX11&gt;EV$9,вЦел(EX11-EV$9)*опережениеКВ,0)),пропускКВ)</f>
        <v>900</v>
      </c>
      <c r="EZ11" s="242">
        <f t="shared" ca="1" si="81"/>
        <v>0</v>
      </c>
      <c r="FA11" s="122">
        <f t="shared" ref="FA11:FA69" ca="1" si="156">IFERROR(VLOOKUP($A11,INDIRECT(EZ$6),3,FALSE),0)</f>
        <v>0</v>
      </c>
      <c r="FB11" s="122">
        <f t="shared" ref="FB11:FB69" ca="1" si="157">IF(OR(EZ11=0,FA11=0),0,ROUND(FA11*1440,0)/1440-ROUND(EZ11*1440,0)/1440)</f>
        <v>0</v>
      </c>
      <c r="FC11" s="248">
        <f t="shared" ref="FC11:FC69" ca="1" si="158">ROUND(IFERROR(VLOOKUP($A11,INDIRECT(EZ$6),5,FALSE),0),1)</f>
        <v>61.1</v>
      </c>
      <c r="FD11" s="248">
        <f t="shared" ref="FD11:FD69" ca="1" si="159">IFERROR(VLOOKUP($A11,INDIRECT(EZ$6),6,FALSE),0)</f>
        <v>0</v>
      </c>
      <c r="FE11" s="248">
        <f t="shared" ref="FE11:FE69" ca="1" si="160">IFERROR(VLOOKUP($A11,INDIRECT(EZ$6),7,FALSE),0)</f>
        <v>0</v>
      </c>
      <c r="FF11" s="243">
        <f t="shared" ref="FF11:FF69" ca="1" si="161">IFERROR(VLOOKUP($A11,INDIRECT(EZ$6),8,FALSE),0)</f>
        <v>0</v>
      </c>
      <c r="FG11" s="243">
        <f t="shared" ref="FG11:FG69" ca="1" si="162">IFERROR(VLOOKUP($A11,INDIRECT(EZ$6),9,FALSE),0)</f>
        <v>0</v>
      </c>
      <c r="FH11" s="463">
        <f t="shared" ref="FH11:FH69" ca="1" si="163">IF(FC11=0,пропускДС+пропускДС,FC11*секундаСЛ+FD11*конус+FE11*конус+IF(FF11&lt;&gt;0,фальстарт,0)+IF(FG11&lt;&gt;0,база,0))</f>
        <v>183.3</v>
      </c>
    </row>
    <row r="12" spans="1:165" s="236" customFormat="1" x14ac:dyDescent="0.25">
      <c r="A12" s="388">
        <f>стартоваяВедомость!B12</f>
        <v>3</v>
      </c>
      <c r="B12" s="389" t="str">
        <f t="shared" ca="1" si="1"/>
        <v>DAEWOO NEXIA</v>
      </c>
      <c r="C12" s="389" t="str">
        <f t="shared" ca="1" si="2"/>
        <v>Шеянов Олег</v>
      </c>
      <c r="D12" s="389" t="str">
        <f t="shared" ca="1" si="3"/>
        <v>Воронцова Людмила</v>
      </c>
      <c r="E12" s="389" t="str">
        <f t="shared" ca="1" si="4"/>
        <v>Москва</v>
      </c>
      <c r="F12" s="389" t="str">
        <f t="shared" ca="1" si="5"/>
        <v>Pro</v>
      </c>
      <c r="G12" s="486">
        <f t="shared" ca="1" si="90"/>
        <v>7289.3</v>
      </c>
      <c r="H12" s="486">
        <f t="shared" ca="1" si="91"/>
        <v>5220</v>
      </c>
      <c r="I12" s="486">
        <f t="shared" ca="1" si="92"/>
        <v>2069.3000000000002</v>
      </c>
      <c r="J12" s="486">
        <f t="shared" ca="1" si="93"/>
        <v>0</v>
      </c>
      <c r="K12" s="390">
        <f t="shared" ca="1" si="9"/>
        <v>0.41875000000000001</v>
      </c>
      <c r="L12" s="391">
        <f t="shared" ca="1" si="94"/>
        <v>0.41875000000000001</v>
      </c>
      <c r="M12" s="392" t="str">
        <f ca="1">IF(L12&lt;&gt;0,вПМ(L12,K12),"")</f>
        <v/>
      </c>
      <c r="N12" s="391">
        <f ca="1">IF(L12&lt;&gt;0,вРазн(L12,K12), 0)</f>
        <v>0</v>
      </c>
      <c r="O12" s="393">
        <f t="shared" ca="1" si="95"/>
        <v>0</v>
      </c>
      <c r="P12" s="394">
        <f t="shared" ca="1" si="12"/>
        <v>4.86111119389534E-2</v>
      </c>
      <c r="Q12" s="395"/>
      <c r="R12" s="390">
        <f t="shared" ca="1" si="96"/>
        <v>0.46736111193895341</v>
      </c>
      <c r="S12" s="391">
        <f t="shared" ca="1" si="97"/>
        <v>0.4680555555555555</v>
      </c>
      <c r="T12" s="392" t="str">
        <f ca="1">IF(S12&lt;&gt;0,вПМ(S12,R12),"")</f>
        <v/>
      </c>
      <c r="U12" s="391">
        <f ca="1">IF(S12&lt;&gt;0,вРазн(S12,R12), 0)</f>
        <v>6.9442391395568848E-4</v>
      </c>
      <c r="V12" s="393">
        <f t="shared" ca="1" si="98"/>
        <v>60</v>
      </c>
      <c r="W12" s="394">
        <f t="shared" ca="1" si="16"/>
        <v>4.86111119389534E-2</v>
      </c>
      <c r="X12" s="391"/>
      <c r="Y12" s="395">
        <f t="shared" ca="1" si="99"/>
        <v>0</v>
      </c>
      <c r="Z12" s="390">
        <f t="shared" ca="1" si="100"/>
        <v>0.51944444527228684</v>
      </c>
      <c r="AA12" s="391">
        <f t="shared" ca="1" si="101"/>
        <v>0.55763888888888891</v>
      </c>
      <c r="AB12" s="392" t="str">
        <f ca="1">IF(AA12&lt;&gt;0,вПМ(AA12,Z12),"")</f>
        <v>+</v>
      </c>
      <c r="AC12" s="391">
        <f ca="1">IF(AA12&lt;&gt;0,вРазн(AA12,Z12), 0)</f>
        <v>3.8194417953491211E-2</v>
      </c>
      <c r="AD12" s="393">
        <f t="shared" ca="1" si="102"/>
        <v>600</v>
      </c>
      <c r="AE12" s="394">
        <f t="shared" ca="1" si="21"/>
        <v>2.43055559694767E-2</v>
      </c>
      <c r="AF12" s="391"/>
      <c r="AG12" s="395">
        <f t="shared" ca="1" si="103"/>
        <v>0</v>
      </c>
      <c r="AH12" s="390">
        <f t="shared" ca="1" si="104"/>
        <v>0.58194444485836561</v>
      </c>
      <c r="AI12" s="391">
        <f t="shared" ca="1" si="105"/>
        <v>0.58472222222222225</v>
      </c>
      <c r="AJ12" s="392" t="str">
        <f ca="1">IF(AI12&lt;&gt;0,вПМ(AI12,AH12),"")</f>
        <v>+</v>
      </c>
      <c r="AK12" s="391">
        <f ca="1">IF(AI12&lt;&gt;0,вРазн(AI12,AH12), 0)</f>
        <v>2.7777552604675293E-3</v>
      </c>
      <c r="AL12" s="393">
        <f t="shared" ca="1" si="106"/>
        <v>240</v>
      </c>
      <c r="AM12" s="394">
        <f t="shared" ca="1" si="26"/>
        <v>2.43055559694767E-2</v>
      </c>
      <c r="AN12" s="391"/>
      <c r="AO12" s="395">
        <f t="shared" ca="1" si="107"/>
        <v>0</v>
      </c>
      <c r="AP12" s="390">
        <f t="shared" ca="1" si="108"/>
        <v>0.60902777819169895</v>
      </c>
      <c r="AQ12" s="391">
        <f t="shared" ca="1" si="109"/>
        <v>0.6069444444444444</v>
      </c>
      <c r="AR12" s="392" t="str">
        <f ca="1">IF(AQ12&lt;&gt;0,вПМ(AQ12,AP12),"")</f>
        <v>-</v>
      </c>
      <c r="AS12" s="391">
        <f ca="1">IF(AQ12&lt;&gt;0,вРазн(AQ12,AP12), 0)</f>
        <v>2.0833611488342285E-3</v>
      </c>
      <c r="AT12" s="393">
        <f t="shared" ca="1" si="110"/>
        <v>180</v>
      </c>
      <c r="AU12" s="394">
        <f t="shared" ca="1" si="31"/>
        <v>3.125E-2</v>
      </c>
      <c r="AV12" s="391"/>
      <c r="AW12" s="395">
        <f t="shared" ca="1" si="111"/>
        <v>0</v>
      </c>
      <c r="AX12" s="390">
        <f t="shared" ca="1" si="112"/>
        <v>0.64027777777777783</v>
      </c>
      <c r="AY12" s="391">
        <f t="shared" ca="1" si="113"/>
        <v>0.63541666666666663</v>
      </c>
      <c r="AZ12" s="392" t="str">
        <f ca="1">IF(AY12&lt;&gt;0,вПМ(AY12,AX12),"")</f>
        <v>-</v>
      </c>
      <c r="BA12" s="391">
        <f ca="1">IF(AY12&lt;&gt;0,вРазн(AY12,AX12), 0)</f>
        <v>4.8611164093017578E-3</v>
      </c>
      <c r="BB12" s="393">
        <f t="shared" ca="1" si="114"/>
        <v>420</v>
      </c>
      <c r="BC12" s="394">
        <f t="shared" ca="1" si="36"/>
        <v>4.1666667908430099E-2</v>
      </c>
      <c r="BD12" s="391"/>
      <c r="BE12" s="395">
        <f t="shared" ca="1" si="115"/>
        <v>0</v>
      </c>
      <c r="BF12" s="390">
        <f t="shared" ca="1" si="116"/>
        <v>0.67708333457509673</v>
      </c>
      <c r="BG12" s="391">
        <f t="shared" ca="1" si="117"/>
        <v>0.64861111111111114</v>
      </c>
      <c r="BH12" s="392" t="str">
        <f ca="1">IF(BG12&lt;&gt;0,вПМ(BG12,BF12),"")</f>
        <v>-</v>
      </c>
      <c r="BI12" s="391">
        <f ca="1">IF(BG12&lt;&gt;0,вРазн(BG12,BF12), 0)</f>
        <v>2.8472185134887695E-2</v>
      </c>
      <c r="BJ12" s="393">
        <f t="shared" ca="1" si="118"/>
        <v>2460</v>
      </c>
      <c r="BK12" s="394">
        <f t="shared" ca="1" si="41"/>
        <v>2.777777798473835E-2</v>
      </c>
      <c r="BL12" s="391"/>
      <c r="BM12" s="395">
        <f t="shared" ca="1" si="119"/>
        <v>0</v>
      </c>
      <c r="BN12" s="390">
        <f t="shared" ca="1" si="120"/>
        <v>0.67638888909584949</v>
      </c>
      <c r="BO12" s="391">
        <f t="shared" ca="1" si="121"/>
        <v>0.68055555555555547</v>
      </c>
      <c r="BP12" s="392" t="str">
        <f ca="1">IF(BO12&lt;&gt;0,вПМ(BO12,BN12),"")</f>
        <v>+</v>
      </c>
      <c r="BQ12" s="391">
        <f ca="1">IF(BO12&lt;&gt;0,вРазн(BO12,BN12), 0)</f>
        <v>4.166722297668457E-3</v>
      </c>
      <c r="BR12" s="396">
        <f t="shared" ca="1" si="122"/>
        <v>360</v>
      </c>
      <c r="BS12" s="390">
        <f t="shared" ca="1" si="46"/>
        <v>0</v>
      </c>
      <c r="BT12" s="391">
        <f t="shared" ca="1" si="123"/>
        <v>0</v>
      </c>
      <c r="BU12" s="391">
        <f t="shared" ca="1" si="124"/>
        <v>0</v>
      </c>
      <c r="BV12" s="401">
        <f t="shared" ca="1" si="125"/>
        <v>10</v>
      </c>
      <c r="BW12" s="401">
        <f t="shared" ca="1" si="126"/>
        <v>0</v>
      </c>
      <c r="BX12" s="392">
        <f t="shared" ca="1" si="127"/>
        <v>0</v>
      </c>
      <c r="BY12" s="392">
        <f t="shared" ca="1" si="128"/>
        <v>0</v>
      </c>
      <c r="BZ12" s="392" t="str">
        <f t="shared" ca="1" si="129"/>
        <v>да</v>
      </c>
      <c r="CA12" s="462">
        <f t="shared" ca="1" si="130"/>
        <v>330</v>
      </c>
      <c r="CB12" s="390">
        <f t="shared" ca="1" si="52"/>
        <v>0.47083333333333338</v>
      </c>
      <c r="CC12" s="391">
        <f t="shared" ca="1" si="131"/>
        <v>0.47083333333333338</v>
      </c>
      <c r="CD12" s="391">
        <f ca="1">IF(OR(CB12=0,CC12=0),0,вРазн(CC12,CB12))</f>
        <v>0</v>
      </c>
      <c r="CE12" s="391"/>
      <c r="CF12" s="391"/>
      <c r="CG12" s="397">
        <f t="shared" ca="1" si="132"/>
        <v>0.47862268518518525</v>
      </c>
      <c r="CH12" s="398">
        <f t="shared" ca="1" si="54"/>
        <v>0.51825231481481482</v>
      </c>
      <c r="CI12" s="399" t="str">
        <f ca="1">IF(CH12&lt;&gt;0,вПМ(CH12,CG12,"s"),"")</f>
        <v>+</v>
      </c>
      <c r="CJ12" s="398">
        <f ca="1">IF(CH12&lt;&gt;0,вРазн(CH12,CG12,"s"), 0)</f>
        <v>3.9629638195037842E-2</v>
      </c>
      <c r="CK12" s="462">
        <f t="shared" ca="1" si="133"/>
        <v>600</v>
      </c>
      <c r="CL12" s="397">
        <f t="shared" ca="1" si="134"/>
        <v>0.53251157407407412</v>
      </c>
      <c r="CM12" s="398">
        <f t="shared" ca="1" si="57"/>
        <v>0</v>
      </c>
      <c r="CN12" s="392" t="str">
        <f ca="1">IF(AND(CM12&lt;&gt;0,CL12&lt;&gt;0),вПМ(CM12,CL12,"s"),"")</f>
        <v/>
      </c>
      <c r="CO12" s="398">
        <f ca="1">IF(AND(CM12&lt;&gt;0,CL12&lt;&gt;0),вРазн(CM12,CL12,"s"), 0)</f>
        <v>0</v>
      </c>
      <c r="CP12" s="462">
        <f t="shared" ca="1" si="135"/>
        <v>900</v>
      </c>
      <c r="CQ12" s="390">
        <f t="shared" ca="1" si="59"/>
        <v>0.60902777777777783</v>
      </c>
      <c r="CR12" s="391">
        <f t="shared" ca="1" si="136"/>
        <v>0.60902777777777783</v>
      </c>
      <c r="CS12" s="391">
        <f ca="1">IF(OR(CQ12=0,CR12=0),0,вРазн(CR12,CQ12))</f>
        <v>0</v>
      </c>
      <c r="CT12" s="391"/>
      <c r="CU12" s="391"/>
      <c r="CV12" s="397">
        <f t="shared" ca="1" si="137"/>
        <v>0.6159837962962964</v>
      </c>
      <c r="CW12" s="398">
        <f t="shared" ca="1" si="61"/>
        <v>0.61579861111111112</v>
      </c>
      <c r="CX12" s="399" t="str">
        <f ca="1">IF(CW12&lt;&gt;0,вПМ(CW12,CV12,"s"),"")</f>
        <v>-</v>
      </c>
      <c r="CY12" s="398">
        <f ca="1">IF(CW12&lt;&gt;0,вРазн(CW12,CV12,"s"), 0)</f>
        <v>1.8519163131713867E-4</v>
      </c>
      <c r="CZ12" s="462">
        <f t="shared" ca="1" si="138"/>
        <v>16</v>
      </c>
      <c r="DA12" s="397">
        <f t="shared" ca="1" si="139"/>
        <v>0.61628472222222219</v>
      </c>
      <c r="DB12" s="398">
        <f t="shared" ca="1" si="64"/>
        <v>0.6162037037037037</v>
      </c>
      <c r="DC12" s="392" t="str">
        <f ca="1">IF(AND(DB12&lt;&gt;0,DA12&lt;&gt;0),вПМ(DB12,DA12,"s"),"")</f>
        <v>-</v>
      </c>
      <c r="DD12" s="398">
        <f ca="1">IF(AND(DB12&lt;&gt;0,DA12&lt;&gt;0),вРазн(DB12,DA12,"s"), 0)</f>
        <v>8.1002712249755859E-5</v>
      </c>
      <c r="DE12" s="462">
        <f t="shared" ca="1" si="140"/>
        <v>7</v>
      </c>
      <c r="DF12" s="390">
        <f t="shared" ca="1" si="66"/>
        <v>0</v>
      </c>
      <c r="DG12" s="391">
        <f t="shared" ca="1" si="141"/>
        <v>0</v>
      </c>
      <c r="DH12" s="391">
        <f t="shared" ca="1" si="142"/>
        <v>0</v>
      </c>
      <c r="DI12" s="401">
        <f t="shared" ca="1" si="143"/>
        <v>52.1</v>
      </c>
      <c r="DJ12" s="401">
        <f t="shared" ca="1" si="144"/>
        <v>0</v>
      </c>
      <c r="DK12" s="392">
        <f t="shared" ca="1" si="145"/>
        <v>0</v>
      </c>
      <c r="DL12" s="392" t="str">
        <f t="shared" ca="1" si="146"/>
        <v>да</v>
      </c>
      <c r="DM12" s="392">
        <f t="shared" ca="1" si="147"/>
        <v>0</v>
      </c>
      <c r="DN12" s="462">
        <f t="shared" ca="1" si="148"/>
        <v>216.3</v>
      </c>
      <c r="DO12" s="402">
        <f t="shared" ca="1" si="72"/>
        <v>0</v>
      </c>
      <c r="DP12" s="400">
        <f t="shared" ca="1" si="149"/>
        <v>0</v>
      </c>
      <c r="DQ12" s="402">
        <f t="shared" ca="1" si="72"/>
        <v>0</v>
      </c>
      <c r="DR12" s="400">
        <f t="shared" ca="1" si="150"/>
        <v>0</v>
      </c>
      <c r="DS12" s="390">
        <f t="shared" ca="1" si="75"/>
        <v>0.66388888888888886</v>
      </c>
      <c r="DT12" s="396">
        <f t="shared" ca="1" si="151"/>
        <v>0</v>
      </c>
      <c r="DU12" s="390">
        <f t="shared" ca="1" si="75"/>
        <v>0</v>
      </c>
      <c r="DV12" s="396">
        <f t="shared" ca="1" si="152"/>
        <v>900</v>
      </c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59"/>
      <c r="EI12" s="459"/>
      <c r="EJ12" s="459"/>
      <c r="EK12" s="459"/>
      <c r="EL12" s="459"/>
      <c r="EM12" s="459"/>
      <c r="EN12" s="459"/>
      <c r="EO12" s="459"/>
      <c r="EP12" s="459"/>
      <c r="EQ12" s="459"/>
      <c r="ER12" s="459"/>
      <c r="ES12" s="459"/>
      <c r="ET12" s="459"/>
      <c r="EU12" s="390" t="e">
        <f t="shared" ca="1" si="153"/>
        <v>#VALUE!</v>
      </c>
      <c r="EV12" s="391">
        <f t="shared" ca="1" si="154"/>
        <v>0</v>
      </c>
      <c r="EW12" s="392" t="e">
        <f ca="1">IF(AND(EV12&lt;&gt;0,EU12&lt;&gt;0),вПМ(EV12,EU12),"")</f>
        <v>#VALUE!</v>
      </c>
      <c r="EX12" s="391">
        <f ca="1">IF(EV12&lt;&gt;0,вРазн(EV12,EU12), 0)</f>
        <v>0</v>
      </c>
      <c r="EY12" s="396">
        <f t="shared" ca="1" si="155"/>
        <v>900</v>
      </c>
      <c r="EZ12" s="390">
        <f t="shared" ca="1" si="81"/>
        <v>0</v>
      </c>
      <c r="FA12" s="391">
        <f t="shared" ca="1" si="156"/>
        <v>0</v>
      </c>
      <c r="FB12" s="391">
        <f t="shared" ca="1" si="157"/>
        <v>0</v>
      </c>
      <c r="FC12" s="401">
        <f t="shared" ca="1" si="158"/>
        <v>10</v>
      </c>
      <c r="FD12" s="401">
        <f t="shared" ca="1" si="159"/>
        <v>0</v>
      </c>
      <c r="FE12" s="401">
        <f t="shared" ca="1" si="160"/>
        <v>0</v>
      </c>
      <c r="FF12" s="392">
        <f t="shared" ca="1" si="161"/>
        <v>0</v>
      </c>
      <c r="FG12" s="392" t="str">
        <f t="shared" ca="1" si="162"/>
        <v>да</v>
      </c>
      <c r="FH12" s="462">
        <f t="shared" ca="1" si="163"/>
        <v>90</v>
      </c>
      <c r="FI12" s="403"/>
    </row>
    <row r="13" spans="1:165" s="20" customFormat="1" x14ac:dyDescent="0.25">
      <c r="A13" s="253">
        <f>стартоваяВедомость!B13</f>
        <v>4</v>
      </c>
      <c r="B13" s="241" t="str">
        <f t="shared" ca="1" si="1"/>
        <v>Skoda Rapid</v>
      </c>
      <c r="C13" s="241" t="str">
        <f t="shared" ca="1" si="2"/>
        <v>Лучкин Андрей</v>
      </c>
      <c r="D13" s="241" t="str">
        <f t="shared" ca="1" si="3"/>
        <v>Лучкин Роман</v>
      </c>
      <c r="E13" s="241" t="str">
        <f t="shared" ca="1" si="4"/>
        <v>Смоленск</v>
      </c>
      <c r="F13" s="241" t="str">
        <f t="shared" ca="1" si="5"/>
        <v>Pro, Кубок</v>
      </c>
      <c r="G13" s="487">
        <f t="shared" ca="1" si="90"/>
        <v>1088.9000000000001</v>
      </c>
      <c r="H13" s="487">
        <f t="shared" ca="1" si="91"/>
        <v>0</v>
      </c>
      <c r="I13" s="487">
        <f t="shared" ca="1" si="92"/>
        <v>728.9</v>
      </c>
      <c r="J13" s="487">
        <f t="shared" ca="1" si="93"/>
        <v>360</v>
      </c>
      <c r="K13" s="242">
        <f t="shared" ca="1" si="9"/>
        <v>0.41944444444444445</v>
      </c>
      <c r="L13" s="122">
        <f t="shared" ca="1" si="94"/>
        <v>0.41944444444444445</v>
      </c>
      <c r="M13" s="243" t="str">
        <f ca="1">IF(L13&lt;&gt;0,вПМ(L13,K13),"")</f>
        <v/>
      </c>
      <c r="N13" s="122">
        <f ca="1">IF(L13&lt;&gt;0,вРазн(L13,K13), 0)</f>
        <v>0</v>
      </c>
      <c r="O13" s="301">
        <f t="shared" ca="1" si="95"/>
        <v>0</v>
      </c>
      <c r="P13" s="300">
        <f t="shared" ca="1" si="12"/>
        <v>4.86111119389534E-2</v>
      </c>
      <c r="Q13" s="294"/>
      <c r="R13" s="242">
        <f t="shared" ca="1" si="96"/>
        <v>0.46805555638339785</v>
      </c>
      <c r="S13" s="122">
        <f t="shared" ca="1" si="97"/>
        <v>0.4680555555555555</v>
      </c>
      <c r="T13" s="243" t="str">
        <f ca="1">IF(S13&lt;&gt;0,вПМ(S13,R13),"")</f>
        <v/>
      </c>
      <c r="U13" s="122">
        <f ca="1">IF(S13&lt;&gt;0,вРазн(S13,R13), 0)</f>
        <v>0</v>
      </c>
      <c r="V13" s="301">
        <f t="shared" ca="1" si="98"/>
        <v>0</v>
      </c>
      <c r="W13" s="300">
        <f t="shared" ca="1" si="16"/>
        <v>4.86111119389534E-2</v>
      </c>
      <c r="X13" s="122"/>
      <c r="Y13" s="294">
        <f t="shared" ca="1" si="99"/>
        <v>0</v>
      </c>
      <c r="Z13" s="242">
        <f t="shared" ca="1" si="100"/>
        <v>0.51875000082784228</v>
      </c>
      <c r="AA13" s="122">
        <f t="shared" ca="1" si="101"/>
        <v>0.51874999999999993</v>
      </c>
      <c r="AB13" s="243" t="str">
        <f ca="1">IF(AA13&lt;&gt;0,вПМ(AA13,Z13),"")</f>
        <v/>
      </c>
      <c r="AC13" s="122">
        <f ca="1">IF(AA13&lt;&gt;0,вРазн(AA13,Z13), 0)</f>
        <v>0</v>
      </c>
      <c r="AD13" s="301">
        <f t="shared" ca="1" si="102"/>
        <v>0</v>
      </c>
      <c r="AE13" s="300">
        <f t="shared" ca="1" si="21"/>
        <v>2.43055559694767E-2</v>
      </c>
      <c r="AF13" s="122"/>
      <c r="AG13" s="294">
        <f t="shared" ca="1" si="103"/>
        <v>0</v>
      </c>
      <c r="AH13" s="242">
        <f t="shared" ca="1" si="104"/>
        <v>0.54305555596947663</v>
      </c>
      <c r="AI13" s="122">
        <f t="shared" ca="1" si="105"/>
        <v>0.54305555555555551</v>
      </c>
      <c r="AJ13" s="243" t="str">
        <f ca="1">IF(AI13&lt;&gt;0,вПМ(AI13,AH13),"")</f>
        <v/>
      </c>
      <c r="AK13" s="122">
        <f ca="1">IF(AI13&lt;&gt;0,вРазн(AI13,AH13), 0)</f>
        <v>0</v>
      </c>
      <c r="AL13" s="301">
        <f t="shared" ca="1" si="106"/>
        <v>0</v>
      </c>
      <c r="AM13" s="300">
        <f t="shared" ca="1" si="26"/>
        <v>2.43055559694767E-2</v>
      </c>
      <c r="AN13" s="122"/>
      <c r="AO13" s="294">
        <f t="shared" ca="1" si="107"/>
        <v>0</v>
      </c>
      <c r="AP13" s="242">
        <f t="shared" ca="1" si="108"/>
        <v>0.56736111152503221</v>
      </c>
      <c r="AQ13" s="122">
        <f t="shared" ca="1" si="109"/>
        <v>0.56736111111111109</v>
      </c>
      <c r="AR13" s="243" t="str">
        <f ca="1">IF(AQ13&lt;&gt;0,вПМ(AQ13,AP13),"")</f>
        <v/>
      </c>
      <c r="AS13" s="122">
        <f ca="1">IF(AQ13&lt;&gt;0,вРазн(AQ13,AP13), 0)</f>
        <v>0</v>
      </c>
      <c r="AT13" s="301">
        <f t="shared" ca="1" si="110"/>
        <v>0</v>
      </c>
      <c r="AU13" s="300">
        <f t="shared" ca="1" si="31"/>
        <v>3.125E-2</v>
      </c>
      <c r="AV13" s="122"/>
      <c r="AW13" s="294">
        <f t="shared" ca="1" si="111"/>
        <v>0</v>
      </c>
      <c r="AX13" s="242">
        <f t="shared" ca="1" si="112"/>
        <v>0.60069444444444442</v>
      </c>
      <c r="AY13" s="122">
        <f t="shared" ca="1" si="113"/>
        <v>0.60069444444444442</v>
      </c>
      <c r="AZ13" s="243" t="str">
        <f ca="1">IF(AY13&lt;&gt;0,вПМ(AY13,AX13),"")</f>
        <v/>
      </c>
      <c r="BA13" s="122">
        <f ca="1">IF(AY13&lt;&gt;0,вРазн(AY13,AX13), 0)</f>
        <v>0</v>
      </c>
      <c r="BB13" s="301">
        <f t="shared" ca="1" si="114"/>
        <v>0</v>
      </c>
      <c r="BC13" s="300">
        <f t="shared" ca="1" si="36"/>
        <v>4.1666667908430099E-2</v>
      </c>
      <c r="BD13" s="122"/>
      <c r="BE13" s="294">
        <f t="shared" ca="1" si="115"/>
        <v>0</v>
      </c>
      <c r="BF13" s="242">
        <f t="shared" ca="1" si="116"/>
        <v>0.64236111235287452</v>
      </c>
      <c r="BG13" s="122">
        <f t="shared" ca="1" si="117"/>
        <v>0.64236111111111105</v>
      </c>
      <c r="BH13" s="243" t="str">
        <f ca="1">IF(BG13&lt;&gt;0,вПМ(BG13,BF13),"")</f>
        <v/>
      </c>
      <c r="BI13" s="122">
        <f ca="1">IF(BG13&lt;&gt;0,вРазн(BG13,BF13), 0)</f>
        <v>0</v>
      </c>
      <c r="BJ13" s="301">
        <f t="shared" ca="1" si="118"/>
        <v>0</v>
      </c>
      <c r="BK13" s="300">
        <f t="shared" ca="1" si="41"/>
        <v>2.777777798473835E-2</v>
      </c>
      <c r="BL13" s="122"/>
      <c r="BM13" s="294">
        <f t="shared" ca="1" si="119"/>
        <v>0</v>
      </c>
      <c r="BN13" s="242">
        <f t="shared" ca="1" si="120"/>
        <v>0.6701388890958494</v>
      </c>
      <c r="BO13" s="122">
        <f t="shared" ca="1" si="121"/>
        <v>0.66597222222222219</v>
      </c>
      <c r="BP13" s="243" t="str">
        <f ca="1">IF(BO13&lt;&gt;0,вПМ(BO13,BN13),"")</f>
        <v>-</v>
      </c>
      <c r="BQ13" s="122">
        <f ca="1">IF(BO13&lt;&gt;0,вРазн(BO13,BN13), 0)</f>
        <v>4.1666626930236816E-3</v>
      </c>
      <c r="BR13" s="244">
        <f t="shared" ca="1" si="122"/>
        <v>0</v>
      </c>
      <c r="BS13" s="242">
        <f t="shared" ca="1" si="46"/>
        <v>0</v>
      </c>
      <c r="BT13" s="122">
        <f t="shared" ca="1" si="123"/>
        <v>0</v>
      </c>
      <c r="BU13" s="122">
        <f t="shared" ca="1" si="124"/>
        <v>0</v>
      </c>
      <c r="BV13" s="248">
        <f t="shared" ca="1" si="125"/>
        <v>62</v>
      </c>
      <c r="BW13" s="248">
        <f t="shared" ca="1" si="126"/>
        <v>0</v>
      </c>
      <c r="BX13" s="243">
        <f t="shared" ca="1" si="127"/>
        <v>0</v>
      </c>
      <c r="BY13" s="243" t="str">
        <f t="shared" ca="1" si="128"/>
        <v>да</v>
      </c>
      <c r="BZ13" s="243">
        <f t="shared" ca="1" si="129"/>
        <v>0</v>
      </c>
      <c r="CA13" s="463">
        <f t="shared" ca="1" si="130"/>
        <v>246</v>
      </c>
      <c r="CB13" s="242">
        <f t="shared" ca="1" si="52"/>
        <v>0.47013888888888888</v>
      </c>
      <c r="CC13" s="122">
        <f t="shared" ca="1" si="131"/>
        <v>0.47013888888888888</v>
      </c>
      <c r="CD13" s="122">
        <f ca="1">IF(OR(CB13=0,CC13=0),0,вРазн(CC13,CB13))</f>
        <v>0</v>
      </c>
      <c r="CE13" s="122"/>
      <c r="CF13" s="122"/>
      <c r="CG13" s="247">
        <f t="shared" ca="1" si="132"/>
        <v>0.47792824074074075</v>
      </c>
      <c r="CH13" s="245">
        <f t="shared" ca="1" si="54"/>
        <v>0.47767361111111112</v>
      </c>
      <c r="CI13" s="240" t="str">
        <f ca="1">IF(CH13&lt;&gt;0,вПМ(CH13,CG13,"s"),"")</f>
        <v>-</v>
      </c>
      <c r="CJ13" s="245">
        <f ca="1">IF(CH13&lt;&gt;0,вРазн(CH13,CG13,"s"), 0)</f>
        <v>2.5463104248046875E-4</v>
      </c>
      <c r="CK13" s="463">
        <f t="shared" ca="1" si="133"/>
        <v>22</v>
      </c>
      <c r="CL13" s="247">
        <f t="shared" ca="1" si="134"/>
        <v>0.49193287037037037</v>
      </c>
      <c r="CM13" s="245">
        <f t="shared" ca="1" si="57"/>
        <v>0.4918865740740741</v>
      </c>
      <c r="CN13" s="243" t="str">
        <f ca="1">IF(AND(CM13&lt;&gt;0,CL13&lt;&gt;0),вПМ(CM13,CL13,"s"),"")</f>
        <v>-</v>
      </c>
      <c r="CO13" s="245">
        <f ca="1">IF(AND(CM13&lt;&gt;0,CL13&lt;&gt;0),вРазн(CM13,CL13,"s"), 0)</f>
        <v>4.628300666809082E-5</v>
      </c>
      <c r="CP13" s="463">
        <f t="shared" ca="1" si="135"/>
        <v>4</v>
      </c>
      <c r="CQ13" s="242">
        <f t="shared" ca="1" si="59"/>
        <v>0.56944444444444442</v>
      </c>
      <c r="CR13" s="122">
        <f t="shared" ca="1" si="136"/>
        <v>0.56944444444444442</v>
      </c>
      <c r="CS13" s="122">
        <f ca="1">IF(OR(CQ13=0,CR13=0),0,вРазн(CR13,CQ13))</f>
        <v>0</v>
      </c>
      <c r="CT13" s="122"/>
      <c r="CU13" s="122"/>
      <c r="CV13" s="247">
        <f t="shared" ca="1" si="137"/>
        <v>0.57640046296296299</v>
      </c>
      <c r="CW13" s="245">
        <f t="shared" ca="1" si="61"/>
        <v>0.57633101851851853</v>
      </c>
      <c r="CX13" s="240" t="str">
        <f ca="1">IF(CW13&lt;&gt;0,вПМ(CW13,CV13,"s"),"")</f>
        <v>-</v>
      </c>
      <c r="CY13" s="245">
        <f ca="1">IF(CW13&lt;&gt;0,вРазн(CW13,CV13,"s"), 0)</f>
        <v>6.9439411163330078E-5</v>
      </c>
      <c r="CZ13" s="463">
        <f t="shared" ca="1" si="138"/>
        <v>6</v>
      </c>
      <c r="DA13" s="247">
        <f t="shared" ca="1" si="139"/>
        <v>0.57681712962962961</v>
      </c>
      <c r="DB13" s="245">
        <f t="shared" ca="1" si="64"/>
        <v>0.57681712962962961</v>
      </c>
      <c r="DC13" s="243" t="str">
        <f ca="1">IF(AND(DB13&lt;&gt;0,DA13&lt;&gt;0),вПМ(DB13,DA13,"s"),"")</f>
        <v/>
      </c>
      <c r="DD13" s="245">
        <f ca="1">IF(AND(DB13&lt;&gt;0,DA13&lt;&gt;0),вРазн(DB13,DA13,"s"), 0)</f>
        <v>0</v>
      </c>
      <c r="DE13" s="463">
        <f t="shared" ca="1" si="140"/>
        <v>0</v>
      </c>
      <c r="DF13" s="242">
        <f t="shared" ca="1" si="66"/>
        <v>0</v>
      </c>
      <c r="DG13" s="122">
        <f t="shared" ca="1" si="141"/>
        <v>0</v>
      </c>
      <c r="DH13" s="122">
        <f t="shared" ca="1" si="142"/>
        <v>0</v>
      </c>
      <c r="DI13" s="248">
        <f t="shared" ca="1" si="143"/>
        <v>50.3</v>
      </c>
      <c r="DJ13" s="248">
        <f t="shared" ca="1" si="144"/>
        <v>0</v>
      </c>
      <c r="DK13" s="243">
        <f t="shared" ca="1" si="145"/>
        <v>0</v>
      </c>
      <c r="DL13" s="243">
        <f t="shared" ca="1" si="146"/>
        <v>0</v>
      </c>
      <c r="DM13" s="243" t="str">
        <f t="shared" ca="1" si="147"/>
        <v>да</v>
      </c>
      <c r="DN13" s="463">
        <f t="shared" ca="1" si="148"/>
        <v>450.9</v>
      </c>
      <c r="DO13" s="249">
        <f t="shared" ca="1" si="72"/>
        <v>0</v>
      </c>
      <c r="DP13" s="246">
        <f t="shared" ca="1" si="149"/>
        <v>0</v>
      </c>
      <c r="DQ13" s="249">
        <f t="shared" ca="1" si="72"/>
        <v>0</v>
      </c>
      <c r="DR13" s="246">
        <f t="shared" ca="1" si="150"/>
        <v>360</v>
      </c>
      <c r="DS13" s="242">
        <f t="shared" ca="1" si="75"/>
        <v>0.64930555555555558</v>
      </c>
      <c r="DT13" s="244">
        <f t="shared" ca="1" si="151"/>
        <v>0</v>
      </c>
      <c r="DU13" s="242">
        <f t="shared" ca="1" si="75"/>
        <v>0.66041666666666665</v>
      </c>
      <c r="DV13" s="244">
        <f t="shared" ca="1" si="152"/>
        <v>0</v>
      </c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59"/>
      <c r="EI13" s="459"/>
      <c r="EJ13" s="459"/>
      <c r="EK13" s="459"/>
      <c r="EL13" s="459"/>
      <c r="EM13" s="459"/>
      <c r="EN13" s="459"/>
      <c r="EO13" s="459"/>
      <c r="EP13" s="459"/>
      <c r="EQ13" s="459"/>
      <c r="ER13" s="459"/>
      <c r="ES13" s="459"/>
      <c r="ET13" s="459"/>
      <c r="EU13" s="242" t="e">
        <f t="shared" ca="1" si="153"/>
        <v>#VALUE!</v>
      </c>
      <c r="EV13" s="122">
        <f t="shared" ca="1" si="154"/>
        <v>0</v>
      </c>
      <c r="EW13" s="243" t="e">
        <f ca="1">IF(AND(EV13&lt;&gt;0,EU13&lt;&gt;0),вПМ(EV13,EU13),"")</f>
        <v>#VALUE!</v>
      </c>
      <c r="EX13" s="122">
        <f ca="1">IF(EV13&lt;&gt;0,вРазн(EV13,EU13), 0)</f>
        <v>0</v>
      </c>
      <c r="EY13" s="244">
        <f t="shared" ca="1" si="155"/>
        <v>900</v>
      </c>
      <c r="EZ13" s="242">
        <f t="shared" ca="1" si="81"/>
        <v>0</v>
      </c>
      <c r="FA13" s="122">
        <f t="shared" ca="1" si="156"/>
        <v>0</v>
      </c>
      <c r="FB13" s="122">
        <f t="shared" ca="1" si="157"/>
        <v>0</v>
      </c>
      <c r="FC13" s="248">
        <f t="shared" ca="1" si="158"/>
        <v>62</v>
      </c>
      <c r="FD13" s="248">
        <f t="shared" ca="1" si="159"/>
        <v>0</v>
      </c>
      <c r="FE13" s="248">
        <f t="shared" ca="1" si="160"/>
        <v>0</v>
      </c>
      <c r="FF13" s="243" t="str">
        <f t="shared" ca="1" si="161"/>
        <v>да</v>
      </c>
      <c r="FG13" s="243">
        <f t="shared" ca="1" si="162"/>
        <v>0</v>
      </c>
      <c r="FH13" s="463">
        <f t="shared" ca="1" si="163"/>
        <v>216</v>
      </c>
    </row>
    <row r="14" spans="1:165" s="236" customFormat="1" x14ac:dyDescent="0.25">
      <c r="A14" s="388">
        <f>стартоваяВедомость!B14</f>
        <v>5</v>
      </c>
      <c r="B14" s="389" t="str">
        <f t="shared" ca="1" si="1"/>
        <v>Volga Siber</v>
      </c>
      <c r="C14" s="389" t="str">
        <f t="shared" ca="1" si="2"/>
        <v>Гудков Никита</v>
      </c>
      <c r="D14" s="389" t="str">
        <f t="shared" ca="1" si="3"/>
        <v>Гусева Александра</v>
      </c>
      <c r="E14" s="389" t="str">
        <f t="shared" ca="1" si="4"/>
        <v>Москва</v>
      </c>
      <c r="F14" s="389" t="str">
        <f t="shared" ca="1" si="5"/>
        <v>Pro</v>
      </c>
      <c r="G14" s="486">
        <f t="shared" ca="1" si="90"/>
        <v>1826</v>
      </c>
      <c r="H14" s="486">
        <f t="shared" ca="1" si="91"/>
        <v>1020</v>
      </c>
      <c r="I14" s="486">
        <f t="shared" ca="1" si="92"/>
        <v>566</v>
      </c>
      <c r="J14" s="486">
        <f t="shared" ca="1" si="93"/>
        <v>240</v>
      </c>
      <c r="K14" s="390">
        <f t="shared" ca="1" si="9"/>
        <v>0.4201388888888889</v>
      </c>
      <c r="L14" s="391">
        <f t="shared" ca="1" si="94"/>
        <v>0.4201388888888889</v>
      </c>
      <c r="M14" s="392" t="str">
        <f ca="1">IF(L14&lt;&gt;0,вПМ(L14,K14),"")</f>
        <v/>
      </c>
      <c r="N14" s="391">
        <f ca="1">IF(L14&lt;&gt;0,вРазн(L14,K14), 0)</f>
        <v>0</v>
      </c>
      <c r="O14" s="393">
        <f t="shared" ca="1" si="95"/>
        <v>0</v>
      </c>
      <c r="P14" s="394">
        <f t="shared" ca="1" si="12"/>
        <v>4.86111119389534E-2</v>
      </c>
      <c r="Q14" s="395"/>
      <c r="R14" s="390">
        <f t="shared" ca="1" si="96"/>
        <v>0.46875000082784229</v>
      </c>
      <c r="S14" s="391">
        <f t="shared" ca="1" si="97"/>
        <v>0.46875</v>
      </c>
      <c r="T14" s="392" t="str">
        <f ca="1">IF(S14&lt;&gt;0,вПМ(S14,R14),"")</f>
        <v/>
      </c>
      <c r="U14" s="391">
        <f ca="1">IF(S14&lt;&gt;0,вРазн(S14,R14), 0)</f>
        <v>0</v>
      </c>
      <c r="V14" s="393">
        <f t="shared" ca="1" si="98"/>
        <v>0</v>
      </c>
      <c r="W14" s="394">
        <f t="shared" ca="1" si="16"/>
        <v>4.86111119389534E-2</v>
      </c>
      <c r="X14" s="391"/>
      <c r="Y14" s="395">
        <f t="shared" ca="1" si="99"/>
        <v>0</v>
      </c>
      <c r="Z14" s="390">
        <f t="shared" ca="1" si="100"/>
        <v>0.52013888971673117</v>
      </c>
      <c r="AA14" s="391">
        <f t="shared" ca="1" si="101"/>
        <v>0.52013888888888882</v>
      </c>
      <c r="AB14" s="392" t="str">
        <f ca="1">IF(AA14&lt;&gt;0,вПМ(AA14,Z14),"")</f>
        <v>-</v>
      </c>
      <c r="AC14" s="391">
        <f ca="1">IF(AA14&lt;&gt;0,вРазн(AA14,Z14), 0)</f>
        <v>0</v>
      </c>
      <c r="AD14" s="393">
        <f t="shared" ca="1" si="102"/>
        <v>0</v>
      </c>
      <c r="AE14" s="394">
        <f t="shared" ca="1" si="21"/>
        <v>2.43055559694767E-2</v>
      </c>
      <c r="AF14" s="391"/>
      <c r="AG14" s="395">
        <f t="shared" ca="1" si="103"/>
        <v>0</v>
      </c>
      <c r="AH14" s="390">
        <f t="shared" ca="1" si="104"/>
        <v>0.54444444485836552</v>
      </c>
      <c r="AI14" s="391">
        <f t="shared" ca="1" si="105"/>
        <v>0.5444444444444444</v>
      </c>
      <c r="AJ14" s="392" t="str">
        <f ca="1">IF(AI14&lt;&gt;0,вПМ(AI14,AH14),"")</f>
        <v/>
      </c>
      <c r="AK14" s="391">
        <f ca="1">IF(AI14&lt;&gt;0,вРазн(AI14,AH14), 0)</f>
        <v>0</v>
      </c>
      <c r="AL14" s="393">
        <f t="shared" ca="1" si="106"/>
        <v>0</v>
      </c>
      <c r="AM14" s="394">
        <f t="shared" ca="1" si="26"/>
        <v>2.43055559694767E-2</v>
      </c>
      <c r="AN14" s="391"/>
      <c r="AO14" s="395">
        <f t="shared" ca="1" si="107"/>
        <v>0</v>
      </c>
      <c r="AP14" s="390">
        <f t="shared" ca="1" si="108"/>
        <v>0.5687500004139211</v>
      </c>
      <c r="AQ14" s="391">
        <f t="shared" ca="1" si="109"/>
        <v>0.56874999999999998</v>
      </c>
      <c r="AR14" s="392" t="str">
        <f ca="1">IF(AQ14&lt;&gt;0,вПМ(AQ14,AP14),"")</f>
        <v/>
      </c>
      <c r="AS14" s="391">
        <f ca="1">IF(AQ14&lt;&gt;0,вРазн(AQ14,AP14), 0)</f>
        <v>0</v>
      </c>
      <c r="AT14" s="393">
        <f t="shared" ca="1" si="110"/>
        <v>0</v>
      </c>
      <c r="AU14" s="394">
        <f t="shared" ca="1" si="31"/>
        <v>3.125E-2</v>
      </c>
      <c r="AV14" s="391"/>
      <c r="AW14" s="395">
        <f t="shared" ca="1" si="111"/>
        <v>0</v>
      </c>
      <c r="AX14" s="390">
        <f t="shared" ca="1" si="112"/>
        <v>0.6020833333333333</v>
      </c>
      <c r="AY14" s="391">
        <f t="shared" ca="1" si="113"/>
        <v>0.6020833333333333</v>
      </c>
      <c r="AZ14" s="392" t="str">
        <f ca="1">IF(AY14&lt;&gt;0,вПМ(AY14,AX14),"")</f>
        <v/>
      </c>
      <c r="BA14" s="391">
        <f ca="1">IF(AY14&lt;&gt;0,вРазн(AY14,AX14), 0)</f>
        <v>0</v>
      </c>
      <c r="BB14" s="393">
        <f t="shared" ca="1" si="114"/>
        <v>0</v>
      </c>
      <c r="BC14" s="394">
        <f t="shared" ca="1" si="36"/>
        <v>4.1666667908430099E-2</v>
      </c>
      <c r="BD14" s="391"/>
      <c r="BE14" s="395">
        <f t="shared" ca="1" si="115"/>
        <v>0</v>
      </c>
      <c r="BF14" s="390">
        <f t="shared" ca="1" si="116"/>
        <v>0.6437500012417634</v>
      </c>
      <c r="BG14" s="391">
        <f t="shared" ca="1" si="117"/>
        <v>0.64374999999999993</v>
      </c>
      <c r="BH14" s="392" t="str">
        <f ca="1">IF(BG14&lt;&gt;0,вПМ(BG14,BF14),"")</f>
        <v/>
      </c>
      <c r="BI14" s="391">
        <f ca="1">IF(BG14&lt;&gt;0,вРазн(BG14,BF14), 0)</f>
        <v>0</v>
      </c>
      <c r="BJ14" s="393">
        <f t="shared" ca="1" si="118"/>
        <v>0</v>
      </c>
      <c r="BK14" s="394">
        <f t="shared" ca="1" si="41"/>
        <v>2.777777798473835E-2</v>
      </c>
      <c r="BL14" s="391"/>
      <c r="BM14" s="395">
        <f t="shared" ca="1" si="119"/>
        <v>0</v>
      </c>
      <c r="BN14" s="390">
        <f t="shared" ca="1" si="120"/>
        <v>0.67152777798473828</v>
      </c>
      <c r="BO14" s="391">
        <f t="shared" ca="1" si="121"/>
        <v>0.67291666666666661</v>
      </c>
      <c r="BP14" s="392" t="str">
        <f ca="1">IF(BO14&lt;&gt;0,вПМ(BO14,BN14),"")</f>
        <v>+</v>
      </c>
      <c r="BQ14" s="391">
        <f ca="1">IF(BO14&lt;&gt;0,вРазн(BO14,BN14), 0)</f>
        <v>1.388847827911377E-3</v>
      </c>
      <c r="BR14" s="396">
        <f t="shared" ca="1" si="122"/>
        <v>120</v>
      </c>
      <c r="BS14" s="390">
        <f t="shared" ca="1" si="46"/>
        <v>0</v>
      </c>
      <c r="BT14" s="391">
        <f t="shared" ca="1" si="123"/>
        <v>0</v>
      </c>
      <c r="BU14" s="391">
        <f t="shared" ca="1" si="124"/>
        <v>0</v>
      </c>
      <c r="BV14" s="401">
        <f t="shared" ca="1" si="125"/>
        <v>63.1</v>
      </c>
      <c r="BW14" s="401">
        <f t="shared" ca="1" si="126"/>
        <v>0</v>
      </c>
      <c r="BX14" s="392">
        <f t="shared" ca="1" si="127"/>
        <v>0</v>
      </c>
      <c r="BY14" s="392">
        <f t="shared" ca="1" si="128"/>
        <v>0</v>
      </c>
      <c r="BZ14" s="392">
        <f t="shared" ca="1" si="129"/>
        <v>0</v>
      </c>
      <c r="CA14" s="462">
        <f t="shared" ca="1" si="130"/>
        <v>189.3</v>
      </c>
      <c r="CB14" s="390">
        <f t="shared" ca="1" si="52"/>
        <v>0.47152777777777777</v>
      </c>
      <c r="CC14" s="391">
        <f t="shared" ca="1" si="131"/>
        <v>0.47152777777777777</v>
      </c>
      <c r="CD14" s="391">
        <f ca="1">IF(OR(CB14=0,CC14=0),0,вРазн(CC14,CB14))</f>
        <v>0</v>
      </c>
      <c r="CE14" s="391"/>
      <c r="CF14" s="391"/>
      <c r="CG14" s="397">
        <f t="shared" ca="1" si="132"/>
        <v>0.47931712962962963</v>
      </c>
      <c r="CH14" s="398">
        <f t="shared" ca="1" si="54"/>
        <v>0.47881944444444446</v>
      </c>
      <c r="CI14" s="399" t="str">
        <f ca="1">IF(CH14&lt;&gt;0,вПМ(CH14,CG14,"s"),"")</f>
        <v>-</v>
      </c>
      <c r="CJ14" s="398">
        <f ca="1">IF(CH14&lt;&gt;0,вРазн(CH14,CG14,"s"), 0)</f>
        <v>4.9769878387451172E-4</v>
      </c>
      <c r="CK14" s="462">
        <f t="shared" ca="1" si="133"/>
        <v>43</v>
      </c>
      <c r="CL14" s="397">
        <f t="shared" ca="1" si="134"/>
        <v>0.49307870370370371</v>
      </c>
      <c r="CM14" s="398">
        <f t="shared" ca="1" si="57"/>
        <v>0.49105324074074069</v>
      </c>
      <c r="CN14" s="392" t="str">
        <f ca="1">IF(AND(CM14&lt;&gt;0,CL14&lt;&gt;0),вПМ(CM14,CL14,"s"),"")</f>
        <v>-</v>
      </c>
      <c r="CO14" s="398">
        <f ca="1">IF(AND(CM14&lt;&gt;0,CL14&lt;&gt;0),вРазн(CM14,CL14,"s"), 0)</f>
        <v>2.0254552364349365E-3</v>
      </c>
      <c r="CP14" s="462">
        <f t="shared" ca="1" si="135"/>
        <v>175</v>
      </c>
      <c r="CQ14" s="390">
        <f t="shared" ca="1" si="59"/>
        <v>0.5708333333333333</v>
      </c>
      <c r="CR14" s="391">
        <f t="shared" ca="1" si="136"/>
        <v>0.5708333333333333</v>
      </c>
      <c r="CS14" s="391">
        <f ca="1">IF(OR(CQ14=0,CR14=0),0,вРазн(CR14,CQ14))</f>
        <v>0</v>
      </c>
      <c r="CT14" s="391"/>
      <c r="CU14" s="391"/>
      <c r="CV14" s="397">
        <f t="shared" ca="1" si="137"/>
        <v>0.57778935185185187</v>
      </c>
      <c r="CW14" s="398">
        <f t="shared" ca="1" si="61"/>
        <v>0.57740740740740748</v>
      </c>
      <c r="CX14" s="399" t="str">
        <f ca="1">IF(CW14&lt;&gt;0,вПМ(CW14,CV14,"s"),"")</f>
        <v>-</v>
      </c>
      <c r="CY14" s="398">
        <f ca="1">IF(CW14&lt;&gt;0,вРазн(CW14,CV14,"s"), 0)</f>
        <v>3.8194656372070313E-4</v>
      </c>
      <c r="CZ14" s="462">
        <f t="shared" ca="1" si="138"/>
        <v>33</v>
      </c>
      <c r="DA14" s="397">
        <f t="shared" ca="1" si="139"/>
        <v>0.57789351851851856</v>
      </c>
      <c r="DB14" s="398">
        <f t="shared" ca="1" si="64"/>
        <v>0.57789351851851845</v>
      </c>
      <c r="DC14" s="392" t="str">
        <f ca="1">IF(AND(DB14&lt;&gt;0,DA14&lt;&gt;0),вПМ(DB14,DA14,"s"),"")</f>
        <v/>
      </c>
      <c r="DD14" s="398">
        <f ca="1">IF(AND(DB14&lt;&gt;0,DA14&lt;&gt;0),вРазн(DB14,DA14,"s"), 0)</f>
        <v>0</v>
      </c>
      <c r="DE14" s="462">
        <f t="shared" ca="1" si="140"/>
        <v>0</v>
      </c>
      <c r="DF14" s="390">
        <f t="shared" ca="1" si="66"/>
        <v>0</v>
      </c>
      <c r="DG14" s="391">
        <f t="shared" ca="1" si="141"/>
        <v>0</v>
      </c>
      <c r="DH14" s="391">
        <f t="shared" ca="1" si="142"/>
        <v>0</v>
      </c>
      <c r="DI14" s="401">
        <f t="shared" ca="1" si="143"/>
        <v>41.9</v>
      </c>
      <c r="DJ14" s="401">
        <f t="shared" ca="1" si="144"/>
        <v>0</v>
      </c>
      <c r="DK14" s="392">
        <f t="shared" ca="1" si="145"/>
        <v>0</v>
      </c>
      <c r="DL14" s="392">
        <f t="shared" ca="1" si="146"/>
        <v>0</v>
      </c>
      <c r="DM14" s="392">
        <f t="shared" ca="1" si="147"/>
        <v>0</v>
      </c>
      <c r="DN14" s="462">
        <f t="shared" ca="1" si="148"/>
        <v>125.69999999999999</v>
      </c>
      <c r="DO14" s="402">
        <f t="shared" ca="1" si="72"/>
        <v>0</v>
      </c>
      <c r="DP14" s="400">
        <f t="shared" ca="1" si="149"/>
        <v>0</v>
      </c>
      <c r="DQ14" s="402">
        <f t="shared" ca="1" si="72"/>
        <v>0</v>
      </c>
      <c r="DR14" s="400">
        <f t="shared" ca="1" si="150"/>
        <v>240</v>
      </c>
      <c r="DS14" s="390">
        <f t="shared" ca="1" si="75"/>
        <v>0.65138888888888891</v>
      </c>
      <c r="DT14" s="396">
        <f t="shared" ca="1" si="151"/>
        <v>0</v>
      </c>
      <c r="DU14" s="390">
        <f t="shared" ca="1" si="75"/>
        <v>0</v>
      </c>
      <c r="DV14" s="396">
        <f t="shared" ca="1" si="152"/>
        <v>900</v>
      </c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59"/>
      <c r="EI14" s="459"/>
      <c r="EJ14" s="459"/>
      <c r="EK14" s="459"/>
      <c r="EL14" s="459"/>
      <c r="EM14" s="459"/>
      <c r="EN14" s="459"/>
      <c r="EO14" s="459"/>
      <c r="EP14" s="459"/>
      <c r="EQ14" s="459"/>
      <c r="ER14" s="459"/>
      <c r="ES14" s="459"/>
      <c r="ET14" s="459"/>
      <c r="EU14" s="390" t="e">
        <f t="shared" ca="1" si="153"/>
        <v>#VALUE!</v>
      </c>
      <c r="EV14" s="391">
        <f t="shared" ca="1" si="154"/>
        <v>0</v>
      </c>
      <c r="EW14" s="392" t="e">
        <f ca="1">IF(AND(EV14&lt;&gt;0,EU14&lt;&gt;0),вПМ(EV14,EU14),"")</f>
        <v>#VALUE!</v>
      </c>
      <c r="EX14" s="391">
        <f ca="1">IF(EV14&lt;&gt;0,вРазн(EV14,EU14), 0)</f>
        <v>0</v>
      </c>
      <c r="EY14" s="396">
        <f t="shared" ca="1" si="155"/>
        <v>900</v>
      </c>
      <c r="EZ14" s="390">
        <f t="shared" ca="1" si="81"/>
        <v>0</v>
      </c>
      <c r="FA14" s="391">
        <f t="shared" ca="1" si="156"/>
        <v>0</v>
      </c>
      <c r="FB14" s="391">
        <f t="shared" ca="1" si="157"/>
        <v>0</v>
      </c>
      <c r="FC14" s="401">
        <f t="shared" ca="1" si="158"/>
        <v>63.1</v>
      </c>
      <c r="FD14" s="401">
        <f t="shared" ca="1" si="159"/>
        <v>0</v>
      </c>
      <c r="FE14" s="401">
        <f t="shared" ca="1" si="160"/>
        <v>0</v>
      </c>
      <c r="FF14" s="392">
        <f t="shared" ca="1" si="161"/>
        <v>0</v>
      </c>
      <c r="FG14" s="392">
        <f t="shared" ca="1" si="162"/>
        <v>0</v>
      </c>
      <c r="FH14" s="462">
        <f t="shared" ca="1" si="163"/>
        <v>189.3</v>
      </c>
      <c r="FI14" s="403"/>
    </row>
    <row r="15" spans="1:165" s="20" customFormat="1" x14ac:dyDescent="0.25">
      <c r="A15" s="253">
        <f>стартоваяВедомость!B15</f>
        <v>6</v>
      </c>
      <c r="B15" s="241" t="str">
        <f t="shared" ca="1" si="1"/>
        <v>Opel Corsa</v>
      </c>
      <c r="C15" s="241" t="str">
        <f t="shared" ca="1" si="2"/>
        <v>Дубасова Анжелика</v>
      </c>
      <c r="D15" s="241" t="str">
        <f t="shared" ca="1" si="3"/>
        <v>Моисеева Ирина</v>
      </c>
      <c r="E15" s="241" t="str">
        <f t="shared" ca="1" si="4"/>
        <v>Минск</v>
      </c>
      <c r="F15" s="241" t="str">
        <f t="shared" ca="1" si="5"/>
        <v>Light, Кубок</v>
      </c>
      <c r="G15" s="487">
        <f t="shared" ca="1" si="90"/>
        <v>3388.6</v>
      </c>
      <c r="H15" s="487">
        <f t="shared" ca="1" si="91"/>
        <v>1500</v>
      </c>
      <c r="I15" s="487">
        <f t="shared" ca="1" si="92"/>
        <v>808.59999999999991</v>
      </c>
      <c r="J15" s="487">
        <f t="shared" ca="1" si="93"/>
        <v>1080</v>
      </c>
      <c r="K15" s="242">
        <f t="shared" ca="1" si="9"/>
        <v>0.42083333333333334</v>
      </c>
      <c r="L15" s="122">
        <f t="shared" ca="1" si="94"/>
        <v>0.42083333333333334</v>
      </c>
      <c r="M15" s="243" t="str">
        <f ca="1">IF(L15&lt;&gt;0,вПМ(L15,K15),"")</f>
        <v/>
      </c>
      <c r="N15" s="122">
        <f ca="1">IF(L15&lt;&gt;0,вРазн(L15,K15), 0)</f>
        <v>0</v>
      </c>
      <c r="O15" s="301">
        <f t="shared" ca="1" si="95"/>
        <v>0</v>
      </c>
      <c r="P15" s="300">
        <f t="shared" ca="1" si="12"/>
        <v>4.86111119389534E-2</v>
      </c>
      <c r="Q15" s="294"/>
      <c r="R15" s="242">
        <f t="shared" ca="1" si="96"/>
        <v>0.46944444527228674</v>
      </c>
      <c r="S15" s="122">
        <f t="shared" ca="1" si="97"/>
        <v>0.4694444444444445</v>
      </c>
      <c r="T15" s="243" t="str">
        <f ca="1">IF(S15&lt;&gt;0,вПМ(S15,R15),"")</f>
        <v/>
      </c>
      <c r="U15" s="122">
        <f ca="1">IF(S15&lt;&gt;0,вРазн(S15,R15), 0)</f>
        <v>0</v>
      </c>
      <c r="V15" s="301">
        <f t="shared" ca="1" si="98"/>
        <v>0</v>
      </c>
      <c r="W15" s="300">
        <f t="shared" ca="1" si="16"/>
        <v>4.86111119389534E-2</v>
      </c>
      <c r="X15" s="122"/>
      <c r="Y15" s="294">
        <f t="shared" ca="1" si="99"/>
        <v>0</v>
      </c>
      <c r="Z15" s="242">
        <f t="shared" ca="1" si="100"/>
        <v>0.52083333416117572</v>
      </c>
      <c r="AA15" s="122">
        <f t="shared" ca="1" si="101"/>
        <v>0.52083333333333337</v>
      </c>
      <c r="AB15" s="243" t="str">
        <f ca="1">IF(AA15&lt;&gt;0,вПМ(AA15,Z15),"")</f>
        <v/>
      </c>
      <c r="AC15" s="122">
        <f ca="1">IF(AA15&lt;&gt;0,вРазн(AA15,Z15), 0)</f>
        <v>0</v>
      </c>
      <c r="AD15" s="301">
        <f t="shared" ca="1" si="102"/>
        <v>0</v>
      </c>
      <c r="AE15" s="300">
        <f t="shared" ca="1" si="21"/>
        <v>2.43055559694767E-2</v>
      </c>
      <c r="AF15" s="122"/>
      <c r="AG15" s="294">
        <f t="shared" ca="1" si="103"/>
        <v>0</v>
      </c>
      <c r="AH15" s="242">
        <f t="shared" ca="1" si="104"/>
        <v>0.54513888930281007</v>
      </c>
      <c r="AI15" s="122">
        <f t="shared" ca="1" si="105"/>
        <v>0.55625000000000002</v>
      </c>
      <c r="AJ15" s="243" t="str">
        <f ca="1">IF(AI15&lt;&gt;0,вПМ(AI15,AH15),"")</f>
        <v>+</v>
      </c>
      <c r="AK15" s="122">
        <f ca="1">IF(AI15&lt;&gt;0,вРазн(AI15,AH15), 0)</f>
        <v>1.1111080646514893E-2</v>
      </c>
      <c r="AL15" s="301">
        <f t="shared" ca="1" si="106"/>
        <v>600</v>
      </c>
      <c r="AM15" s="300">
        <f t="shared" ca="1" si="26"/>
        <v>2.43055559694767E-2</v>
      </c>
      <c r="AN15" s="122"/>
      <c r="AO15" s="294">
        <f t="shared" ca="1" si="107"/>
        <v>0</v>
      </c>
      <c r="AP15" s="242">
        <f t="shared" ca="1" si="108"/>
        <v>0.58055555596947672</v>
      </c>
      <c r="AQ15" s="122">
        <f t="shared" ca="1" si="109"/>
        <v>0.5805555555555556</v>
      </c>
      <c r="AR15" s="243" t="str">
        <f ca="1">IF(AQ15&lt;&gt;0,вПМ(AQ15,AP15),"")</f>
        <v/>
      </c>
      <c r="AS15" s="122">
        <f ca="1">IF(AQ15&lt;&gt;0,вРазн(AQ15,AP15), 0)</f>
        <v>0</v>
      </c>
      <c r="AT15" s="301">
        <f t="shared" ca="1" si="110"/>
        <v>0</v>
      </c>
      <c r="AU15" s="300">
        <f t="shared" ca="1" si="31"/>
        <v>3.125E-2</v>
      </c>
      <c r="AV15" s="122"/>
      <c r="AW15" s="294">
        <f t="shared" ca="1" si="111"/>
        <v>0</v>
      </c>
      <c r="AX15" s="242">
        <f t="shared" ca="1" si="112"/>
        <v>0.61388888888888882</v>
      </c>
      <c r="AY15" s="122">
        <f t="shared" ca="1" si="113"/>
        <v>0.61388888888888882</v>
      </c>
      <c r="AZ15" s="243" t="str">
        <f ca="1">IF(AY15&lt;&gt;0,вПМ(AY15,AX15),"")</f>
        <v/>
      </c>
      <c r="BA15" s="122">
        <f ca="1">IF(AY15&lt;&gt;0,вРазн(AY15,AX15), 0)</f>
        <v>0</v>
      </c>
      <c r="BB15" s="301">
        <f t="shared" ca="1" si="114"/>
        <v>0</v>
      </c>
      <c r="BC15" s="300">
        <f t="shared" ca="1" si="36"/>
        <v>4.1666667908430099E-2</v>
      </c>
      <c r="BD15" s="122"/>
      <c r="BE15" s="294">
        <f t="shared" ca="1" si="115"/>
        <v>0</v>
      </c>
      <c r="BF15" s="242">
        <f t="shared" ca="1" si="116"/>
        <v>0.65555555679731892</v>
      </c>
      <c r="BG15" s="122">
        <f t="shared" ca="1" si="117"/>
        <v>0.65555555555555556</v>
      </c>
      <c r="BH15" s="243" t="str">
        <f ca="1">IF(BG15&lt;&gt;0,вПМ(BG15,BF15),"")</f>
        <v/>
      </c>
      <c r="BI15" s="122">
        <f ca="1">IF(BG15&lt;&gt;0,вРазн(BG15,BF15), 0)</f>
        <v>0</v>
      </c>
      <c r="BJ15" s="301">
        <f t="shared" ca="1" si="118"/>
        <v>0</v>
      </c>
      <c r="BK15" s="300">
        <f t="shared" ca="1" si="41"/>
        <v>2.777777798473835E-2</v>
      </c>
      <c r="BL15" s="122"/>
      <c r="BM15" s="294">
        <f t="shared" ca="1" si="119"/>
        <v>0</v>
      </c>
      <c r="BN15" s="242">
        <f t="shared" ca="1" si="120"/>
        <v>0.68333333354029391</v>
      </c>
      <c r="BO15" s="122">
        <f t="shared" ca="1" si="121"/>
        <v>0.68194444444444446</v>
      </c>
      <c r="BP15" s="243" t="str">
        <f ca="1">IF(BO15&lt;&gt;0,вПМ(BO15,BN15),"")</f>
        <v>-</v>
      </c>
      <c r="BQ15" s="122">
        <f ca="1">IF(BO15&lt;&gt;0,вРазн(BO15,BN15), 0)</f>
        <v>1.3889074325561523E-3</v>
      </c>
      <c r="BR15" s="244">
        <f t="shared" ca="1" si="122"/>
        <v>0</v>
      </c>
      <c r="BS15" s="242">
        <f t="shared" ca="1" si="46"/>
        <v>0</v>
      </c>
      <c r="BT15" s="122">
        <f t="shared" ca="1" si="123"/>
        <v>0</v>
      </c>
      <c r="BU15" s="122">
        <f t="shared" ca="1" si="124"/>
        <v>0</v>
      </c>
      <c r="BV15" s="248">
        <f t="shared" ca="1" si="125"/>
        <v>83.1</v>
      </c>
      <c r="BW15" s="248">
        <f t="shared" ca="1" si="126"/>
        <v>0</v>
      </c>
      <c r="BX15" s="243">
        <f t="shared" ca="1" si="127"/>
        <v>0</v>
      </c>
      <c r="BY15" s="243">
        <f t="shared" ca="1" si="128"/>
        <v>0</v>
      </c>
      <c r="BZ15" s="243">
        <f t="shared" ca="1" si="129"/>
        <v>0</v>
      </c>
      <c r="CA15" s="463">
        <f t="shared" ca="1" si="130"/>
        <v>249.29999999999998</v>
      </c>
      <c r="CB15" s="242">
        <f t="shared" ca="1" si="52"/>
        <v>0.47222222222222227</v>
      </c>
      <c r="CC15" s="122">
        <f t="shared" ca="1" si="131"/>
        <v>0.47222222222222227</v>
      </c>
      <c r="CD15" s="122">
        <f ca="1">IF(OR(CB15=0,CC15=0),0,вРазн(CC15,CB15))</f>
        <v>0</v>
      </c>
      <c r="CE15" s="122"/>
      <c r="CF15" s="122"/>
      <c r="CG15" s="247">
        <f t="shared" ca="1" si="132"/>
        <v>0.48001157407407413</v>
      </c>
      <c r="CH15" s="245">
        <f t="shared" ca="1" si="54"/>
        <v>0.48026620370370371</v>
      </c>
      <c r="CI15" s="240" t="str">
        <f ca="1">IF(CH15&lt;&gt;0,вПМ(CH15,CG15,"s"),"")</f>
        <v>+</v>
      </c>
      <c r="CJ15" s="245">
        <f ca="1">IF(CH15&lt;&gt;0,вРазн(CH15,CG15,"s"), 0)</f>
        <v>2.5463104248046875E-4</v>
      </c>
      <c r="CK15" s="463">
        <f t="shared" ca="1" si="133"/>
        <v>22</v>
      </c>
      <c r="CL15" s="247">
        <f t="shared" ca="1" si="134"/>
        <v>0.49452546296296296</v>
      </c>
      <c r="CM15" s="245">
        <f t="shared" ca="1" si="57"/>
        <v>0.49432870370370369</v>
      </c>
      <c r="CN15" s="243" t="str">
        <f ca="1">IF(AND(CM15&lt;&gt;0,CL15&lt;&gt;0),вПМ(CM15,CL15,"s"),"")</f>
        <v>-</v>
      </c>
      <c r="CO15" s="245">
        <f ca="1">IF(AND(CM15&lt;&gt;0,CL15&lt;&gt;0),вРазн(CM15,CL15,"s"), 0)</f>
        <v>1.9675493240356445E-4</v>
      </c>
      <c r="CP15" s="463">
        <f t="shared" ca="1" si="135"/>
        <v>17</v>
      </c>
      <c r="CQ15" s="242">
        <f t="shared" ca="1" si="59"/>
        <v>0.58263888888888882</v>
      </c>
      <c r="CR15" s="122">
        <f t="shared" ca="1" si="136"/>
        <v>0.58263888888888882</v>
      </c>
      <c r="CS15" s="122">
        <f ca="1">IF(OR(CQ15=0,CR15=0),0,вРазн(CR15,CQ15))</f>
        <v>0</v>
      </c>
      <c r="CT15" s="122"/>
      <c r="CU15" s="122"/>
      <c r="CV15" s="247">
        <f t="shared" ca="1" si="137"/>
        <v>0.58959490740740739</v>
      </c>
      <c r="CW15" s="245">
        <f t="shared" ca="1" si="61"/>
        <v>0.59049768518518519</v>
      </c>
      <c r="CX15" s="240" t="str">
        <f ca="1">IF(CW15&lt;&gt;0,вПМ(CW15,CV15,"s"),"")</f>
        <v>+</v>
      </c>
      <c r="CY15" s="245">
        <f ca="1">IF(CW15&lt;&gt;0,вРазн(CW15,CV15,"s"), 0)</f>
        <v>9.0277194976806641E-4</v>
      </c>
      <c r="CZ15" s="463">
        <f t="shared" ca="1" si="138"/>
        <v>78</v>
      </c>
      <c r="DA15" s="247">
        <f t="shared" ca="1" si="139"/>
        <v>0.59098379629629627</v>
      </c>
      <c r="DB15" s="245">
        <f t="shared" ca="1" si="64"/>
        <v>0.59097222222222223</v>
      </c>
      <c r="DC15" s="243" t="str">
        <f ca="1">IF(AND(DB15&lt;&gt;0,DA15&lt;&gt;0),вПМ(DB15,DA15,"s"),"")</f>
        <v>-</v>
      </c>
      <c r="DD15" s="245">
        <f ca="1">IF(AND(DB15&lt;&gt;0,DA15&lt;&gt;0),вРазн(DB15,DA15,"s"), 0)</f>
        <v>1.1563301086425781E-5</v>
      </c>
      <c r="DE15" s="463">
        <f t="shared" ca="1" si="140"/>
        <v>1</v>
      </c>
      <c r="DF15" s="242">
        <f t="shared" ca="1" si="66"/>
        <v>0</v>
      </c>
      <c r="DG15" s="122">
        <f t="shared" ca="1" si="141"/>
        <v>0</v>
      </c>
      <c r="DH15" s="122">
        <f t="shared" ca="1" si="142"/>
        <v>0</v>
      </c>
      <c r="DI15" s="248">
        <f t="shared" ca="1" si="143"/>
        <v>47.1</v>
      </c>
      <c r="DJ15" s="248">
        <f t="shared" ca="1" si="144"/>
        <v>0</v>
      </c>
      <c r="DK15" s="243">
        <f t="shared" ca="1" si="145"/>
        <v>0</v>
      </c>
      <c r="DL15" s="243">
        <f t="shared" ca="1" si="146"/>
        <v>0</v>
      </c>
      <c r="DM15" s="243" t="str">
        <f t="shared" ca="1" si="147"/>
        <v>да</v>
      </c>
      <c r="DN15" s="463">
        <f t="shared" ca="1" si="148"/>
        <v>441.3</v>
      </c>
      <c r="DO15" s="249">
        <f t="shared" ca="1" si="72"/>
        <v>0</v>
      </c>
      <c r="DP15" s="246">
        <f t="shared" ca="1" si="149"/>
        <v>0</v>
      </c>
      <c r="DQ15" s="249">
        <f t="shared" ca="1" si="72"/>
        <v>0</v>
      </c>
      <c r="DR15" s="246">
        <f t="shared" ca="1" si="150"/>
        <v>1080</v>
      </c>
      <c r="DS15" s="242">
        <f t="shared" ca="1" si="75"/>
        <v>0.66597222222222219</v>
      </c>
      <c r="DT15" s="244">
        <f t="shared" ca="1" si="151"/>
        <v>0</v>
      </c>
      <c r="DU15" s="242">
        <f t="shared" ca="1" si="75"/>
        <v>0</v>
      </c>
      <c r="DV15" s="244">
        <f t="shared" ca="1" si="152"/>
        <v>900</v>
      </c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59"/>
      <c r="EI15" s="459"/>
      <c r="EJ15" s="459"/>
      <c r="EK15" s="459"/>
      <c r="EL15" s="459"/>
      <c r="EM15" s="459"/>
      <c r="EN15" s="459"/>
      <c r="EO15" s="459"/>
      <c r="EP15" s="459"/>
      <c r="EQ15" s="459"/>
      <c r="ER15" s="459"/>
      <c r="ES15" s="459"/>
      <c r="ET15" s="459"/>
      <c r="EU15" s="242" t="e">
        <f t="shared" ca="1" si="153"/>
        <v>#VALUE!</v>
      </c>
      <c r="EV15" s="122">
        <f t="shared" ca="1" si="154"/>
        <v>0</v>
      </c>
      <c r="EW15" s="243" t="e">
        <f ca="1">IF(AND(EV15&lt;&gt;0,EU15&lt;&gt;0),вПМ(EV15,EU15),"")</f>
        <v>#VALUE!</v>
      </c>
      <c r="EX15" s="122">
        <f ca="1">IF(EV15&lt;&gt;0,вРазн(EV15,EU15), 0)</f>
        <v>0</v>
      </c>
      <c r="EY15" s="244">
        <f t="shared" ca="1" si="155"/>
        <v>900</v>
      </c>
      <c r="EZ15" s="242">
        <f t="shared" ca="1" si="81"/>
        <v>0</v>
      </c>
      <c r="FA15" s="122">
        <f t="shared" ca="1" si="156"/>
        <v>0</v>
      </c>
      <c r="FB15" s="122">
        <f t="shared" ca="1" si="157"/>
        <v>0</v>
      </c>
      <c r="FC15" s="248">
        <f t="shared" ca="1" si="158"/>
        <v>83.1</v>
      </c>
      <c r="FD15" s="248">
        <f t="shared" ca="1" si="159"/>
        <v>0</v>
      </c>
      <c r="FE15" s="248">
        <f t="shared" ca="1" si="160"/>
        <v>0</v>
      </c>
      <c r="FF15" s="243">
        <f t="shared" ca="1" si="161"/>
        <v>0</v>
      </c>
      <c r="FG15" s="243">
        <f t="shared" ca="1" si="162"/>
        <v>0</v>
      </c>
      <c r="FH15" s="463">
        <f t="shared" ca="1" si="163"/>
        <v>249.29999999999998</v>
      </c>
    </row>
    <row r="16" spans="1:165" s="236" customFormat="1" x14ac:dyDescent="0.25">
      <c r="A16" s="388">
        <f>стартоваяВедомость!B16</f>
        <v>7</v>
      </c>
      <c r="B16" s="389" t="str">
        <f t="shared" ca="1" si="1"/>
        <v>Skoda Kodiag</v>
      </c>
      <c r="C16" s="389" t="str">
        <f t="shared" ca="1" si="2"/>
        <v>Юзвик Ольга</v>
      </c>
      <c r="D16" s="389" t="str">
        <f t="shared" ca="1" si="3"/>
        <v>Грушина Елена</v>
      </c>
      <c r="E16" s="389" t="str">
        <f t="shared" ca="1" si="4"/>
        <v>Смоленск</v>
      </c>
      <c r="F16" s="389" t="str">
        <f t="shared" ca="1" si="5"/>
        <v>Pro, Кубок</v>
      </c>
      <c r="G16" s="486">
        <f t="shared" ca="1" si="90"/>
        <v>918.1</v>
      </c>
      <c r="H16" s="486">
        <f t="shared" ca="1" si="91"/>
        <v>0</v>
      </c>
      <c r="I16" s="486">
        <f t="shared" ca="1" si="92"/>
        <v>438.1</v>
      </c>
      <c r="J16" s="486">
        <f t="shared" ca="1" si="93"/>
        <v>480</v>
      </c>
      <c r="K16" s="390">
        <f t="shared" ca="1" si="9"/>
        <v>0.42152777777777778</v>
      </c>
      <c r="L16" s="391">
        <f t="shared" ca="1" si="94"/>
        <v>0.42152777777777778</v>
      </c>
      <c r="M16" s="392" t="str">
        <f ca="1">IF(L16&lt;&gt;0,вПМ(L16,K16),"")</f>
        <v/>
      </c>
      <c r="N16" s="391">
        <f ca="1">IF(L16&lt;&gt;0,вРазн(L16,K16), 0)</f>
        <v>0</v>
      </c>
      <c r="O16" s="393">
        <f t="shared" ca="1" si="95"/>
        <v>0</v>
      </c>
      <c r="P16" s="394">
        <f t="shared" ca="1" si="12"/>
        <v>4.86111119389534E-2</v>
      </c>
      <c r="Q16" s="395"/>
      <c r="R16" s="390">
        <f t="shared" ca="1" si="96"/>
        <v>0.47013888971673118</v>
      </c>
      <c r="S16" s="391">
        <f t="shared" ca="1" si="97"/>
        <v>0.47013888888888888</v>
      </c>
      <c r="T16" s="392" t="str">
        <f ca="1">IF(S16&lt;&gt;0,вПМ(S16,R16),"")</f>
        <v/>
      </c>
      <c r="U16" s="391">
        <f ca="1">IF(S16&lt;&gt;0,вРазн(S16,R16), 0)</f>
        <v>0</v>
      </c>
      <c r="V16" s="393">
        <f t="shared" ca="1" si="98"/>
        <v>0</v>
      </c>
      <c r="W16" s="394">
        <f t="shared" ca="1" si="16"/>
        <v>4.86111119389534E-2</v>
      </c>
      <c r="X16" s="391"/>
      <c r="Y16" s="395">
        <f t="shared" ca="1" si="99"/>
        <v>0</v>
      </c>
      <c r="Z16" s="390">
        <f t="shared" ca="1" si="100"/>
        <v>0.52152777860562005</v>
      </c>
      <c r="AA16" s="391">
        <f t="shared" ca="1" si="101"/>
        <v>0.52152777777777781</v>
      </c>
      <c r="AB16" s="392" t="str">
        <f ca="1">IF(AA16&lt;&gt;0,вПМ(AA16,Z16),"")</f>
        <v/>
      </c>
      <c r="AC16" s="391">
        <f ca="1">IF(AA16&lt;&gt;0,вРазн(AA16,Z16), 0)</f>
        <v>0</v>
      </c>
      <c r="AD16" s="393">
        <f t="shared" ca="1" si="102"/>
        <v>0</v>
      </c>
      <c r="AE16" s="394">
        <f t="shared" ca="1" si="21"/>
        <v>2.43055559694767E-2</v>
      </c>
      <c r="AF16" s="391"/>
      <c r="AG16" s="395">
        <f t="shared" ca="1" si="103"/>
        <v>0</v>
      </c>
      <c r="AH16" s="390">
        <f t="shared" ca="1" si="104"/>
        <v>0.54583333374725451</v>
      </c>
      <c r="AI16" s="391">
        <f t="shared" ca="1" si="105"/>
        <v>0.54583333333333328</v>
      </c>
      <c r="AJ16" s="392" t="str">
        <f ca="1">IF(AI16&lt;&gt;0,вПМ(AI16,AH16),"")</f>
        <v/>
      </c>
      <c r="AK16" s="391">
        <f ca="1">IF(AI16&lt;&gt;0,вРазн(AI16,AH16), 0)</f>
        <v>0</v>
      </c>
      <c r="AL16" s="393">
        <f t="shared" ca="1" si="106"/>
        <v>0</v>
      </c>
      <c r="AM16" s="394">
        <f t="shared" ca="1" si="26"/>
        <v>2.43055559694767E-2</v>
      </c>
      <c r="AN16" s="391"/>
      <c r="AO16" s="395">
        <f t="shared" ca="1" si="107"/>
        <v>0</v>
      </c>
      <c r="AP16" s="390">
        <f t="shared" ca="1" si="108"/>
        <v>0.57013888930280998</v>
      </c>
      <c r="AQ16" s="391">
        <f t="shared" ca="1" si="109"/>
        <v>0.57013888888888886</v>
      </c>
      <c r="AR16" s="392" t="str">
        <f ca="1">IF(AQ16&lt;&gt;0,вПМ(AQ16,AP16),"")</f>
        <v/>
      </c>
      <c r="AS16" s="391">
        <f ca="1">IF(AQ16&lt;&gt;0,вРазн(AQ16,AP16), 0)</f>
        <v>0</v>
      </c>
      <c r="AT16" s="393">
        <f t="shared" ca="1" si="110"/>
        <v>0</v>
      </c>
      <c r="AU16" s="394">
        <f t="shared" ca="1" si="31"/>
        <v>3.125E-2</v>
      </c>
      <c r="AV16" s="391"/>
      <c r="AW16" s="395">
        <f t="shared" ca="1" si="111"/>
        <v>0</v>
      </c>
      <c r="AX16" s="390">
        <f t="shared" ca="1" si="112"/>
        <v>0.60347222222222219</v>
      </c>
      <c r="AY16" s="391">
        <f t="shared" ca="1" si="113"/>
        <v>0.60347222222222219</v>
      </c>
      <c r="AZ16" s="392" t="str">
        <f ca="1">IF(AY16&lt;&gt;0,вПМ(AY16,AX16),"")</f>
        <v/>
      </c>
      <c r="BA16" s="391">
        <f ca="1">IF(AY16&lt;&gt;0,вРазн(AY16,AX16), 0)</f>
        <v>0</v>
      </c>
      <c r="BB16" s="393">
        <f t="shared" ca="1" si="114"/>
        <v>0</v>
      </c>
      <c r="BC16" s="394">
        <f t="shared" ca="1" si="36"/>
        <v>4.1666667908430099E-2</v>
      </c>
      <c r="BD16" s="391"/>
      <c r="BE16" s="395">
        <f t="shared" ca="1" si="115"/>
        <v>0</v>
      </c>
      <c r="BF16" s="390">
        <f t="shared" ca="1" si="116"/>
        <v>0.64513889013065229</v>
      </c>
      <c r="BG16" s="391">
        <f t="shared" ca="1" si="117"/>
        <v>0.64513888888888882</v>
      </c>
      <c r="BH16" s="392" t="str">
        <f ca="1">IF(BG16&lt;&gt;0,вПМ(BG16,BF16),"")</f>
        <v>-</v>
      </c>
      <c r="BI16" s="391">
        <f ca="1">IF(BG16&lt;&gt;0,вРазн(BG16,BF16), 0)</f>
        <v>0</v>
      </c>
      <c r="BJ16" s="393">
        <f t="shared" ca="1" si="118"/>
        <v>0</v>
      </c>
      <c r="BK16" s="394">
        <f t="shared" ca="1" si="41"/>
        <v>2.777777798473835E-2</v>
      </c>
      <c r="BL16" s="391"/>
      <c r="BM16" s="395">
        <f t="shared" ca="1" si="119"/>
        <v>0</v>
      </c>
      <c r="BN16" s="390">
        <f t="shared" ca="1" si="120"/>
        <v>0.67291666687362717</v>
      </c>
      <c r="BO16" s="391">
        <f t="shared" ca="1" si="121"/>
        <v>0.6694444444444444</v>
      </c>
      <c r="BP16" s="392" t="str">
        <f ca="1">IF(BO16&lt;&gt;0,вПМ(BO16,BN16),"")</f>
        <v>-</v>
      </c>
      <c r="BQ16" s="391">
        <f ca="1">IF(BO16&lt;&gt;0,вРазн(BO16,BN16), 0)</f>
        <v>3.4722089767456055E-3</v>
      </c>
      <c r="BR16" s="396">
        <f t="shared" ca="1" si="122"/>
        <v>0</v>
      </c>
      <c r="BS16" s="390">
        <f t="shared" ca="1" si="46"/>
        <v>0</v>
      </c>
      <c r="BT16" s="391">
        <f t="shared" ca="1" si="123"/>
        <v>0</v>
      </c>
      <c r="BU16" s="391">
        <f t="shared" ca="1" si="124"/>
        <v>0</v>
      </c>
      <c r="BV16" s="401">
        <f t="shared" ca="1" si="125"/>
        <v>66.2</v>
      </c>
      <c r="BW16" s="401">
        <f t="shared" ca="1" si="126"/>
        <v>0</v>
      </c>
      <c r="BX16" s="392">
        <f t="shared" ca="1" si="127"/>
        <v>0</v>
      </c>
      <c r="BY16" s="392">
        <f t="shared" ca="1" si="128"/>
        <v>0</v>
      </c>
      <c r="BZ16" s="392">
        <f t="shared" ca="1" si="129"/>
        <v>0</v>
      </c>
      <c r="CA16" s="462">
        <f t="shared" ca="1" si="130"/>
        <v>198.60000000000002</v>
      </c>
      <c r="CB16" s="390">
        <f t="shared" ca="1" si="52"/>
        <v>0.47291666666666665</v>
      </c>
      <c r="CC16" s="391">
        <f t="shared" ca="1" si="131"/>
        <v>0.47291666666666665</v>
      </c>
      <c r="CD16" s="391">
        <f ca="1">IF(OR(CB16=0,CC16=0),0,вРазн(CC16,CB16))</f>
        <v>0</v>
      </c>
      <c r="CE16" s="391"/>
      <c r="CF16" s="391"/>
      <c r="CG16" s="397">
        <f t="shared" ca="1" si="132"/>
        <v>0.48070601851851852</v>
      </c>
      <c r="CH16" s="398">
        <f t="shared" ca="1" si="54"/>
        <v>0.48079861111111111</v>
      </c>
      <c r="CI16" s="399" t="str">
        <f ca="1">IF(CH16&lt;&gt;0,вПМ(CH16,CG16,"s"),"")</f>
        <v>+</v>
      </c>
      <c r="CJ16" s="398">
        <f ca="1">IF(CH16&lt;&gt;0,вРазн(CH16,CG16,"s"), 0)</f>
        <v>9.2595815658569336E-5</v>
      </c>
      <c r="CK16" s="462">
        <f t="shared" ca="1" si="133"/>
        <v>8</v>
      </c>
      <c r="CL16" s="397">
        <f t="shared" ca="1" si="134"/>
        <v>0.49505787037037036</v>
      </c>
      <c r="CM16" s="398">
        <f t="shared" ca="1" si="57"/>
        <v>0.49443287037037037</v>
      </c>
      <c r="CN16" s="392" t="str">
        <f ca="1">IF(AND(CM16&lt;&gt;0,CL16&lt;&gt;0),вПМ(CM16,CL16,"s"),"")</f>
        <v>-</v>
      </c>
      <c r="CO16" s="398">
        <f ca="1">IF(AND(CM16&lt;&gt;0,CL16&lt;&gt;0),вРазн(CM16,CL16,"s"), 0)</f>
        <v>6.2501430511474609E-4</v>
      </c>
      <c r="CP16" s="462">
        <f t="shared" ca="1" si="135"/>
        <v>54</v>
      </c>
      <c r="CQ16" s="390">
        <f t="shared" ca="1" si="59"/>
        <v>0.57222222222222219</v>
      </c>
      <c r="CR16" s="391">
        <f t="shared" ca="1" si="136"/>
        <v>0.57222222222222219</v>
      </c>
      <c r="CS16" s="391">
        <f ca="1">IF(OR(CQ16=0,CR16=0),0,вРазн(CR16,CQ16))</f>
        <v>0</v>
      </c>
      <c r="CT16" s="391"/>
      <c r="CU16" s="391"/>
      <c r="CV16" s="397">
        <f t="shared" ca="1" si="137"/>
        <v>0.57917824074074076</v>
      </c>
      <c r="CW16" s="398">
        <f t="shared" ca="1" si="61"/>
        <v>0.57969907407407406</v>
      </c>
      <c r="CX16" s="399" t="str">
        <f ca="1">IF(CW16&lt;&gt;0,вПМ(CW16,CV16,"s"),"")</f>
        <v>+</v>
      </c>
      <c r="CY16" s="398">
        <f ca="1">IF(CW16&lt;&gt;0,вРазн(CW16,CV16,"s"), 0)</f>
        <v>5.2088499069213867E-4</v>
      </c>
      <c r="CZ16" s="462">
        <f t="shared" ca="1" si="138"/>
        <v>45</v>
      </c>
      <c r="DA16" s="397">
        <f t="shared" ca="1" si="139"/>
        <v>0.58018518518518514</v>
      </c>
      <c r="DB16" s="398">
        <f t="shared" ca="1" si="64"/>
        <v>0.58020833333333333</v>
      </c>
      <c r="DC16" s="392" t="str">
        <f ca="1">IF(AND(DB16&lt;&gt;0,DA16&lt;&gt;0),вПМ(DB16,DA16,"s"),"")</f>
        <v>+</v>
      </c>
      <c r="DD16" s="398">
        <f ca="1">IF(AND(DB16&lt;&gt;0,DA16&lt;&gt;0),вРазн(DB16,DA16,"s"), 0)</f>
        <v>2.3186206817626953E-5</v>
      </c>
      <c r="DE16" s="462">
        <f t="shared" ca="1" si="140"/>
        <v>2</v>
      </c>
      <c r="DF16" s="390">
        <f t="shared" ca="1" si="66"/>
        <v>0</v>
      </c>
      <c r="DG16" s="391">
        <f t="shared" ca="1" si="141"/>
        <v>0</v>
      </c>
      <c r="DH16" s="391">
        <f t="shared" ca="1" si="142"/>
        <v>0</v>
      </c>
      <c r="DI16" s="401">
        <f t="shared" ca="1" si="143"/>
        <v>43.5</v>
      </c>
      <c r="DJ16" s="401">
        <f t="shared" ca="1" si="144"/>
        <v>0</v>
      </c>
      <c r="DK16" s="392">
        <f t="shared" ca="1" si="145"/>
        <v>0</v>
      </c>
      <c r="DL16" s="392">
        <f t="shared" ca="1" si="146"/>
        <v>0</v>
      </c>
      <c r="DM16" s="392">
        <f t="shared" ca="1" si="147"/>
        <v>0</v>
      </c>
      <c r="DN16" s="462">
        <f t="shared" ca="1" si="148"/>
        <v>130.5</v>
      </c>
      <c r="DO16" s="402">
        <f t="shared" ca="1" si="72"/>
        <v>0</v>
      </c>
      <c r="DP16" s="400">
        <f t="shared" ca="1" si="149"/>
        <v>0</v>
      </c>
      <c r="DQ16" s="402">
        <f t="shared" ca="1" si="72"/>
        <v>0</v>
      </c>
      <c r="DR16" s="400">
        <f t="shared" ca="1" si="150"/>
        <v>480</v>
      </c>
      <c r="DS16" s="390">
        <f t="shared" ca="1" si="75"/>
        <v>0.65277777777777779</v>
      </c>
      <c r="DT16" s="396">
        <f t="shared" ca="1" si="151"/>
        <v>0</v>
      </c>
      <c r="DU16" s="390">
        <f t="shared" ca="1" si="75"/>
        <v>0.66388888888888886</v>
      </c>
      <c r="DV16" s="396">
        <f t="shared" ca="1" si="152"/>
        <v>0</v>
      </c>
      <c r="DW16" s="459"/>
      <c r="DX16" s="459"/>
      <c r="DY16" s="459"/>
      <c r="DZ16" s="459"/>
      <c r="EA16" s="459"/>
      <c r="EB16" s="459"/>
      <c r="EC16" s="459"/>
      <c r="ED16" s="459"/>
      <c r="EE16" s="459"/>
      <c r="EF16" s="459"/>
      <c r="EG16" s="459"/>
      <c r="EH16" s="459"/>
      <c r="EI16" s="459"/>
      <c r="EJ16" s="459"/>
      <c r="EK16" s="459"/>
      <c r="EL16" s="459"/>
      <c r="EM16" s="459"/>
      <c r="EN16" s="459"/>
      <c r="EO16" s="459"/>
      <c r="EP16" s="459"/>
      <c r="EQ16" s="459"/>
      <c r="ER16" s="459"/>
      <c r="ES16" s="459"/>
      <c r="ET16" s="459"/>
      <c r="EU16" s="390" t="e">
        <f t="shared" ca="1" si="153"/>
        <v>#VALUE!</v>
      </c>
      <c r="EV16" s="391">
        <f t="shared" ca="1" si="154"/>
        <v>0</v>
      </c>
      <c r="EW16" s="392" t="e">
        <f ca="1">IF(AND(EV16&lt;&gt;0,EU16&lt;&gt;0),вПМ(EV16,EU16),"")</f>
        <v>#VALUE!</v>
      </c>
      <c r="EX16" s="391">
        <f ca="1">IF(EV16&lt;&gt;0,вРазн(EV16,EU16), 0)</f>
        <v>0</v>
      </c>
      <c r="EY16" s="396">
        <f t="shared" ca="1" si="155"/>
        <v>900</v>
      </c>
      <c r="EZ16" s="390">
        <f t="shared" ca="1" si="81"/>
        <v>0</v>
      </c>
      <c r="FA16" s="391">
        <f t="shared" ca="1" si="156"/>
        <v>0</v>
      </c>
      <c r="FB16" s="391">
        <f t="shared" ca="1" si="157"/>
        <v>0</v>
      </c>
      <c r="FC16" s="401">
        <f t="shared" ca="1" si="158"/>
        <v>66.2</v>
      </c>
      <c r="FD16" s="401">
        <f t="shared" ca="1" si="159"/>
        <v>0</v>
      </c>
      <c r="FE16" s="401">
        <f t="shared" ca="1" si="160"/>
        <v>0</v>
      </c>
      <c r="FF16" s="392">
        <f t="shared" ca="1" si="161"/>
        <v>0</v>
      </c>
      <c r="FG16" s="392">
        <f t="shared" ca="1" si="162"/>
        <v>0</v>
      </c>
      <c r="FH16" s="462">
        <f t="shared" ca="1" si="163"/>
        <v>198.60000000000002</v>
      </c>
      <c r="FI16" s="403"/>
    </row>
    <row r="17" spans="1:165" s="20" customFormat="1" x14ac:dyDescent="0.25">
      <c r="A17" s="253">
        <f>стартоваяВедомость!B17</f>
        <v>8</v>
      </c>
      <c r="B17" s="241" t="str">
        <f t="shared" ca="1" si="1"/>
        <v xml:space="preserve">Фольцваген джетта </v>
      </c>
      <c r="C17" s="241" t="str">
        <f t="shared" ca="1" si="2"/>
        <v>Курносов Алексей</v>
      </c>
      <c r="D17" s="241" t="str">
        <f t="shared" ca="1" si="3"/>
        <v>Гниленкова Анастасия</v>
      </c>
      <c r="E17" s="241" t="str">
        <f t="shared" ca="1" si="4"/>
        <v>Смоленск</v>
      </c>
      <c r="F17" s="241" t="str">
        <f t="shared" ca="1" si="5"/>
        <v>Light, Кубок</v>
      </c>
      <c r="G17" s="487">
        <f t="shared" ca="1" si="90"/>
        <v>4718.7</v>
      </c>
      <c r="H17" s="487">
        <f t="shared" ca="1" si="91"/>
        <v>2160</v>
      </c>
      <c r="I17" s="487">
        <f t="shared" ca="1" si="92"/>
        <v>1118.6999999999998</v>
      </c>
      <c r="J17" s="487">
        <f t="shared" ca="1" si="93"/>
        <v>1440</v>
      </c>
      <c r="K17" s="242">
        <f t="shared" ca="1" si="9"/>
        <v>0.42222222222222222</v>
      </c>
      <c r="L17" s="122">
        <f t="shared" ca="1" si="94"/>
        <v>0.42222222222222222</v>
      </c>
      <c r="M17" s="243" t="str">
        <f ca="1">IF(L17&lt;&gt;0,вПМ(L17,K17),"")</f>
        <v/>
      </c>
      <c r="N17" s="122">
        <f ca="1">IF(L17&lt;&gt;0,вРазн(L17,K17), 0)</f>
        <v>0</v>
      </c>
      <c r="O17" s="301">
        <f t="shared" ca="1" si="95"/>
        <v>0</v>
      </c>
      <c r="P17" s="300">
        <f t="shared" ca="1" si="12"/>
        <v>4.86111119389534E-2</v>
      </c>
      <c r="Q17" s="294"/>
      <c r="R17" s="242">
        <f t="shared" ca="1" si="96"/>
        <v>0.47083333416117562</v>
      </c>
      <c r="S17" s="122">
        <f t="shared" ca="1" si="97"/>
        <v>0.47083333333333338</v>
      </c>
      <c r="T17" s="243" t="str">
        <f ca="1">IF(S17&lt;&gt;0,вПМ(S17,R17),"")</f>
        <v/>
      </c>
      <c r="U17" s="122">
        <f ca="1">IF(S17&lt;&gt;0,вРазн(S17,R17), 0)</f>
        <v>0</v>
      </c>
      <c r="V17" s="301">
        <f t="shared" ca="1" si="98"/>
        <v>0</v>
      </c>
      <c r="W17" s="300">
        <f t="shared" ca="1" si="16"/>
        <v>4.86111119389534E-2</v>
      </c>
      <c r="X17" s="122"/>
      <c r="Y17" s="294">
        <f t="shared" ca="1" si="99"/>
        <v>0</v>
      </c>
      <c r="Z17" s="242">
        <f t="shared" ca="1" si="100"/>
        <v>0.5222222230500646</v>
      </c>
      <c r="AA17" s="122">
        <f t="shared" ca="1" si="101"/>
        <v>0.52222222222222225</v>
      </c>
      <c r="AB17" s="243" t="str">
        <f ca="1">IF(AA17&lt;&gt;0,вПМ(AA17,Z17),"")</f>
        <v/>
      </c>
      <c r="AC17" s="122">
        <f ca="1">IF(AA17&lt;&gt;0,вРазн(AA17,Z17), 0)</f>
        <v>0</v>
      </c>
      <c r="AD17" s="301">
        <f t="shared" ca="1" si="102"/>
        <v>0</v>
      </c>
      <c r="AE17" s="300">
        <f t="shared" ca="1" si="21"/>
        <v>2.43055559694767E-2</v>
      </c>
      <c r="AF17" s="122"/>
      <c r="AG17" s="294">
        <f t="shared" ca="1" si="103"/>
        <v>0</v>
      </c>
      <c r="AH17" s="242">
        <f t="shared" ca="1" si="104"/>
        <v>0.54652777819169895</v>
      </c>
      <c r="AI17" s="122">
        <f t="shared" ca="1" si="105"/>
        <v>0.55069444444444449</v>
      </c>
      <c r="AJ17" s="243" t="str">
        <f ca="1">IF(AI17&lt;&gt;0,вПМ(AI17,AH17),"")</f>
        <v>+</v>
      </c>
      <c r="AK17" s="122">
        <f ca="1">IF(AI17&lt;&gt;0,вРазн(AI17,AH17), 0)</f>
        <v>4.1666626930236816E-3</v>
      </c>
      <c r="AL17" s="301">
        <f t="shared" ca="1" si="106"/>
        <v>360</v>
      </c>
      <c r="AM17" s="300">
        <f t="shared" ca="1" si="26"/>
        <v>2.43055559694767E-2</v>
      </c>
      <c r="AN17" s="122"/>
      <c r="AO17" s="294">
        <f t="shared" ca="1" si="107"/>
        <v>0</v>
      </c>
      <c r="AP17" s="242">
        <f t="shared" ca="1" si="108"/>
        <v>0.57500000041392119</v>
      </c>
      <c r="AQ17" s="122">
        <f t="shared" ca="1" si="109"/>
        <v>0.57500000000000007</v>
      </c>
      <c r="AR17" s="243" t="str">
        <f ca="1">IF(AQ17&lt;&gt;0,вПМ(AQ17,AP17),"")</f>
        <v/>
      </c>
      <c r="AS17" s="122">
        <f ca="1">IF(AQ17&lt;&gt;0,вРазн(AQ17,AP17), 0)</f>
        <v>0</v>
      </c>
      <c r="AT17" s="301">
        <f t="shared" ca="1" si="110"/>
        <v>0</v>
      </c>
      <c r="AU17" s="300">
        <f t="shared" ca="1" si="31"/>
        <v>3.125E-2</v>
      </c>
      <c r="AV17" s="122"/>
      <c r="AW17" s="294">
        <f t="shared" ca="1" si="111"/>
        <v>0</v>
      </c>
      <c r="AX17" s="242">
        <f t="shared" ca="1" si="112"/>
        <v>0.60902777777777783</v>
      </c>
      <c r="AY17" s="122">
        <f t="shared" ca="1" si="113"/>
        <v>0.60902777777777783</v>
      </c>
      <c r="AZ17" s="243" t="str">
        <f ca="1">IF(AY17&lt;&gt;0,вПМ(AY17,AX17),"")</f>
        <v/>
      </c>
      <c r="BA17" s="122">
        <f ca="1">IF(AY17&lt;&gt;0,вРазн(AY17,AX17), 0)</f>
        <v>0</v>
      </c>
      <c r="BB17" s="301">
        <f t="shared" ca="1" si="114"/>
        <v>0</v>
      </c>
      <c r="BC17" s="300">
        <f t="shared" ca="1" si="36"/>
        <v>4.1666667908430099E-2</v>
      </c>
      <c r="BD17" s="122"/>
      <c r="BE17" s="294">
        <f t="shared" ca="1" si="115"/>
        <v>0</v>
      </c>
      <c r="BF17" s="242">
        <f t="shared" ca="1" si="116"/>
        <v>0.65069444568620793</v>
      </c>
      <c r="BG17" s="122">
        <f t="shared" ca="1" si="117"/>
        <v>0.65069444444444446</v>
      </c>
      <c r="BH17" s="243" t="str">
        <f ca="1">IF(BG17&lt;&gt;0,вПМ(BG17,BF17),"")</f>
        <v/>
      </c>
      <c r="BI17" s="122">
        <f ca="1">IF(BG17&lt;&gt;0,вРазн(BG17,BF17), 0)</f>
        <v>0</v>
      </c>
      <c r="BJ17" s="301">
        <f t="shared" ca="1" si="118"/>
        <v>0</v>
      </c>
      <c r="BK17" s="300">
        <f t="shared" ca="1" si="41"/>
        <v>2.777777798473835E-2</v>
      </c>
      <c r="BL17" s="122"/>
      <c r="BM17" s="294">
        <f t="shared" ca="1" si="119"/>
        <v>0</v>
      </c>
      <c r="BN17" s="242">
        <f t="shared" ca="1" si="120"/>
        <v>0.67847222242918281</v>
      </c>
      <c r="BO17" s="122">
        <f t="shared" ca="1" si="121"/>
        <v>0.6743055555555556</v>
      </c>
      <c r="BP17" s="243" t="str">
        <f ca="1">IF(BO17&lt;&gt;0,вПМ(BO17,BN17),"")</f>
        <v>-</v>
      </c>
      <c r="BQ17" s="122">
        <f ca="1">IF(BO17&lt;&gt;0,вРазн(BO17,BN17), 0)</f>
        <v>4.1666626930236816E-3</v>
      </c>
      <c r="BR17" s="244">
        <f t="shared" ca="1" si="122"/>
        <v>0</v>
      </c>
      <c r="BS17" s="242">
        <f t="shared" ca="1" si="46"/>
        <v>0</v>
      </c>
      <c r="BT17" s="122">
        <f t="shared" ca="1" si="123"/>
        <v>0</v>
      </c>
      <c r="BU17" s="122">
        <f t="shared" ca="1" si="124"/>
        <v>0</v>
      </c>
      <c r="BV17" s="248">
        <f t="shared" ca="1" si="125"/>
        <v>65.099999999999994</v>
      </c>
      <c r="BW17" s="248">
        <f t="shared" ca="1" si="126"/>
        <v>0</v>
      </c>
      <c r="BX17" s="243">
        <f t="shared" ca="1" si="127"/>
        <v>0</v>
      </c>
      <c r="BY17" s="243">
        <f t="shared" ca="1" si="128"/>
        <v>0</v>
      </c>
      <c r="BZ17" s="243" t="str">
        <f t="shared" ca="1" si="129"/>
        <v>да</v>
      </c>
      <c r="CA17" s="463">
        <f t="shared" ca="1" si="130"/>
        <v>495.29999999999995</v>
      </c>
      <c r="CB17" s="242">
        <f t="shared" ca="1" si="52"/>
        <v>0.47361111111111115</v>
      </c>
      <c r="CC17" s="122">
        <f t="shared" ca="1" si="131"/>
        <v>0.47361111111111115</v>
      </c>
      <c r="CD17" s="122">
        <f ca="1">IF(OR(CB17=0,CC17=0),0,вРазн(CC17,CB17))</f>
        <v>0</v>
      </c>
      <c r="CE17" s="122"/>
      <c r="CF17" s="122"/>
      <c r="CG17" s="247">
        <f t="shared" ca="1" si="132"/>
        <v>0.48140046296296302</v>
      </c>
      <c r="CH17" s="245">
        <f t="shared" ca="1" si="54"/>
        <v>0.48092592592592592</v>
      </c>
      <c r="CI17" s="240" t="str">
        <f ca="1">IF(CH17&lt;&gt;0,вПМ(CH17,CG17,"s"),"")</f>
        <v>-</v>
      </c>
      <c r="CJ17" s="245">
        <f ca="1">IF(CH17&lt;&gt;0,вРазн(CH17,CG17,"s"), 0)</f>
        <v>4.7454237937927246E-4</v>
      </c>
      <c r="CK17" s="463">
        <f t="shared" ca="1" si="133"/>
        <v>41</v>
      </c>
      <c r="CL17" s="247">
        <f t="shared" ca="1" si="134"/>
        <v>0.49518518518518517</v>
      </c>
      <c r="CM17" s="245">
        <f t="shared" ca="1" si="57"/>
        <v>0.49459490740740741</v>
      </c>
      <c r="CN17" s="243" t="str">
        <f ca="1">IF(AND(CM17&lt;&gt;0,CL17&lt;&gt;0),вПМ(CM17,CL17,"s"),"")</f>
        <v>-</v>
      </c>
      <c r="CO17" s="245">
        <f ca="1">IF(AND(CM17&lt;&gt;0,CL17&lt;&gt;0),вРазн(CM17,CL17,"s"), 0)</f>
        <v>5.9029459953308105E-4</v>
      </c>
      <c r="CP17" s="463">
        <f t="shared" ca="1" si="135"/>
        <v>51</v>
      </c>
      <c r="CQ17" s="242">
        <f t="shared" ca="1" si="59"/>
        <v>0.57777777777777783</v>
      </c>
      <c r="CR17" s="122">
        <f t="shared" ca="1" si="136"/>
        <v>0.57777777777777783</v>
      </c>
      <c r="CS17" s="122">
        <f ca="1">IF(OR(CQ17=0,CR17=0),0,вРазн(CR17,CQ17))</f>
        <v>0</v>
      </c>
      <c r="CT17" s="122"/>
      <c r="CU17" s="122"/>
      <c r="CV17" s="247">
        <f t="shared" ca="1" si="137"/>
        <v>0.5847337962962964</v>
      </c>
      <c r="CW17" s="245">
        <f t="shared" ca="1" si="61"/>
        <v>0.58562499999999995</v>
      </c>
      <c r="CX17" s="240" t="str">
        <f ca="1">IF(CW17&lt;&gt;0,вПМ(CW17,CV17,"s"),"")</f>
        <v>+</v>
      </c>
      <c r="CY17" s="245">
        <f ca="1">IF(CW17&lt;&gt;0,вРазн(CW17,CV17,"s"), 0)</f>
        <v>8.9120864868164063E-4</v>
      </c>
      <c r="CZ17" s="463">
        <f t="shared" ca="1" si="138"/>
        <v>77</v>
      </c>
      <c r="DA17" s="247">
        <f t="shared" ca="1" si="139"/>
        <v>0.58611111111111103</v>
      </c>
      <c r="DB17" s="245">
        <f t="shared" ca="1" si="64"/>
        <v>0.58627314814814813</v>
      </c>
      <c r="DC17" s="243" t="str">
        <f ca="1">IF(AND(DB17&lt;&gt;0,DA17&lt;&gt;0),вПМ(DB17,DA17,"s"),"")</f>
        <v>+</v>
      </c>
      <c r="DD17" s="245">
        <f ca="1">IF(AND(DB17&lt;&gt;0,DA17&lt;&gt;0),вРазн(DB17,DA17,"s"), 0)</f>
        <v>1.6200542449951172E-4</v>
      </c>
      <c r="DE17" s="463">
        <f t="shared" ca="1" si="140"/>
        <v>14</v>
      </c>
      <c r="DF17" s="242">
        <f t="shared" ca="1" si="66"/>
        <v>0</v>
      </c>
      <c r="DG17" s="122">
        <f t="shared" ca="1" si="141"/>
        <v>0</v>
      </c>
      <c r="DH17" s="122">
        <f t="shared" ca="1" si="142"/>
        <v>0</v>
      </c>
      <c r="DI17" s="248">
        <f t="shared" ca="1" si="143"/>
        <v>46.8</v>
      </c>
      <c r="DJ17" s="248">
        <f t="shared" ca="1" si="144"/>
        <v>0</v>
      </c>
      <c r="DK17" s="243">
        <f t="shared" ca="1" si="145"/>
        <v>0</v>
      </c>
      <c r="DL17" s="243">
        <f t="shared" ca="1" si="146"/>
        <v>0</v>
      </c>
      <c r="DM17" s="243" t="str">
        <f t="shared" ca="1" si="147"/>
        <v>да</v>
      </c>
      <c r="DN17" s="463">
        <f t="shared" ca="1" si="148"/>
        <v>440.4</v>
      </c>
      <c r="DO17" s="249">
        <f t="shared" ca="1" si="72"/>
        <v>0</v>
      </c>
      <c r="DP17" s="246">
        <f t="shared" ca="1" si="149"/>
        <v>0</v>
      </c>
      <c r="DQ17" s="249">
        <f t="shared" ca="1" si="72"/>
        <v>0</v>
      </c>
      <c r="DR17" s="246">
        <f t="shared" ca="1" si="150"/>
        <v>1440</v>
      </c>
      <c r="DS17" s="242">
        <f t="shared" ca="1" si="75"/>
        <v>0</v>
      </c>
      <c r="DT17" s="244">
        <f t="shared" ca="1" si="151"/>
        <v>900</v>
      </c>
      <c r="DU17" s="242">
        <f t="shared" ca="1" si="75"/>
        <v>0</v>
      </c>
      <c r="DV17" s="244">
        <f t="shared" ca="1" si="152"/>
        <v>900</v>
      </c>
      <c r="DW17" s="459"/>
      <c r="DX17" s="459"/>
      <c r="DY17" s="459"/>
      <c r="DZ17" s="459"/>
      <c r="EA17" s="459"/>
      <c r="EB17" s="459"/>
      <c r="EC17" s="459"/>
      <c r="ED17" s="459"/>
      <c r="EE17" s="459"/>
      <c r="EF17" s="459"/>
      <c r="EG17" s="459"/>
      <c r="EH17" s="459"/>
      <c r="EI17" s="459"/>
      <c r="EJ17" s="459"/>
      <c r="EK17" s="459"/>
      <c r="EL17" s="459"/>
      <c r="EM17" s="459"/>
      <c r="EN17" s="459"/>
      <c r="EO17" s="459"/>
      <c r="EP17" s="459"/>
      <c r="EQ17" s="459"/>
      <c r="ER17" s="459"/>
      <c r="ES17" s="459"/>
      <c r="ET17" s="459"/>
      <c r="EU17" s="242" t="e">
        <f t="shared" ca="1" si="153"/>
        <v>#VALUE!</v>
      </c>
      <c r="EV17" s="122">
        <f t="shared" ca="1" si="154"/>
        <v>0</v>
      </c>
      <c r="EW17" s="243" t="e">
        <f ca="1">IF(AND(EV17&lt;&gt;0,EU17&lt;&gt;0),вПМ(EV17,EU17),"")</f>
        <v>#VALUE!</v>
      </c>
      <c r="EX17" s="122">
        <f ca="1">IF(EV17&lt;&gt;0,вРазн(EV17,EU17), 0)</f>
        <v>0</v>
      </c>
      <c r="EY17" s="244">
        <f t="shared" ca="1" si="155"/>
        <v>900</v>
      </c>
      <c r="EZ17" s="242">
        <f t="shared" ca="1" si="81"/>
        <v>0</v>
      </c>
      <c r="FA17" s="122">
        <f t="shared" ca="1" si="156"/>
        <v>0</v>
      </c>
      <c r="FB17" s="122">
        <f t="shared" ca="1" si="157"/>
        <v>0</v>
      </c>
      <c r="FC17" s="248">
        <f t="shared" ca="1" si="158"/>
        <v>65.099999999999994</v>
      </c>
      <c r="FD17" s="248">
        <f t="shared" ca="1" si="159"/>
        <v>0</v>
      </c>
      <c r="FE17" s="248">
        <f t="shared" ca="1" si="160"/>
        <v>0</v>
      </c>
      <c r="FF17" s="243">
        <f t="shared" ca="1" si="161"/>
        <v>0</v>
      </c>
      <c r="FG17" s="243" t="str">
        <f t="shared" ca="1" si="162"/>
        <v>да</v>
      </c>
      <c r="FH17" s="463">
        <f t="shared" ca="1" si="163"/>
        <v>255.29999999999998</v>
      </c>
    </row>
    <row r="18" spans="1:165" s="236" customFormat="1" x14ac:dyDescent="0.25">
      <c r="A18" s="388">
        <f>стартоваяВедомость!B18</f>
        <v>9</v>
      </c>
      <c r="B18" s="389" t="str">
        <f t="shared" ca="1" si="1"/>
        <v>Chevrolet Aveo</v>
      </c>
      <c r="C18" s="389" t="str">
        <f t="shared" ca="1" si="2"/>
        <v>Шкредов Артём</v>
      </c>
      <c r="D18" s="389" t="str">
        <f t="shared" ca="1" si="3"/>
        <v>Шкапин Павел</v>
      </c>
      <c r="E18" s="389" t="str">
        <f t="shared" ca="1" si="4"/>
        <v>Смоленск</v>
      </c>
      <c r="F18" s="389" t="str">
        <f t="shared" ca="1" si="5"/>
        <v>Light, Аэропорт</v>
      </c>
      <c r="G18" s="486">
        <f t="shared" ca="1" si="90"/>
        <v>3975.7</v>
      </c>
      <c r="H18" s="486">
        <f t="shared" ca="1" si="91"/>
        <v>900</v>
      </c>
      <c r="I18" s="486">
        <f t="shared" ca="1" si="92"/>
        <v>1155.7</v>
      </c>
      <c r="J18" s="486">
        <f t="shared" ca="1" si="93"/>
        <v>1920</v>
      </c>
      <c r="K18" s="390">
        <f t="shared" ca="1" si="9"/>
        <v>0.42291666666666666</v>
      </c>
      <c r="L18" s="391">
        <f t="shared" ca="1" si="94"/>
        <v>0.42291666666666666</v>
      </c>
      <c r="M18" s="392" t="str">
        <f ca="1">IF(L18&lt;&gt;0,вПМ(L18,K18),"")</f>
        <v/>
      </c>
      <c r="N18" s="391">
        <f ca="1">IF(L18&lt;&gt;0,вРазн(L18,K18), 0)</f>
        <v>0</v>
      </c>
      <c r="O18" s="393">
        <f t="shared" ca="1" si="95"/>
        <v>0</v>
      </c>
      <c r="P18" s="394">
        <f t="shared" ca="1" si="12"/>
        <v>4.86111119389534E-2</v>
      </c>
      <c r="Q18" s="395"/>
      <c r="R18" s="390">
        <f t="shared" ca="1" si="96"/>
        <v>0.47152777860562006</v>
      </c>
      <c r="S18" s="391">
        <f t="shared" ca="1" si="97"/>
        <v>0.47152777777777777</v>
      </c>
      <c r="T18" s="392" t="str">
        <f ca="1">IF(S18&lt;&gt;0,вПМ(S18,R18),"")</f>
        <v/>
      </c>
      <c r="U18" s="391">
        <f ca="1">IF(S18&lt;&gt;0,вРазн(S18,R18), 0)</f>
        <v>0</v>
      </c>
      <c r="V18" s="393">
        <f t="shared" ca="1" si="98"/>
        <v>0</v>
      </c>
      <c r="W18" s="394">
        <f t="shared" ca="1" si="16"/>
        <v>4.86111119389534E-2</v>
      </c>
      <c r="X18" s="391"/>
      <c r="Y18" s="395">
        <f t="shared" ca="1" si="99"/>
        <v>0</v>
      </c>
      <c r="Z18" s="390">
        <f t="shared" ca="1" si="100"/>
        <v>0.52291666749450894</v>
      </c>
      <c r="AA18" s="391">
        <f t="shared" ca="1" si="101"/>
        <v>0.5229166666666667</v>
      </c>
      <c r="AB18" s="392" t="str">
        <f ca="1">IF(AA18&lt;&gt;0,вПМ(AA18,Z18),"")</f>
        <v/>
      </c>
      <c r="AC18" s="391">
        <f ca="1">IF(AA18&lt;&gt;0,вРазн(AA18,Z18), 0)</f>
        <v>0</v>
      </c>
      <c r="AD18" s="393">
        <f t="shared" ca="1" si="102"/>
        <v>0</v>
      </c>
      <c r="AE18" s="394">
        <f t="shared" ca="1" si="21"/>
        <v>2.43055559694767E-2</v>
      </c>
      <c r="AF18" s="391"/>
      <c r="AG18" s="395">
        <f t="shared" ca="1" si="103"/>
        <v>0</v>
      </c>
      <c r="AH18" s="390">
        <f t="shared" ca="1" si="104"/>
        <v>0.5472222226361434</v>
      </c>
      <c r="AI18" s="391">
        <f t="shared" ca="1" si="105"/>
        <v>0.54722222222222217</v>
      </c>
      <c r="AJ18" s="392" t="str">
        <f ca="1">IF(AI18&lt;&gt;0,вПМ(AI18,AH18),"")</f>
        <v/>
      </c>
      <c r="AK18" s="391">
        <f ca="1">IF(AI18&lt;&gt;0,вРазн(AI18,AH18), 0)</f>
        <v>0</v>
      </c>
      <c r="AL18" s="393">
        <f t="shared" ca="1" si="106"/>
        <v>0</v>
      </c>
      <c r="AM18" s="394">
        <f t="shared" ca="1" si="26"/>
        <v>2.43055559694767E-2</v>
      </c>
      <c r="AN18" s="391"/>
      <c r="AO18" s="395">
        <f t="shared" ca="1" si="107"/>
        <v>0</v>
      </c>
      <c r="AP18" s="390">
        <f t="shared" ca="1" si="108"/>
        <v>0.57152777819169887</v>
      </c>
      <c r="AQ18" s="391">
        <f t="shared" ca="1" si="109"/>
        <v>0.57152777777777775</v>
      </c>
      <c r="AR18" s="392" t="str">
        <f ca="1">IF(AQ18&lt;&gt;0,вПМ(AQ18,AP18),"")</f>
        <v/>
      </c>
      <c r="AS18" s="391">
        <f ca="1">IF(AQ18&lt;&gt;0,вРазн(AQ18,AP18), 0)</f>
        <v>0</v>
      </c>
      <c r="AT18" s="393">
        <f t="shared" ca="1" si="110"/>
        <v>0</v>
      </c>
      <c r="AU18" s="394">
        <f t="shared" ca="1" si="31"/>
        <v>3.125E-2</v>
      </c>
      <c r="AV18" s="391"/>
      <c r="AW18" s="395">
        <f t="shared" ca="1" si="111"/>
        <v>0</v>
      </c>
      <c r="AX18" s="390">
        <f t="shared" ca="1" si="112"/>
        <v>0.60486111111111118</v>
      </c>
      <c r="AY18" s="391">
        <f t="shared" ca="1" si="113"/>
        <v>0.60486111111111118</v>
      </c>
      <c r="AZ18" s="392" t="str">
        <f ca="1">IF(AY18&lt;&gt;0,вПМ(AY18,AX18),"")</f>
        <v/>
      </c>
      <c r="BA18" s="391">
        <f ca="1">IF(AY18&lt;&gt;0,вРазн(AY18,AX18), 0)</f>
        <v>0</v>
      </c>
      <c r="BB18" s="393">
        <f t="shared" ca="1" si="114"/>
        <v>0</v>
      </c>
      <c r="BC18" s="394">
        <f t="shared" ca="1" si="36"/>
        <v>4.1666667908430099E-2</v>
      </c>
      <c r="BD18" s="391"/>
      <c r="BE18" s="395">
        <f t="shared" ca="1" si="115"/>
        <v>0</v>
      </c>
      <c r="BF18" s="390">
        <f t="shared" ca="1" si="116"/>
        <v>0.64652777901954128</v>
      </c>
      <c r="BG18" s="391">
        <f t="shared" ca="1" si="117"/>
        <v>0.64652777777777781</v>
      </c>
      <c r="BH18" s="392" t="str">
        <f ca="1">IF(BG18&lt;&gt;0,вПМ(BG18,BF18),"")</f>
        <v/>
      </c>
      <c r="BI18" s="391">
        <f ca="1">IF(BG18&lt;&gt;0,вРазн(BG18,BF18), 0)</f>
        <v>0</v>
      </c>
      <c r="BJ18" s="393">
        <f t="shared" ca="1" si="118"/>
        <v>0</v>
      </c>
      <c r="BK18" s="394">
        <f t="shared" ca="1" si="41"/>
        <v>2.777777798473835E-2</v>
      </c>
      <c r="BL18" s="391"/>
      <c r="BM18" s="395">
        <f t="shared" ca="1" si="119"/>
        <v>0</v>
      </c>
      <c r="BN18" s="390">
        <f t="shared" ca="1" si="120"/>
        <v>0.67430555576251616</v>
      </c>
      <c r="BO18" s="391">
        <f t="shared" ca="1" si="121"/>
        <v>0.67361111111111116</v>
      </c>
      <c r="BP18" s="392" t="str">
        <f ca="1">IF(BO18&lt;&gt;0,вПМ(BO18,BN18),"")</f>
        <v>-</v>
      </c>
      <c r="BQ18" s="391">
        <f ca="1">IF(BO18&lt;&gt;0,вРазн(BO18,BN18), 0)</f>
        <v>6.9445371627807617E-4</v>
      </c>
      <c r="BR18" s="396">
        <f t="shared" ca="1" si="122"/>
        <v>0</v>
      </c>
      <c r="BS18" s="390">
        <f t="shared" ca="1" si="46"/>
        <v>0</v>
      </c>
      <c r="BT18" s="391">
        <f t="shared" ca="1" si="123"/>
        <v>0</v>
      </c>
      <c r="BU18" s="391">
        <f t="shared" ca="1" si="124"/>
        <v>0</v>
      </c>
      <c r="BV18" s="401">
        <f t="shared" ca="1" si="125"/>
        <v>70</v>
      </c>
      <c r="BW18" s="401">
        <f t="shared" ca="1" si="126"/>
        <v>0</v>
      </c>
      <c r="BX18" s="392">
        <f t="shared" ca="1" si="127"/>
        <v>0</v>
      </c>
      <c r="BY18" s="392">
        <f t="shared" ca="1" si="128"/>
        <v>0</v>
      </c>
      <c r="BZ18" s="392" t="str">
        <f t="shared" ca="1" si="129"/>
        <v>да</v>
      </c>
      <c r="CA18" s="462">
        <f t="shared" ca="1" si="130"/>
        <v>510</v>
      </c>
      <c r="CB18" s="390">
        <f t="shared" ca="1" si="52"/>
        <v>0.47430555555555554</v>
      </c>
      <c r="CC18" s="391">
        <f t="shared" ca="1" si="131"/>
        <v>0.47430555555555554</v>
      </c>
      <c r="CD18" s="391">
        <f ca="1">IF(OR(CB18=0,CC18=0),0,вРазн(CC18,CB18))</f>
        <v>0</v>
      </c>
      <c r="CE18" s="391"/>
      <c r="CF18" s="391"/>
      <c r="CG18" s="397">
        <f t="shared" ca="1" si="132"/>
        <v>0.4820949074074074</v>
      </c>
      <c r="CH18" s="398">
        <f t="shared" ca="1" si="54"/>
        <v>0.48202546296296295</v>
      </c>
      <c r="CI18" s="399" t="str">
        <f ca="1">IF(CH18&lt;&gt;0,вПМ(CH18,CG18,"s"),"")</f>
        <v>-</v>
      </c>
      <c r="CJ18" s="398">
        <f ca="1">IF(CH18&lt;&gt;0,вРазн(CH18,CG18,"s"), 0)</f>
        <v>6.9439411163330078E-5</v>
      </c>
      <c r="CK18" s="462">
        <f t="shared" ca="1" si="133"/>
        <v>6</v>
      </c>
      <c r="CL18" s="397">
        <f t="shared" ca="1" si="134"/>
        <v>0.4962847222222222</v>
      </c>
      <c r="CM18" s="398">
        <f t="shared" ca="1" si="57"/>
        <v>0.49500000000000005</v>
      </c>
      <c r="CN18" s="392" t="str">
        <f ca="1">IF(AND(CM18&lt;&gt;0,CL18&lt;&gt;0),вПМ(CM18,CL18,"s"),"")</f>
        <v>-</v>
      </c>
      <c r="CO18" s="398">
        <f ca="1">IF(AND(CM18&lt;&gt;0,CL18&lt;&gt;0),вРазн(CM18,CL18,"s"), 0)</f>
        <v>1.2847185134887695E-3</v>
      </c>
      <c r="CP18" s="462">
        <f t="shared" ca="1" si="135"/>
        <v>111</v>
      </c>
      <c r="CQ18" s="390">
        <f t="shared" ca="1" si="59"/>
        <v>0.57361111111111118</v>
      </c>
      <c r="CR18" s="391">
        <f t="shared" ca="1" si="136"/>
        <v>0.57361111111111118</v>
      </c>
      <c r="CS18" s="391">
        <f ca="1">IF(OR(CQ18=0,CR18=0),0,вРазн(CR18,CQ18))</f>
        <v>0</v>
      </c>
      <c r="CT18" s="391"/>
      <c r="CU18" s="391"/>
      <c r="CV18" s="397">
        <f t="shared" ca="1" si="137"/>
        <v>0.58056712962962975</v>
      </c>
      <c r="CW18" s="398">
        <f t="shared" ca="1" si="61"/>
        <v>0.58113425925925932</v>
      </c>
      <c r="CX18" s="399" t="str">
        <f ca="1">IF(CW18&lt;&gt;0,вПМ(CW18,CV18,"s"),"")</f>
        <v>+</v>
      </c>
      <c r="CY18" s="398">
        <f ca="1">IF(CW18&lt;&gt;0,вРазн(CW18,CV18,"s"), 0)</f>
        <v>5.671381950378418E-4</v>
      </c>
      <c r="CZ18" s="462">
        <f t="shared" ca="1" si="138"/>
        <v>49</v>
      </c>
      <c r="DA18" s="397">
        <f t="shared" ca="1" si="139"/>
        <v>0.5816203703703704</v>
      </c>
      <c r="DB18" s="398">
        <f t="shared" ca="1" si="64"/>
        <v>0.5816203703703704</v>
      </c>
      <c r="DC18" s="392" t="str">
        <f ca="1">IF(AND(DB18&lt;&gt;0,DA18&lt;&gt;0),вПМ(DB18,DA18,"s"),"")</f>
        <v/>
      </c>
      <c r="DD18" s="398">
        <f ca="1">IF(AND(DB18&lt;&gt;0,DA18&lt;&gt;0),вРазн(DB18,DA18,"s"), 0)</f>
        <v>0</v>
      </c>
      <c r="DE18" s="462">
        <f t="shared" ca="1" si="140"/>
        <v>0</v>
      </c>
      <c r="DF18" s="390">
        <f t="shared" ca="1" si="66"/>
        <v>0</v>
      </c>
      <c r="DG18" s="391">
        <f t="shared" ca="1" si="141"/>
        <v>0</v>
      </c>
      <c r="DH18" s="391">
        <f t="shared" ca="1" si="142"/>
        <v>0</v>
      </c>
      <c r="DI18" s="401">
        <f t="shared" ca="1" si="143"/>
        <v>39.9</v>
      </c>
      <c r="DJ18" s="401">
        <f t="shared" ca="1" si="144"/>
        <v>0</v>
      </c>
      <c r="DK18" s="392">
        <f t="shared" ca="1" si="145"/>
        <v>0</v>
      </c>
      <c r="DL18" s="392" t="str">
        <f t="shared" ca="1" si="146"/>
        <v>да</v>
      </c>
      <c r="DM18" s="392" t="str">
        <f t="shared" ca="1" si="147"/>
        <v>да</v>
      </c>
      <c r="DN18" s="462">
        <f t="shared" ca="1" si="148"/>
        <v>479.7</v>
      </c>
      <c r="DO18" s="402" t="str">
        <f t="shared" ca="1" si="72"/>
        <v>нарушение порядка прохождения СП</v>
      </c>
      <c r="DP18" s="400">
        <f t="shared" ca="1" si="149"/>
        <v>600</v>
      </c>
      <c r="DQ18" s="402">
        <f t="shared" ca="1" si="72"/>
        <v>0</v>
      </c>
      <c r="DR18" s="400">
        <f t="shared" ca="1" si="150"/>
        <v>1320</v>
      </c>
      <c r="DS18" s="390">
        <f t="shared" ca="1" si="75"/>
        <v>0.65486111111111112</v>
      </c>
      <c r="DT18" s="396">
        <f t="shared" ca="1" si="151"/>
        <v>0</v>
      </c>
      <c r="DU18" s="390">
        <f t="shared" ca="1" si="75"/>
        <v>0</v>
      </c>
      <c r="DV18" s="396">
        <f t="shared" ca="1" si="152"/>
        <v>900</v>
      </c>
      <c r="DW18" s="459"/>
      <c r="DX18" s="459"/>
      <c r="DY18" s="459"/>
      <c r="DZ18" s="459"/>
      <c r="EA18" s="459"/>
      <c r="EB18" s="459"/>
      <c r="EC18" s="459"/>
      <c r="ED18" s="459"/>
      <c r="EE18" s="459"/>
      <c r="EF18" s="459"/>
      <c r="EG18" s="459"/>
      <c r="EH18" s="459"/>
      <c r="EI18" s="459"/>
      <c r="EJ18" s="459"/>
      <c r="EK18" s="459"/>
      <c r="EL18" s="459"/>
      <c r="EM18" s="459"/>
      <c r="EN18" s="459"/>
      <c r="EO18" s="459"/>
      <c r="EP18" s="459"/>
      <c r="EQ18" s="459"/>
      <c r="ER18" s="459"/>
      <c r="ES18" s="459"/>
      <c r="ET18" s="459"/>
      <c r="EU18" s="390" t="e">
        <f t="shared" ca="1" si="153"/>
        <v>#VALUE!</v>
      </c>
      <c r="EV18" s="391">
        <f t="shared" ca="1" si="154"/>
        <v>0</v>
      </c>
      <c r="EW18" s="392" t="e">
        <f ca="1">IF(AND(EV18&lt;&gt;0,EU18&lt;&gt;0),вПМ(EV18,EU18),"")</f>
        <v>#VALUE!</v>
      </c>
      <c r="EX18" s="391">
        <f ca="1">IF(EV18&lt;&gt;0,вРазн(EV18,EU18), 0)</f>
        <v>0</v>
      </c>
      <c r="EY18" s="396">
        <f t="shared" ca="1" si="155"/>
        <v>900</v>
      </c>
      <c r="EZ18" s="390">
        <f t="shared" ca="1" si="81"/>
        <v>0</v>
      </c>
      <c r="FA18" s="391">
        <f t="shared" ca="1" si="156"/>
        <v>0</v>
      </c>
      <c r="FB18" s="391">
        <f t="shared" ca="1" si="157"/>
        <v>0</v>
      </c>
      <c r="FC18" s="401">
        <f t="shared" ca="1" si="158"/>
        <v>70</v>
      </c>
      <c r="FD18" s="401">
        <f t="shared" ca="1" si="159"/>
        <v>0</v>
      </c>
      <c r="FE18" s="401">
        <f t="shared" ca="1" si="160"/>
        <v>0</v>
      </c>
      <c r="FF18" s="392">
        <f t="shared" ca="1" si="161"/>
        <v>0</v>
      </c>
      <c r="FG18" s="392" t="str">
        <f t="shared" ca="1" si="162"/>
        <v>да</v>
      </c>
      <c r="FH18" s="462">
        <f t="shared" ca="1" si="163"/>
        <v>270</v>
      </c>
      <c r="FI18" s="403"/>
    </row>
    <row r="19" spans="1:165" s="20" customFormat="1" x14ac:dyDescent="0.25">
      <c r="A19" s="253">
        <f>стартоваяВедомость!B19</f>
        <v>10</v>
      </c>
      <c r="B19" s="241" t="str">
        <f t="shared" ca="1" si="1"/>
        <v>MAZDA6</v>
      </c>
      <c r="C19" s="241" t="str">
        <f t="shared" ca="1" si="2"/>
        <v>Иванов Кирилл</v>
      </c>
      <c r="D19" s="241" t="str">
        <f t="shared" ca="1" si="3"/>
        <v xml:space="preserve">Афанасьев Никита </v>
      </c>
      <c r="E19" s="241" t="str">
        <f t="shared" ca="1" si="4"/>
        <v>Смоленск</v>
      </c>
      <c r="F19" s="241" t="str">
        <f t="shared" ca="1" si="5"/>
        <v>Pro, Аэропорт</v>
      </c>
      <c r="G19" s="487">
        <f t="shared" ca="1" si="90"/>
        <v>2091.5</v>
      </c>
      <c r="H19" s="487">
        <f t="shared" ca="1" si="91"/>
        <v>660</v>
      </c>
      <c r="I19" s="487">
        <f t="shared" ca="1" si="92"/>
        <v>891.5</v>
      </c>
      <c r="J19" s="487">
        <f t="shared" ca="1" si="93"/>
        <v>540</v>
      </c>
      <c r="K19" s="242">
        <f t="shared" ca="1" si="9"/>
        <v>0.4236111111111111</v>
      </c>
      <c r="L19" s="122">
        <f t="shared" ca="1" si="94"/>
        <v>0.4236111111111111</v>
      </c>
      <c r="M19" s="243" t="str">
        <f ca="1">IF(L19&lt;&gt;0,вПМ(L19,K19),"")</f>
        <v/>
      </c>
      <c r="N19" s="122">
        <f ca="1">IF(L19&lt;&gt;0,вРазн(L19,K19), 0)</f>
        <v>0</v>
      </c>
      <c r="O19" s="301">
        <f t="shared" ca="1" si="95"/>
        <v>0</v>
      </c>
      <c r="P19" s="300">
        <f t="shared" ca="1" si="12"/>
        <v>4.86111119389534E-2</v>
      </c>
      <c r="Q19" s="294"/>
      <c r="R19" s="242">
        <f t="shared" ca="1" si="96"/>
        <v>0.4722222230500645</v>
      </c>
      <c r="S19" s="122">
        <f t="shared" ca="1" si="97"/>
        <v>0.47152777777777777</v>
      </c>
      <c r="T19" s="243" t="str">
        <f ca="1">IF(S19&lt;&gt;0,вПМ(S19,R19),"")</f>
        <v/>
      </c>
      <c r="U19" s="122">
        <f ca="1">IF(S19&lt;&gt;0,вРазн(S19,R19), 0)</f>
        <v>6.9442391395568848E-4</v>
      </c>
      <c r="V19" s="301">
        <f t="shared" ca="1" si="98"/>
        <v>60</v>
      </c>
      <c r="W19" s="300">
        <f t="shared" ca="1" si="16"/>
        <v>4.86111119389534E-2</v>
      </c>
      <c r="X19" s="122"/>
      <c r="Y19" s="294">
        <f t="shared" ca="1" si="99"/>
        <v>0</v>
      </c>
      <c r="Z19" s="242">
        <f t="shared" ca="1" si="100"/>
        <v>0.52361111193895349</v>
      </c>
      <c r="AA19" s="122">
        <f t="shared" ca="1" si="101"/>
        <v>0.52361111111111114</v>
      </c>
      <c r="AB19" s="243" t="str">
        <f ca="1">IF(AA19&lt;&gt;0,вПМ(AA19,Z19),"")</f>
        <v/>
      </c>
      <c r="AC19" s="122">
        <f ca="1">IF(AA19&lt;&gt;0,вРазн(AA19,Z19), 0)</f>
        <v>0</v>
      </c>
      <c r="AD19" s="301">
        <f t="shared" ca="1" si="102"/>
        <v>0</v>
      </c>
      <c r="AE19" s="300">
        <f t="shared" ca="1" si="21"/>
        <v>2.43055559694767E-2</v>
      </c>
      <c r="AF19" s="122"/>
      <c r="AG19" s="294">
        <f t="shared" ca="1" si="103"/>
        <v>0</v>
      </c>
      <c r="AH19" s="242">
        <f t="shared" ca="1" si="104"/>
        <v>0.54791666708058784</v>
      </c>
      <c r="AI19" s="122">
        <f t="shared" ca="1" si="105"/>
        <v>0.5493055555555556</v>
      </c>
      <c r="AJ19" s="243" t="str">
        <f ca="1">IF(AI19&lt;&gt;0,вПМ(AI19,AH19),"")</f>
        <v>+</v>
      </c>
      <c r="AK19" s="122">
        <f ca="1">IF(AI19&lt;&gt;0,вРазн(AI19,AH19), 0)</f>
        <v>1.3889074325561523E-3</v>
      </c>
      <c r="AL19" s="301">
        <f t="shared" ca="1" si="106"/>
        <v>120</v>
      </c>
      <c r="AM19" s="300">
        <f t="shared" ca="1" si="26"/>
        <v>2.43055559694767E-2</v>
      </c>
      <c r="AN19" s="122"/>
      <c r="AO19" s="294">
        <f t="shared" ca="1" si="107"/>
        <v>0</v>
      </c>
      <c r="AP19" s="242">
        <f t="shared" ca="1" si="108"/>
        <v>0.5736111115250323</v>
      </c>
      <c r="AQ19" s="122">
        <f t="shared" ca="1" si="109"/>
        <v>0.57361111111111118</v>
      </c>
      <c r="AR19" s="243" t="str">
        <f ca="1">IF(AQ19&lt;&gt;0,вПМ(AQ19,AP19),"")</f>
        <v/>
      </c>
      <c r="AS19" s="122">
        <f ca="1">IF(AQ19&lt;&gt;0,вРазн(AQ19,AP19), 0)</f>
        <v>0</v>
      </c>
      <c r="AT19" s="301">
        <f t="shared" ca="1" si="110"/>
        <v>0</v>
      </c>
      <c r="AU19" s="300">
        <f t="shared" ca="1" si="31"/>
        <v>3.125E-2</v>
      </c>
      <c r="AV19" s="122"/>
      <c r="AW19" s="294">
        <f t="shared" ca="1" si="111"/>
        <v>0</v>
      </c>
      <c r="AX19" s="242">
        <f t="shared" ca="1" si="112"/>
        <v>0.60763888888888895</v>
      </c>
      <c r="AY19" s="122">
        <f t="shared" ca="1" si="113"/>
        <v>0.60486111111111118</v>
      </c>
      <c r="AZ19" s="243" t="str">
        <f ca="1">IF(AY19&lt;&gt;0,вПМ(AY19,AX19),"")</f>
        <v>-</v>
      </c>
      <c r="BA19" s="122">
        <f ca="1">IF(AY19&lt;&gt;0,вРазн(AY19,AX19), 0)</f>
        <v>2.7777552604675293E-3</v>
      </c>
      <c r="BB19" s="301">
        <f t="shared" ca="1" si="114"/>
        <v>240</v>
      </c>
      <c r="BC19" s="300">
        <f t="shared" ca="1" si="36"/>
        <v>4.1666667908430099E-2</v>
      </c>
      <c r="BD19" s="122"/>
      <c r="BE19" s="294">
        <f t="shared" ca="1" si="115"/>
        <v>0</v>
      </c>
      <c r="BF19" s="242">
        <f t="shared" ca="1" si="116"/>
        <v>0.64652777901954128</v>
      </c>
      <c r="BG19" s="122">
        <f t="shared" ca="1" si="117"/>
        <v>0.64652777777777781</v>
      </c>
      <c r="BH19" s="243" t="str">
        <f ca="1">IF(BG19&lt;&gt;0,вПМ(BG19,BF19),"")</f>
        <v/>
      </c>
      <c r="BI19" s="122">
        <f ca="1">IF(BG19&lt;&gt;0,вРазн(BG19,BF19), 0)</f>
        <v>0</v>
      </c>
      <c r="BJ19" s="301">
        <f t="shared" ca="1" si="118"/>
        <v>0</v>
      </c>
      <c r="BK19" s="300">
        <f t="shared" ca="1" si="41"/>
        <v>2.777777798473835E-2</v>
      </c>
      <c r="BL19" s="122"/>
      <c r="BM19" s="294">
        <f t="shared" ca="1" si="119"/>
        <v>0</v>
      </c>
      <c r="BN19" s="242">
        <f t="shared" ca="1" si="120"/>
        <v>0.67430555576251616</v>
      </c>
      <c r="BO19" s="122">
        <f t="shared" ca="1" si="121"/>
        <v>0.67708333333333337</v>
      </c>
      <c r="BP19" s="243" t="str">
        <f ca="1">IF(BO19&lt;&gt;0,вПМ(BO19,BN19),"")</f>
        <v>+</v>
      </c>
      <c r="BQ19" s="122">
        <f ca="1">IF(BO19&lt;&gt;0,вРазн(BO19,BN19), 0)</f>
        <v>2.7777552604675293E-3</v>
      </c>
      <c r="BR19" s="244">
        <f t="shared" ca="1" si="122"/>
        <v>240</v>
      </c>
      <c r="BS19" s="242">
        <f t="shared" ca="1" si="46"/>
        <v>0</v>
      </c>
      <c r="BT19" s="122">
        <f t="shared" ca="1" si="123"/>
        <v>0</v>
      </c>
      <c r="BU19" s="122">
        <f t="shared" ca="1" si="124"/>
        <v>0</v>
      </c>
      <c r="BV19" s="248">
        <f t="shared" ca="1" si="125"/>
        <v>71.900000000000006</v>
      </c>
      <c r="BW19" s="248">
        <f t="shared" ca="1" si="126"/>
        <v>0</v>
      </c>
      <c r="BX19" s="243">
        <f t="shared" ca="1" si="127"/>
        <v>0</v>
      </c>
      <c r="BY19" s="243">
        <f t="shared" ca="1" si="128"/>
        <v>0</v>
      </c>
      <c r="BZ19" s="243">
        <f t="shared" ca="1" si="129"/>
        <v>0</v>
      </c>
      <c r="CA19" s="463">
        <f t="shared" ca="1" si="130"/>
        <v>215.70000000000002</v>
      </c>
      <c r="CB19" s="242">
        <f t="shared" ca="1" si="52"/>
        <v>0.47500000000000003</v>
      </c>
      <c r="CC19" s="122">
        <f t="shared" ca="1" si="131"/>
        <v>0.47500000000000003</v>
      </c>
      <c r="CD19" s="122">
        <f ca="1">IF(OR(CB19=0,CC19=0),0,вРазн(CC19,CB19))</f>
        <v>0</v>
      </c>
      <c r="CE19" s="122"/>
      <c r="CF19" s="122"/>
      <c r="CG19" s="247">
        <f t="shared" ca="1" si="132"/>
        <v>0.4827893518518519</v>
      </c>
      <c r="CH19" s="245">
        <f t="shared" ca="1" si="54"/>
        <v>0.48281250000000003</v>
      </c>
      <c r="CI19" s="240" t="str">
        <f ca="1">IF(CH19&lt;&gt;0,вПМ(CH19,CG19,"s"),"")</f>
        <v>+</v>
      </c>
      <c r="CJ19" s="245">
        <f ca="1">IF(CH19&lt;&gt;0,вРазн(CH19,CG19,"s"), 0)</f>
        <v>2.3156404495239258E-5</v>
      </c>
      <c r="CK19" s="463">
        <f t="shared" ca="1" si="133"/>
        <v>2</v>
      </c>
      <c r="CL19" s="247">
        <f t="shared" ca="1" si="134"/>
        <v>0.49707175925925928</v>
      </c>
      <c r="CM19" s="245">
        <f t="shared" ca="1" si="57"/>
        <v>0.49521990740740746</v>
      </c>
      <c r="CN19" s="243" t="str">
        <f ca="1">IF(AND(CM19&lt;&gt;0,CL19&lt;&gt;0),вПМ(CM19,CL19,"s"),"")</f>
        <v>-</v>
      </c>
      <c r="CO19" s="245">
        <f ca="1">IF(AND(CM19&lt;&gt;0,CL19&lt;&gt;0),вРазн(CM19,CL19,"s"), 0)</f>
        <v>1.8518567085266113E-3</v>
      </c>
      <c r="CP19" s="463">
        <f t="shared" ca="1" si="135"/>
        <v>160</v>
      </c>
      <c r="CQ19" s="242">
        <f t="shared" ca="1" si="59"/>
        <v>0.57638888888888895</v>
      </c>
      <c r="CR19" s="122">
        <f t="shared" ca="1" si="136"/>
        <v>0.57638888888888895</v>
      </c>
      <c r="CS19" s="122">
        <f ca="1">IF(OR(CQ19=0,CR19=0),0,вРазн(CR19,CQ19))</f>
        <v>0</v>
      </c>
      <c r="CT19" s="122"/>
      <c r="CU19" s="122"/>
      <c r="CV19" s="247">
        <f t="shared" ca="1" si="137"/>
        <v>0.58334490740740752</v>
      </c>
      <c r="CW19" s="245">
        <f t="shared" ca="1" si="61"/>
        <v>0.58395833333333336</v>
      </c>
      <c r="CX19" s="240" t="str">
        <f ca="1">IF(CW19&lt;&gt;0,вПМ(CW19,CV19,"s"),"")</f>
        <v>+</v>
      </c>
      <c r="CY19" s="245">
        <f ca="1">IF(CW19&lt;&gt;0,вРазн(CW19,CV19,"s"), 0)</f>
        <v>6.1339139938354492E-4</v>
      </c>
      <c r="CZ19" s="463">
        <f t="shared" ca="1" si="138"/>
        <v>53</v>
      </c>
      <c r="DA19" s="247">
        <f t="shared" ca="1" si="139"/>
        <v>0.58444444444444443</v>
      </c>
      <c r="DB19" s="245">
        <f t="shared" ca="1" si="64"/>
        <v>0.58454861111111112</v>
      </c>
      <c r="DC19" s="243" t="str">
        <f ca="1">IF(AND(DB19&lt;&gt;0,DA19&lt;&gt;0),вПМ(DB19,DA19,"s"),"")</f>
        <v>+</v>
      </c>
      <c r="DD19" s="245">
        <f ca="1">IF(AND(DB19&lt;&gt;0,DA19&lt;&gt;0),вРазн(DB19,DA19,"s"), 0)</f>
        <v>1.0412931442260742E-4</v>
      </c>
      <c r="DE19" s="463">
        <f t="shared" ca="1" si="140"/>
        <v>9</v>
      </c>
      <c r="DF19" s="242">
        <f t="shared" ca="1" si="66"/>
        <v>0</v>
      </c>
      <c r="DG19" s="122">
        <f t="shared" ca="1" si="141"/>
        <v>0</v>
      </c>
      <c r="DH19" s="122">
        <f t="shared" ca="1" si="142"/>
        <v>0</v>
      </c>
      <c r="DI19" s="248">
        <f t="shared" ca="1" si="143"/>
        <v>50.6</v>
      </c>
      <c r="DJ19" s="248">
        <f t="shared" ca="1" si="144"/>
        <v>0</v>
      </c>
      <c r="DK19" s="243">
        <f t="shared" ca="1" si="145"/>
        <v>0</v>
      </c>
      <c r="DL19" s="243">
        <f t="shared" ca="1" si="146"/>
        <v>0</v>
      </c>
      <c r="DM19" s="243" t="str">
        <f t="shared" ca="1" si="147"/>
        <v>да</v>
      </c>
      <c r="DN19" s="463">
        <f t="shared" ca="1" si="148"/>
        <v>451.8</v>
      </c>
      <c r="DO19" s="249" t="str">
        <f t="shared" ca="1" si="72"/>
        <v>неостановка на ВКП1</v>
      </c>
      <c r="DP19" s="246">
        <f t="shared" ca="1" si="149"/>
        <v>300</v>
      </c>
      <c r="DQ19" s="249">
        <f t="shared" ca="1" si="72"/>
        <v>0</v>
      </c>
      <c r="DR19" s="246">
        <f t="shared" ca="1" si="150"/>
        <v>240</v>
      </c>
      <c r="DS19" s="242">
        <f t="shared" ca="1" si="75"/>
        <v>0.65416666666666667</v>
      </c>
      <c r="DT19" s="244">
        <f t="shared" ca="1" si="151"/>
        <v>0</v>
      </c>
      <c r="DU19" s="242">
        <f t="shared" ca="1" si="75"/>
        <v>0.67083333333333339</v>
      </c>
      <c r="DV19" s="244">
        <f t="shared" ca="1" si="152"/>
        <v>0</v>
      </c>
      <c r="DW19" s="459"/>
      <c r="DX19" s="459"/>
      <c r="DY19" s="459"/>
      <c r="DZ19" s="459"/>
      <c r="EA19" s="459"/>
      <c r="EB19" s="459"/>
      <c r="EC19" s="459"/>
      <c r="ED19" s="459"/>
      <c r="EE19" s="459"/>
      <c r="EF19" s="459"/>
      <c r="EG19" s="459"/>
      <c r="EH19" s="459"/>
      <c r="EI19" s="459"/>
      <c r="EJ19" s="459"/>
      <c r="EK19" s="459"/>
      <c r="EL19" s="459"/>
      <c r="EM19" s="459"/>
      <c r="EN19" s="459"/>
      <c r="EO19" s="459"/>
      <c r="EP19" s="459"/>
      <c r="EQ19" s="459"/>
      <c r="ER19" s="459"/>
      <c r="ES19" s="459"/>
      <c r="ET19" s="459"/>
      <c r="EU19" s="242" t="e">
        <f t="shared" ca="1" si="153"/>
        <v>#VALUE!</v>
      </c>
      <c r="EV19" s="122">
        <f t="shared" ca="1" si="154"/>
        <v>0</v>
      </c>
      <c r="EW19" s="243" t="e">
        <f ca="1">IF(AND(EV19&lt;&gt;0,EU19&lt;&gt;0),вПМ(EV19,EU19),"")</f>
        <v>#VALUE!</v>
      </c>
      <c r="EX19" s="122">
        <f ca="1">IF(EV19&lt;&gt;0,вРазн(EV19,EU19), 0)</f>
        <v>0</v>
      </c>
      <c r="EY19" s="244">
        <f t="shared" ca="1" si="155"/>
        <v>900</v>
      </c>
      <c r="EZ19" s="242">
        <f t="shared" ca="1" si="81"/>
        <v>0</v>
      </c>
      <c r="FA19" s="122">
        <f t="shared" ca="1" si="156"/>
        <v>0</v>
      </c>
      <c r="FB19" s="122">
        <f t="shared" ca="1" si="157"/>
        <v>0</v>
      </c>
      <c r="FC19" s="248">
        <f t="shared" ca="1" si="158"/>
        <v>71.900000000000006</v>
      </c>
      <c r="FD19" s="248">
        <f t="shared" ca="1" si="159"/>
        <v>0</v>
      </c>
      <c r="FE19" s="248">
        <f t="shared" ca="1" si="160"/>
        <v>0</v>
      </c>
      <c r="FF19" s="243">
        <f t="shared" ca="1" si="161"/>
        <v>0</v>
      </c>
      <c r="FG19" s="243">
        <f t="shared" ca="1" si="162"/>
        <v>0</v>
      </c>
      <c r="FH19" s="463">
        <f t="shared" ca="1" si="163"/>
        <v>215.70000000000002</v>
      </c>
    </row>
    <row r="20" spans="1:165" s="236" customFormat="1" x14ac:dyDescent="0.25">
      <c r="A20" s="388">
        <f>стартоваяВедомость!B20</f>
        <v>11</v>
      </c>
      <c r="B20" s="389" t="str">
        <f t="shared" ca="1" si="1"/>
        <v>Москвич 2140</v>
      </c>
      <c r="C20" s="389" t="str">
        <f t="shared" ca="1" si="2"/>
        <v>Гайлит Сергей</v>
      </c>
      <c r="D20" s="389" t="str">
        <f t="shared" ca="1" si="3"/>
        <v>Ивахненко Алексей</v>
      </c>
      <c r="E20" s="389" t="str">
        <f t="shared" ca="1" si="4"/>
        <v>Ярцево / Смоленск</v>
      </c>
      <c r="F20" s="389" t="str">
        <f t="shared" ca="1" si="5"/>
        <v>Light, Кубок</v>
      </c>
      <c r="G20" s="486">
        <f t="shared" ca="1" si="90"/>
        <v>2912.3</v>
      </c>
      <c r="H20" s="486">
        <f t="shared" ca="1" si="91"/>
        <v>1020</v>
      </c>
      <c r="I20" s="486">
        <f t="shared" ca="1" si="92"/>
        <v>1412.3</v>
      </c>
      <c r="J20" s="486">
        <f t="shared" ca="1" si="93"/>
        <v>480</v>
      </c>
      <c r="K20" s="390">
        <f t="shared" ca="1" si="9"/>
        <v>0.42430555555555555</v>
      </c>
      <c r="L20" s="391">
        <f t="shared" ca="1" si="94"/>
        <v>0.42430555555555555</v>
      </c>
      <c r="M20" s="392" t="str">
        <f ca="1">IF(L20&lt;&gt;0,вПМ(L20,K20),"")</f>
        <v/>
      </c>
      <c r="N20" s="391">
        <f ca="1">IF(L20&lt;&gt;0,вРазн(L20,K20), 0)</f>
        <v>0</v>
      </c>
      <c r="O20" s="393">
        <f t="shared" ca="1" si="95"/>
        <v>0</v>
      </c>
      <c r="P20" s="394">
        <f t="shared" ca="1" si="12"/>
        <v>4.86111119389534E-2</v>
      </c>
      <c r="Q20" s="395"/>
      <c r="R20" s="390">
        <f t="shared" ca="1" si="96"/>
        <v>0.47291666749450895</v>
      </c>
      <c r="S20" s="391">
        <f t="shared" ca="1" si="97"/>
        <v>0.47222222222222227</v>
      </c>
      <c r="T20" s="392" t="str">
        <f ca="1">IF(S20&lt;&gt;0,вПМ(S20,R20),"")</f>
        <v>-</v>
      </c>
      <c r="U20" s="391">
        <f ca="1">IF(S20&lt;&gt;0,вРазн(S20,R20), 0)</f>
        <v>6.9445371627807617E-4</v>
      </c>
      <c r="V20" s="393">
        <f t="shared" ca="1" si="98"/>
        <v>60</v>
      </c>
      <c r="W20" s="394">
        <f t="shared" ca="1" si="16"/>
        <v>4.86111119389534E-2</v>
      </c>
      <c r="X20" s="391"/>
      <c r="Y20" s="395">
        <f t="shared" ca="1" si="99"/>
        <v>0</v>
      </c>
      <c r="Z20" s="390">
        <f t="shared" ca="1" si="100"/>
        <v>0.52430555638339782</v>
      </c>
      <c r="AA20" s="391">
        <f t="shared" ca="1" si="101"/>
        <v>0.52430555555555558</v>
      </c>
      <c r="AB20" s="392" t="str">
        <f ca="1">IF(AA20&lt;&gt;0,вПМ(AA20,Z20),"")</f>
        <v/>
      </c>
      <c r="AC20" s="391">
        <f ca="1">IF(AA20&lt;&gt;0,вРазн(AA20,Z20), 0)</f>
        <v>0</v>
      </c>
      <c r="AD20" s="393">
        <f t="shared" ca="1" si="102"/>
        <v>0</v>
      </c>
      <c r="AE20" s="394">
        <f t="shared" ca="1" si="21"/>
        <v>2.43055559694767E-2</v>
      </c>
      <c r="AF20" s="391"/>
      <c r="AG20" s="395">
        <f t="shared" ca="1" si="103"/>
        <v>0</v>
      </c>
      <c r="AH20" s="390">
        <f t="shared" ca="1" si="104"/>
        <v>0.54861111152503228</v>
      </c>
      <c r="AI20" s="391">
        <f t="shared" ca="1" si="105"/>
        <v>0.54791666666666672</v>
      </c>
      <c r="AJ20" s="392" t="str">
        <f ca="1">IF(AI20&lt;&gt;0,вПМ(AI20,AH20),"")</f>
        <v>-</v>
      </c>
      <c r="AK20" s="391">
        <f ca="1">IF(AI20&lt;&gt;0,вРазн(AI20,AH20), 0)</f>
        <v>6.9445371627807617E-4</v>
      </c>
      <c r="AL20" s="393">
        <f t="shared" ca="1" si="106"/>
        <v>60</v>
      </c>
      <c r="AM20" s="394">
        <f t="shared" ca="1" si="26"/>
        <v>2.43055559694767E-2</v>
      </c>
      <c r="AN20" s="391"/>
      <c r="AO20" s="395">
        <f t="shared" ca="1" si="107"/>
        <v>0</v>
      </c>
      <c r="AP20" s="390">
        <f t="shared" ca="1" si="108"/>
        <v>0.57222222263614342</v>
      </c>
      <c r="AQ20" s="391">
        <f t="shared" ca="1" si="109"/>
        <v>0.57222222222222219</v>
      </c>
      <c r="AR20" s="392" t="str">
        <f ca="1">IF(AQ20&lt;&gt;0,вПМ(AQ20,AP20),"")</f>
        <v/>
      </c>
      <c r="AS20" s="391">
        <f ca="1">IF(AQ20&lt;&gt;0,вРазн(AQ20,AP20), 0)</f>
        <v>0</v>
      </c>
      <c r="AT20" s="393">
        <f t="shared" ca="1" si="110"/>
        <v>0</v>
      </c>
      <c r="AU20" s="394">
        <f t="shared" ca="1" si="31"/>
        <v>3.125E-2</v>
      </c>
      <c r="AV20" s="391"/>
      <c r="AW20" s="395">
        <f t="shared" ca="1" si="111"/>
        <v>0</v>
      </c>
      <c r="AX20" s="390">
        <f t="shared" ca="1" si="112"/>
        <v>0.60555555555555551</v>
      </c>
      <c r="AY20" s="391">
        <f t="shared" ca="1" si="113"/>
        <v>0.60555555555555551</v>
      </c>
      <c r="AZ20" s="392" t="str">
        <f ca="1">IF(AY20&lt;&gt;0,вПМ(AY20,AX20),"")</f>
        <v/>
      </c>
      <c r="BA20" s="391">
        <f ca="1">IF(AY20&lt;&gt;0,вРазн(AY20,AX20), 0)</f>
        <v>0</v>
      </c>
      <c r="BB20" s="393">
        <f t="shared" ca="1" si="114"/>
        <v>0</v>
      </c>
      <c r="BC20" s="394">
        <f t="shared" ca="1" si="36"/>
        <v>4.1666667908430099E-2</v>
      </c>
      <c r="BD20" s="391"/>
      <c r="BE20" s="395">
        <f t="shared" ca="1" si="115"/>
        <v>0</v>
      </c>
      <c r="BF20" s="390">
        <f t="shared" ca="1" si="116"/>
        <v>0.64722222346398561</v>
      </c>
      <c r="BG20" s="391">
        <f t="shared" ca="1" si="117"/>
        <v>0.64722222222222225</v>
      </c>
      <c r="BH20" s="392" t="str">
        <f ca="1">IF(BG20&lt;&gt;0,вПМ(BG20,BF20),"")</f>
        <v/>
      </c>
      <c r="BI20" s="391">
        <f ca="1">IF(BG20&lt;&gt;0,вРазн(BG20,BF20), 0)</f>
        <v>0</v>
      </c>
      <c r="BJ20" s="393">
        <f t="shared" ca="1" si="118"/>
        <v>0</v>
      </c>
      <c r="BK20" s="394">
        <f t="shared" ca="1" si="41"/>
        <v>2.777777798473835E-2</v>
      </c>
      <c r="BL20" s="391"/>
      <c r="BM20" s="395">
        <f t="shared" ca="1" si="119"/>
        <v>0</v>
      </c>
      <c r="BN20" s="390">
        <f t="shared" ca="1" si="120"/>
        <v>0.6750000002069606</v>
      </c>
      <c r="BO20" s="391">
        <f t="shared" ca="1" si="121"/>
        <v>0.67499999999999993</v>
      </c>
      <c r="BP20" s="392" t="str">
        <f ca="1">IF(BO20&lt;&gt;0,вПМ(BO20,BN20),"")</f>
        <v/>
      </c>
      <c r="BQ20" s="391">
        <f ca="1">IF(BO20&lt;&gt;0,вРазн(BO20,BN20), 0)</f>
        <v>0</v>
      </c>
      <c r="BR20" s="396">
        <f t="shared" ca="1" si="122"/>
        <v>0</v>
      </c>
      <c r="BS20" s="390">
        <f t="shared" ca="1" si="46"/>
        <v>0</v>
      </c>
      <c r="BT20" s="391">
        <f t="shared" ca="1" si="123"/>
        <v>0</v>
      </c>
      <c r="BU20" s="391">
        <f t="shared" ca="1" si="124"/>
        <v>0</v>
      </c>
      <c r="BV20" s="401">
        <f t="shared" ca="1" si="125"/>
        <v>81.5</v>
      </c>
      <c r="BW20" s="401">
        <f t="shared" ca="1" si="126"/>
        <v>0</v>
      </c>
      <c r="BX20" s="392">
        <f t="shared" ca="1" si="127"/>
        <v>0</v>
      </c>
      <c r="BY20" s="392" t="str">
        <f t="shared" ca="1" si="128"/>
        <v>да</v>
      </c>
      <c r="BZ20" s="392">
        <f t="shared" ca="1" si="129"/>
        <v>0</v>
      </c>
      <c r="CA20" s="462">
        <f t="shared" ca="1" si="130"/>
        <v>304.5</v>
      </c>
      <c r="CB20" s="390">
        <f t="shared" ca="1" si="52"/>
        <v>0.47569444444444442</v>
      </c>
      <c r="CC20" s="391">
        <f t="shared" ca="1" si="131"/>
        <v>0.47569444444444442</v>
      </c>
      <c r="CD20" s="391">
        <f ca="1">IF(OR(CB20=0,CC20=0),0,вРазн(CC20,CB20))</f>
        <v>0</v>
      </c>
      <c r="CE20" s="391"/>
      <c r="CF20" s="391"/>
      <c r="CG20" s="397">
        <f t="shared" ca="1" si="132"/>
        <v>0.48348379629629629</v>
      </c>
      <c r="CH20" s="398">
        <f t="shared" ca="1" si="54"/>
        <v>0.48598379629629629</v>
      </c>
      <c r="CI20" s="399" t="str">
        <f ca="1">IF(CH20&lt;&gt;0,вПМ(CH20,CG20,"s"),"")</f>
        <v>+</v>
      </c>
      <c r="CJ20" s="398">
        <f ca="1">IF(CH20&lt;&gt;0,вРазн(CH20,CG20,"s"), 0)</f>
        <v>2.499997615814209E-3</v>
      </c>
      <c r="CK20" s="462">
        <f t="shared" ca="1" si="133"/>
        <v>216</v>
      </c>
      <c r="CL20" s="397">
        <f t="shared" ca="1" si="134"/>
        <v>0.50024305555555559</v>
      </c>
      <c r="CM20" s="398">
        <f t="shared" ca="1" si="57"/>
        <v>0.50785879629629627</v>
      </c>
      <c r="CN20" s="392" t="str">
        <f ca="1">IF(AND(CM20&lt;&gt;0,CL20&lt;&gt;0),вПМ(CM20,CL20,"s"),"")</f>
        <v>+</v>
      </c>
      <c r="CO20" s="398">
        <f ca="1">IF(AND(CM20&lt;&gt;0,CL20&lt;&gt;0),вРазн(CM20,CL20,"s"), 0)</f>
        <v>7.6157450675964355E-3</v>
      </c>
      <c r="CP20" s="462">
        <f t="shared" ca="1" si="135"/>
        <v>600</v>
      </c>
      <c r="CQ20" s="390">
        <f t="shared" ca="1" si="59"/>
        <v>0.57430555555555551</v>
      </c>
      <c r="CR20" s="391">
        <f t="shared" ca="1" si="136"/>
        <v>0.57430555555555551</v>
      </c>
      <c r="CS20" s="391">
        <f ca="1">IF(OR(CQ20=0,CR20=0),0,вРазн(CR20,CQ20))</f>
        <v>0</v>
      </c>
      <c r="CT20" s="391"/>
      <c r="CU20" s="391"/>
      <c r="CV20" s="397">
        <f t="shared" ca="1" si="137"/>
        <v>0.58126157407407408</v>
      </c>
      <c r="CW20" s="398">
        <f t="shared" ca="1" si="61"/>
        <v>0.5821412037037037</v>
      </c>
      <c r="CX20" s="399" t="str">
        <f ca="1">IF(CW20&lt;&gt;0,вПМ(CW20,CV20,"s"),"")</f>
        <v>+</v>
      </c>
      <c r="CY20" s="398">
        <f ca="1">IF(CW20&lt;&gt;0,вРазн(CW20,CV20,"s"), 0)</f>
        <v>8.7964534759521484E-4</v>
      </c>
      <c r="CZ20" s="462">
        <f t="shared" ca="1" si="138"/>
        <v>76</v>
      </c>
      <c r="DA20" s="397">
        <f t="shared" ca="1" si="139"/>
        <v>0.58262731481481478</v>
      </c>
      <c r="DB20" s="398">
        <f t="shared" ca="1" si="64"/>
        <v>0.58270833333333327</v>
      </c>
      <c r="DC20" s="392" t="str">
        <f ca="1">IF(AND(DB20&lt;&gt;0,DA20&lt;&gt;0),вПМ(DB20,DA20,"s"),"")</f>
        <v>+</v>
      </c>
      <c r="DD20" s="398">
        <f ca="1">IF(AND(DB20&lt;&gt;0,DA20&lt;&gt;0),вРазн(DB20,DA20,"s"), 0)</f>
        <v>8.106231689453125E-5</v>
      </c>
      <c r="DE20" s="462">
        <f t="shared" ca="1" si="140"/>
        <v>7</v>
      </c>
      <c r="DF20" s="390">
        <f t="shared" ca="1" si="66"/>
        <v>0</v>
      </c>
      <c r="DG20" s="391">
        <f t="shared" ca="1" si="141"/>
        <v>0</v>
      </c>
      <c r="DH20" s="391">
        <f t="shared" ca="1" si="142"/>
        <v>0</v>
      </c>
      <c r="DI20" s="401">
        <f t="shared" ca="1" si="143"/>
        <v>69.599999999999994</v>
      </c>
      <c r="DJ20" s="401">
        <f t="shared" ca="1" si="144"/>
        <v>0</v>
      </c>
      <c r="DK20" s="392">
        <f t="shared" ca="1" si="145"/>
        <v>0</v>
      </c>
      <c r="DL20" s="392">
        <f t="shared" ca="1" si="146"/>
        <v>0</v>
      </c>
      <c r="DM20" s="392">
        <f t="shared" ca="1" si="147"/>
        <v>0</v>
      </c>
      <c r="DN20" s="462">
        <f t="shared" ca="1" si="148"/>
        <v>208.79999999999998</v>
      </c>
      <c r="DO20" s="402">
        <f t="shared" ca="1" si="72"/>
        <v>0</v>
      </c>
      <c r="DP20" s="400">
        <f t="shared" ca="1" si="149"/>
        <v>0</v>
      </c>
      <c r="DQ20" s="402">
        <f t="shared" ca="1" si="72"/>
        <v>0</v>
      </c>
      <c r="DR20" s="400">
        <f t="shared" ca="1" si="150"/>
        <v>480</v>
      </c>
      <c r="DS20" s="390">
        <f t="shared" ca="1" si="75"/>
        <v>0.65486111111111112</v>
      </c>
      <c r="DT20" s="396">
        <f t="shared" ca="1" si="151"/>
        <v>0</v>
      </c>
      <c r="DU20" s="390">
        <f t="shared" ca="1" si="75"/>
        <v>0</v>
      </c>
      <c r="DV20" s="396">
        <f t="shared" ca="1" si="152"/>
        <v>900</v>
      </c>
      <c r="DW20" s="459"/>
      <c r="DX20" s="459"/>
      <c r="DY20" s="459"/>
      <c r="DZ20" s="459"/>
      <c r="EA20" s="459"/>
      <c r="EB20" s="459"/>
      <c r="EC20" s="459"/>
      <c r="ED20" s="459"/>
      <c r="EE20" s="459"/>
      <c r="EF20" s="459"/>
      <c r="EG20" s="459"/>
      <c r="EH20" s="459"/>
      <c r="EI20" s="459"/>
      <c r="EJ20" s="459"/>
      <c r="EK20" s="459"/>
      <c r="EL20" s="459"/>
      <c r="EM20" s="459"/>
      <c r="EN20" s="459"/>
      <c r="EO20" s="459"/>
      <c r="EP20" s="459"/>
      <c r="EQ20" s="459"/>
      <c r="ER20" s="459"/>
      <c r="ES20" s="459"/>
      <c r="ET20" s="459"/>
      <c r="EU20" s="390" t="e">
        <f t="shared" ca="1" si="153"/>
        <v>#VALUE!</v>
      </c>
      <c r="EV20" s="391">
        <f t="shared" ca="1" si="154"/>
        <v>0</v>
      </c>
      <c r="EW20" s="392" t="e">
        <f ca="1">IF(AND(EV20&lt;&gt;0,EU20&lt;&gt;0),вПМ(EV20,EU20),"")</f>
        <v>#VALUE!</v>
      </c>
      <c r="EX20" s="391">
        <f ca="1">IF(EV20&lt;&gt;0,вРазн(EV20,EU20), 0)</f>
        <v>0</v>
      </c>
      <c r="EY20" s="396">
        <f t="shared" ca="1" si="155"/>
        <v>900</v>
      </c>
      <c r="EZ20" s="390">
        <f t="shared" ca="1" si="81"/>
        <v>0</v>
      </c>
      <c r="FA20" s="391">
        <f t="shared" ca="1" si="156"/>
        <v>0</v>
      </c>
      <c r="FB20" s="391">
        <f t="shared" ca="1" si="157"/>
        <v>0</v>
      </c>
      <c r="FC20" s="401">
        <f t="shared" ca="1" si="158"/>
        <v>81.5</v>
      </c>
      <c r="FD20" s="401">
        <f t="shared" ca="1" si="159"/>
        <v>0</v>
      </c>
      <c r="FE20" s="401">
        <f t="shared" ca="1" si="160"/>
        <v>0</v>
      </c>
      <c r="FF20" s="392" t="str">
        <f t="shared" ca="1" si="161"/>
        <v>да</v>
      </c>
      <c r="FG20" s="392">
        <f t="shared" ca="1" si="162"/>
        <v>0</v>
      </c>
      <c r="FH20" s="462">
        <f t="shared" ca="1" si="163"/>
        <v>274.5</v>
      </c>
      <c r="FI20" s="403"/>
    </row>
    <row r="21" spans="1:165" s="20" customFormat="1" x14ac:dyDescent="0.25">
      <c r="A21" s="253">
        <f>стартоваяВедомость!B21</f>
        <v>12</v>
      </c>
      <c r="B21" s="241" t="str">
        <f t="shared" ca="1" si="1"/>
        <v>Renault Symbol</v>
      </c>
      <c r="C21" s="241" t="str">
        <f t="shared" ca="1" si="2"/>
        <v>Карамелли Кристиан</v>
      </c>
      <c r="D21" s="241" t="str">
        <f t="shared" ca="1" si="3"/>
        <v>Мельникова Яна</v>
      </c>
      <c r="E21" s="241" t="str">
        <f t="shared" ca="1" si="4"/>
        <v>Москва</v>
      </c>
      <c r="F21" s="241" t="str">
        <f t="shared" ca="1" si="5"/>
        <v>Light</v>
      </c>
      <c r="G21" s="487">
        <f t="shared" ca="1" si="90"/>
        <v>1355.2</v>
      </c>
      <c r="H21" s="487">
        <f t="shared" ca="1" si="91"/>
        <v>0</v>
      </c>
      <c r="I21" s="487">
        <f t="shared" ca="1" si="92"/>
        <v>995.2</v>
      </c>
      <c r="J21" s="487">
        <f t="shared" ca="1" si="93"/>
        <v>360</v>
      </c>
      <c r="K21" s="242">
        <f t="shared" ca="1" si="9"/>
        <v>0.42499999999999999</v>
      </c>
      <c r="L21" s="122">
        <f t="shared" ca="1" si="94"/>
        <v>0.42499999999999999</v>
      </c>
      <c r="M21" s="243" t="str">
        <f ca="1">IF(L21&lt;&gt;0,вПМ(L21,K21),"")</f>
        <v/>
      </c>
      <c r="N21" s="122">
        <f ca="1">IF(L21&lt;&gt;0,вРазн(L21,K21), 0)</f>
        <v>0</v>
      </c>
      <c r="O21" s="301">
        <f t="shared" ca="1" si="95"/>
        <v>0</v>
      </c>
      <c r="P21" s="300">
        <f t="shared" ca="1" si="12"/>
        <v>4.86111119389534E-2</v>
      </c>
      <c r="Q21" s="294"/>
      <c r="R21" s="242">
        <f t="shared" ca="1" si="96"/>
        <v>0.47361111193895339</v>
      </c>
      <c r="S21" s="122">
        <f t="shared" ca="1" si="97"/>
        <v>0.47361111111111115</v>
      </c>
      <c r="T21" s="243" t="str">
        <f ca="1">IF(S21&lt;&gt;0,вПМ(S21,R21),"")</f>
        <v/>
      </c>
      <c r="U21" s="122">
        <f ca="1">IF(S21&lt;&gt;0,вРазн(S21,R21), 0)</f>
        <v>0</v>
      </c>
      <c r="V21" s="301">
        <f t="shared" ca="1" si="98"/>
        <v>0</v>
      </c>
      <c r="W21" s="300">
        <f t="shared" ca="1" si="16"/>
        <v>4.86111119389534E-2</v>
      </c>
      <c r="X21" s="122"/>
      <c r="Y21" s="294">
        <f t="shared" ca="1" si="99"/>
        <v>0</v>
      </c>
      <c r="Z21" s="242">
        <f t="shared" ca="1" si="100"/>
        <v>0.52500000082784237</v>
      </c>
      <c r="AA21" s="122">
        <f t="shared" ca="1" si="101"/>
        <v>0.52500000000000002</v>
      </c>
      <c r="AB21" s="243" t="str">
        <f ca="1">IF(AA21&lt;&gt;0,вПМ(AA21,Z21),"")</f>
        <v/>
      </c>
      <c r="AC21" s="122">
        <f ca="1">IF(AA21&lt;&gt;0,вРазн(AA21,Z21), 0)</f>
        <v>0</v>
      </c>
      <c r="AD21" s="301">
        <f t="shared" ca="1" si="102"/>
        <v>0</v>
      </c>
      <c r="AE21" s="300">
        <f t="shared" ca="1" si="21"/>
        <v>2.43055559694767E-2</v>
      </c>
      <c r="AF21" s="122"/>
      <c r="AG21" s="294">
        <f t="shared" ca="1" si="103"/>
        <v>0</v>
      </c>
      <c r="AH21" s="242">
        <f t="shared" ca="1" si="104"/>
        <v>0.54930555596947672</v>
      </c>
      <c r="AI21" s="122">
        <f t="shared" ca="1" si="105"/>
        <v>0.5493055555555556</v>
      </c>
      <c r="AJ21" s="243" t="str">
        <f ca="1">IF(AI21&lt;&gt;0,вПМ(AI21,AH21),"")</f>
        <v/>
      </c>
      <c r="AK21" s="122">
        <f ca="1">IF(AI21&lt;&gt;0,вРазн(AI21,AH21), 0)</f>
        <v>0</v>
      </c>
      <c r="AL21" s="301">
        <f t="shared" ca="1" si="106"/>
        <v>0</v>
      </c>
      <c r="AM21" s="300">
        <f t="shared" ca="1" si="26"/>
        <v>2.43055559694767E-2</v>
      </c>
      <c r="AN21" s="122"/>
      <c r="AO21" s="294">
        <f t="shared" ca="1" si="107"/>
        <v>0</v>
      </c>
      <c r="AP21" s="242">
        <f t="shared" ca="1" si="108"/>
        <v>0.5736111115250323</v>
      </c>
      <c r="AQ21" s="122">
        <f t="shared" ca="1" si="109"/>
        <v>0.57361111111111118</v>
      </c>
      <c r="AR21" s="243" t="str">
        <f ca="1">IF(AQ21&lt;&gt;0,вПМ(AQ21,AP21),"")</f>
        <v/>
      </c>
      <c r="AS21" s="122">
        <f ca="1">IF(AQ21&lt;&gt;0,вРазн(AQ21,AP21), 0)</f>
        <v>0</v>
      </c>
      <c r="AT21" s="301">
        <f t="shared" ca="1" si="110"/>
        <v>0</v>
      </c>
      <c r="AU21" s="300">
        <f t="shared" ca="1" si="31"/>
        <v>3.125E-2</v>
      </c>
      <c r="AV21" s="122"/>
      <c r="AW21" s="294">
        <f t="shared" ca="1" si="111"/>
        <v>0</v>
      </c>
      <c r="AX21" s="242">
        <f t="shared" ca="1" si="112"/>
        <v>0.6069444444444444</v>
      </c>
      <c r="AY21" s="122">
        <f t="shared" ca="1" si="113"/>
        <v>0.6069444444444444</v>
      </c>
      <c r="AZ21" s="243" t="str">
        <f ca="1">IF(AY21&lt;&gt;0,вПМ(AY21,AX21),"")</f>
        <v/>
      </c>
      <c r="BA21" s="122">
        <f ca="1">IF(AY21&lt;&gt;0,вРазн(AY21,AX21), 0)</f>
        <v>0</v>
      </c>
      <c r="BB21" s="301">
        <f t="shared" ca="1" si="114"/>
        <v>0</v>
      </c>
      <c r="BC21" s="300">
        <f t="shared" ca="1" si="36"/>
        <v>4.1666667908430099E-2</v>
      </c>
      <c r="BD21" s="122"/>
      <c r="BE21" s="294">
        <f t="shared" ca="1" si="115"/>
        <v>0</v>
      </c>
      <c r="BF21" s="242">
        <f t="shared" ca="1" si="116"/>
        <v>0.6486111123528745</v>
      </c>
      <c r="BG21" s="122">
        <f t="shared" ca="1" si="117"/>
        <v>0.64861111111111114</v>
      </c>
      <c r="BH21" s="243" t="str">
        <f ca="1">IF(BG21&lt;&gt;0,вПМ(BG21,BF21),"")</f>
        <v/>
      </c>
      <c r="BI21" s="122">
        <f ca="1">IF(BG21&lt;&gt;0,вРазн(BG21,BF21), 0)</f>
        <v>0</v>
      </c>
      <c r="BJ21" s="301">
        <f t="shared" ca="1" si="118"/>
        <v>0</v>
      </c>
      <c r="BK21" s="300">
        <f t="shared" ca="1" si="41"/>
        <v>2.777777798473835E-2</v>
      </c>
      <c r="BL21" s="122"/>
      <c r="BM21" s="294">
        <f t="shared" ca="1" si="119"/>
        <v>0</v>
      </c>
      <c r="BN21" s="242">
        <f t="shared" ca="1" si="120"/>
        <v>0.67638888909584949</v>
      </c>
      <c r="BO21" s="122">
        <f t="shared" ca="1" si="121"/>
        <v>0.67569444444444438</v>
      </c>
      <c r="BP21" s="243" t="str">
        <f ca="1">IF(BO21&lt;&gt;0,вПМ(BO21,BN21),"")</f>
        <v/>
      </c>
      <c r="BQ21" s="122">
        <f ca="1">IF(BO21&lt;&gt;0,вРазн(BO21,BN21), 0)</f>
        <v>6.9439411163330078E-4</v>
      </c>
      <c r="BR21" s="244">
        <f t="shared" ca="1" si="122"/>
        <v>0</v>
      </c>
      <c r="BS21" s="242">
        <f t="shared" ca="1" si="46"/>
        <v>0</v>
      </c>
      <c r="BT21" s="122">
        <f t="shared" ca="1" si="123"/>
        <v>0</v>
      </c>
      <c r="BU21" s="122">
        <f t="shared" ca="1" si="124"/>
        <v>0</v>
      </c>
      <c r="BV21" s="248">
        <f t="shared" ca="1" si="125"/>
        <v>99.9</v>
      </c>
      <c r="BW21" s="248">
        <f t="shared" ca="1" si="126"/>
        <v>0</v>
      </c>
      <c r="BX21" s="243">
        <f t="shared" ca="1" si="127"/>
        <v>0</v>
      </c>
      <c r="BY21" s="243">
        <f t="shared" ca="1" si="128"/>
        <v>0</v>
      </c>
      <c r="BZ21" s="243">
        <f t="shared" ca="1" si="129"/>
        <v>0</v>
      </c>
      <c r="CA21" s="463">
        <f t="shared" ca="1" si="130"/>
        <v>299.70000000000005</v>
      </c>
      <c r="CB21" s="242">
        <f t="shared" ca="1" si="52"/>
        <v>0.47638888888888892</v>
      </c>
      <c r="CC21" s="122">
        <f t="shared" ca="1" si="131"/>
        <v>0.47638888888888892</v>
      </c>
      <c r="CD21" s="122">
        <f ca="1">IF(OR(CB21=0,CC21=0),0,вРазн(CC21,CB21))</f>
        <v>0</v>
      </c>
      <c r="CE21" s="122"/>
      <c r="CF21" s="122"/>
      <c r="CG21" s="247">
        <f t="shared" ca="1" si="132"/>
        <v>0.48417824074074078</v>
      </c>
      <c r="CH21" s="245">
        <f t="shared" ca="1" si="54"/>
        <v>0.48381944444444441</v>
      </c>
      <c r="CI21" s="240" t="str">
        <f ca="1">IF(CH21&lt;&gt;0,вПМ(CH21,CG21,"s"),"")</f>
        <v>-</v>
      </c>
      <c r="CJ21" s="245">
        <f ca="1">IF(CH21&lt;&gt;0,вРазн(CH21,CG21,"s"), 0)</f>
        <v>3.5879015922546387E-4</v>
      </c>
      <c r="CK21" s="463">
        <f t="shared" ca="1" si="133"/>
        <v>31</v>
      </c>
      <c r="CL21" s="247">
        <f t="shared" ca="1" si="134"/>
        <v>0.49807870370370366</v>
      </c>
      <c r="CM21" s="245">
        <f t="shared" ca="1" si="57"/>
        <v>0.49586805555555552</v>
      </c>
      <c r="CN21" s="243" t="str">
        <f ca="1">IF(AND(CM21&lt;&gt;0,CL21&lt;&gt;0),вПМ(CM21,CL21,"s"),"")</f>
        <v>-</v>
      </c>
      <c r="CO21" s="245">
        <f ca="1">IF(AND(CM21&lt;&gt;0,CL21&lt;&gt;0),вРазн(CM21,CL21,"s"), 0)</f>
        <v>2.2106468677520752E-3</v>
      </c>
      <c r="CP21" s="463">
        <f t="shared" ca="1" si="135"/>
        <v>191</v>
      </c>
      <c r="CQ21" s="242">
        <f t="shared" ca="1" si="59"/>
        <v>0.5756944444444444</v>
      </c>
      <c r="CR21" s="122">
        <f t="shared" ca="1" si="136"/>
        <v>0.5756944444444444</v>
      </c>
      <c r="CS21" s="122">
        <f ca="1">IF(OR(CQ21=0,CR21=0),0,вРазн(CR21,CQ21))</f>
        <v>0</v>
      </c>
      <c r="CT21" s="122"/>
      <c r="CU21" s="122"/>
      <c r="CV21" s="247">
        <f t="shared" ca="1" si="137"/>
        <v>0.58265046296296297</v>
      </c>
      <c r="CW21" s="245">
        <f t="shared" ca="1" si="61"/>
        <v>0.58259259259259266</v>
      </c>
      <c r="CX21" s="240" t="str">
        <f ca="1">IF(CW21&lt;&gt;0,вПМ(CW21,CV21,"s"),"")</f>
        <v>-</v>
      </c>
      <c r="CY21" s="245">
        <f ca="1">IF(CW21&lt;&gt;0,вРазн(CW21,CV21,"s"), 0)</f>
        <v>5.7876110076904297E-5</v>
      </c>
      <c r="CZ21" s="463">
        <f t="shared" ca="1" si="138"/>
        <v>5</v>
      </c>
      <c r="DA21" s="247">
        <f t="shared" ca="1" si="139"/>
        <v>0.58307870370370374</v>
      </c>
      <c r="DB21" s="245">
        <f t="shared" ca="1" si="64"/>
        <v>0.58298611111111109</v>
      </c>
      <c r="DC21" s="243" t="str">
        <f ca="1">IF(AND(DB21&lt;&gt;0,DA21&lt;&gt;0),вПМ(DB21,DA21,"s"),"")</f>
        <v>-</v>
      </c>
      <c r="DD21" s="245">
        <f ca="1">IF(AND(DB21&lt;&gt;0,DA21&lt;&gt;0),вРазн(DB21,DA21,"s"), 0)</f>
        <v>9.2566013336181641E-5</v>
      </c>
      <c r="DE21" s="463">
        <f t="shared" ca="1" si="140"/>
        <v>8</v>
      </c>
      <c r="DF21" s="242">
        <f t="shared" ca="1" si="66"/>
        <v>0</v>
      </c>
      <c r="DG21" s="122">
        <f t="shared" ca="1" si="141"/>
        <v>0</v>
      </c>
      <c r="DH21" s="122">
        <f t="shared" ca="1" si="142"/>
        <v>0</v>
      </c>
      <c r="DI21" s="248">
        <f t="shared" ca="1" si="143"/>
        <v>53.5</v>
      </c>
      <c r="DJ21" s="248">
        <f t="shared" ca="1" si="144"/>
        <v>0</v>
      </c>
      <c r="DK21" s="243">
        <f t="shared" ca="1" si="145"/>
        <v>0</v>
      </c>
      <c r="DL21" s="243">
        <f t="shared" ca="1" si="146"/>
        <v>0</v>
      </c>
      <c r="DM21" s="243" t="str">
        <f t="shared" ca="1" si="147"/>
        <v>да</v>
      </c>
      <c r="DN21" s="463">
        <f t="shared" ca="1" si="148"/>
        <v>460.5</v>
      </c>
      <c r="DO21" s="249">
        <f t="shared" ca="1" si="72"/>
        <v>0</v>
      </c>
      <c r="DP21" s="246">
        <f t="shared" ca="1" si="149"/>
        <v>0</v>
      </c>
      <c r="DQ21" s="249">
        <f t="shared" ca="1" si="72"/>
        <v>0</v>
      </c>
      <c r="DR21" s="246">
        <f t="shared" ca="1" si="150"/>
        <v>360</v>
      </c>
      <c r="DS21" s="242">
        <f t="shared" ca="1" si="75"/>
        <v>0.65625</v>
      </c>
      <c r="DT21" s="244">
        <f t="shared" ca="1" si="151"/>
        <v>0</v>
      </c>
      <c r="DU21" s="242">
        <f t="shared" ca="1" si="75"/>
        <v>0.67222222222222217</v>
      </c>
      <c r="DV21" s="244">
        <f t="shared" ca="1" si="152"/>
        <v>0</v>
      </c>
      <c r="DW21" s="459"/>
      <c r="DX21" s="459"/>
      <c r="DY21" s="459"/>
      <c r="DZ21" s="459"/>
      <c r="EA21" s="459"/>
      <c r="EB21" s="459"/>
      <c r="EC21" s="459"/>
      <c r="ED21" s="459"/>
      <c r="EE21" s="459"/>
      <c r="EF21" s="459"/>
      <c r="EG21" s="459"/>
      <c r="EH21" s="459"/>
      <c r="EI21" s="459"/>
      <c r="EJ21" s="459"/>
      <c r="EK21" s="459"/>
      <c r="EL21" s="459"/>
      <c r="EM21" s="459"/>
      <c r="EN21" s="459"/>
      <c r="EO21" s="459"/>
      <c r="EP21" s="459"/>
      <c r="EQ21" s="459"/>
      <c r="ER21" s="459"/>
      <c r="ES21" s="459"/>
      <c r="ET21" s="459"/>
      <c r="EU21" s="242" t="e">
        <f t="shared" ca="1" si="153"/>
        <v>#VALUE!</v>
      </c>
      <c r="EV21" s="122">
        <f t="shared" ca="1" si="154"/>
        <v>0</v>
      </c>
      <c r="EW21" s="243" t="e">
        <f ca="1">IF(AND(EV21&lt;&gt;0,EU21&lt;&gt;0),вПМ(EV21,EU21),"")</f>
        <v>#VALUE!</v>
      </c>
      <c r="EX21" s="122">
        <f ca="1">IF(EV21&lt;&gt;0,вРазн(EV21,EU21), 0)</f>
        <v>0</v>
      </c>
      <c r="EY21" s="244">
        <f t="shared" ca="1" si="155"/>
        <v>900</v>
      </c>
      <c r="EZ21" s="242">
        <f t="shared" ca="1" si="81"/>
        <v>0</v>
      </c>
      <c r="FA21" s="122">
        <f t="shared" ca="1" si="156"/>
        <v>0</v>
      </c>
      <c r="FB21" s="122">
        <f t="shared" ca="1" si="157"/>
        <v>0</v>
      </c>
      <c r="FC21" s="248">
        <f t="shared" ca="1" si="158"/>
        <v>99.9</v>
      </c>
      <c r="FD21" s="248">
        <f t="shared" ca="1" si="159"/>
        <v>0</v>
      </c>
      <c r="FE21" s="248">
        <f t="shared" ca="1" si="160"/>
        <v>0</v>
      </c>
      <c r="FF21" s="243">
        <f t="shared" ca="1" si="161"/>
        <v>0</v>
      </c>
      <c r="FG21" s="243">
        <f t="shared" ca="1" si="162"/>
        <v>0</v>
      </c>
      <c r="FH21" s="463">
        <f t="shared" ca="1" si="163"/>
        <v>299.70000000000005</v>
      </c>
    </row>
    <row r="22" spans="1:165" s="236" customFormat="1" x14ac:dyDescent="0.25">
      <c r="A22" s="388">
        <f>стартоваяВедомость!B22</f>
        <v>13</v>
      </c>
      <c r="B22" s="389" t="str">
        <f t="shared" ca="1" si="1"/>
        <v xml:space="preserve">Kia ceed </v>
      </c>
      <c r="C22" s="389" t="str">
        <f t="shared" ca="1" si="2"/>
        <v xml:space="preserve">Семченкова Екатерина </v>
      </c>
      <c r="D22" s="389" t="str">
        <f t="shared" ca="1" si="3"/>
        <v xml:space="preserve">Курилина Ольга </v>
      </c>
      <c r="E22" s="389" t="str">
        <f t="shared" ca="1" si="4"/>
        <v>Смоленск</v>
      </c>
      <c r="F22" s="389" t="str">
        <f t="shared" ca="1" si="5"/>
        <v>Light, Аэропорт</v>
      </c>
      <c r="G22" s="486">
        <f t="shared" ca="1" si="90"/>
        <v>1870</v>
      </c>
      <c r="H22" s="486">
        <f t="shared" ca="1" si="91"/>
        <v>540</v>
      </c>
      <c r="I22" s="486">
        <f t="shared" ca="1" si="92"/>
        <v>730</v>
      </c>
      <c r="J22" s="486">
        <f t="shared" ca="1" si="93"/>
        <v>600</v>
      </c>
      <c r="K22" s="390">
        <f t="shared" ca="1" si="9"/>
        <v>0.42569444444444443</v>
      </c>
      <c r="L22" s="391">
        <f t="shared" ca="1" si="94"/>
        <v>0.42569444444444443</v>
      </c>
      <c r="M22" s="392" t="str">
        <f ca="1">IF(L22&lt;&gt;0,вПМ(L22,K22),"")</f>
        <v/>
      </c>
      <c r="N22" s="391">
        <f ca="1">IF(L22&lt;&gt;0,вРазн(L22,K22), 0)</f>
        <v>0</v>
      </c>
      <c r="O22" s="393">
        <f t="shared" ca="1" si="95"/>
        <v>0</v>
      </c>
      <c r="P22" s="394">
        <f t="shared" ca="1" si="12"/>
        <v>4.86111119389534E-2</v>
      </c>
      <c r="Q22" s="395"/>
      <c r="R22" s="390">
        <f t="shared" ca="1" si="96"/>
        <v>0.47430555638339783</v>
      </c>
      <c r="S22" s="391">
        <f t="shared" ca="1" si="97"/>
        <v>0.47430555555555554</v>
      </c>
      <c r="T22" s="392" t="str">
        <f ca="1">IF(S22&lt;&gt;0,вПМ(S22,R22),"")</f>
        <v/>
      </c>
      <c r="U22" s="391">
        <f ca="1">IF(S22&lt;&gt;0,вРазн(S22,R22), 0)</f>
        <v>0</v>
      </c>
      <c r="V22" s="393">
        <f t="shared" ca="1" si="98"/>
        <v>0</v>
      </c>
      <c r="W22" s="394">
        <f t="shared" ca="1" si="16"/>
        <v>4.86111119389534E-2</v>
      </c>
      <c r="X22" s="391"/>
      <c r="Y22" s="395">
        <f t="shared" ca="1" si="99"/>
        <v>0</v>
      </c>
      <c r="Z22" s="390">
        <f t="shared" ca="1" si="100"/>
        <v>0.5256944452722867</v>
      </c>
      <c r="AA22" s="391">
        <f t="shared" ca="1" si="101"/>
        <v>0.52569444444444446</v>
      </c>
      <c r="AB22" s="392" t="str">
        <f ca="1">IF(AA22&lt;&gt;0,вПМ(AA22,Z22),"")</f>
        <v/>
      </c>
      <c r="AC22" s="391">
        <f ca="1">IF(AA22&lt;&gt;0,вРазн(AA22,Z22), 0)</f>
        <v>0</v>
      </c>
      <c r="AD22" s="393">
        <f t="shared" ca="1" si="102"/>
        <v>0</v>
      </c>
      <c r="AE22" s="394">
        <f t="shared" ca="1" si="21"/>
        <v>2.43055559694767E-2</v>
      </c>
      <c r="AF22" s="391"/>
      <c r="AG22" s="395">
        <f t="shared" ca="1" si="103"/>
        <v>0</v>
      </c>
      <c r="AH22" s="390">
        <f t="shared" ca="1" si="104"/>
        <v>0.55000000041392116</v>
      </c>
      <c r="AI22" s="391">
        <f t="shared" ca="1" si="105"/>
        <v>0.54999999999999993</v>
      </c>
      <c r="AJ22" s="392" t="str">
        <f ca="1">IF(AI22&lt;&gt;0,вПМ(AI22,AH22),"")</f>
        <v/>
      </c>
      <c r="AK22" s="391">
        <f ca="1">IF(AI22&lt;&gt;0,вРазн(AI22,AH22), 0)</f>
        <v>0</v>
      </c>
      <c r="AL22" s="393">
        <f t="shared" ca="1" si="106"/>
        <v>0</v>
      </c>
      <c r="AM22" s="394">
        <f t="shared" ca="1" si="26"/>
        <v>2.43055559694767E-2</v>
      </c>
      <c r="AN22" s="391"/>
      <c r="AO22" s="395">
        <f t="shared" ca="1" si="107"/>
        <v>0</v>
      </c>
      <c r="AP22" s="390">
        <f t="shared" ca="1" si="108"/>
        <v>0.57430555596947663</v>
      </c>
      <c r="AQ22" s="391">
        <f t="shared" ca="1" si="109"/>
        <v>0.57430555555555551</v>
      </c>
      <c r="AR22" s="392" t="str">
        <f ca="1">IF(AQ22&lt;&gt;0,вПМ(AQ22,AP22),"")</f>
        <v/>
      </c>
      <c r="AS22" s="391">
        <f ca="1">IF(AQ22&lt;&gt;0,вРазн(AQ22,AP22), 0)</f>
        <v>0</v>
      </c>
      <c r="AT22" s="393">
        <f t="shared" ca="1" si="110"/>
        <v>0</v>
      </c>
      <c r="AU22" s="394">
        <f t="shared" ca="1" si="31"/>
        <v>3.125E-2</v>
      </c>
      <c r="AV22" s="391"/>
      <c r="AW22" s="395">
        <f t="shared" ca="1" si="111"/>
        <v>0</v>
      </c>
      <c r="AX22" s="390">
        <f t="shared" ca="1" si="112"/>
        <v>0.60833333333333328</v>
      </c>
      <c r="AY22" s="391">
        <f t="shared" ca="1" si="113"/>
        <v>0.60833333333333328</v>
      </c>
      <c r="AZ22" s="392" t="str">
        <f ca="1">IF(AY22&lt;&gt;0,вПМ(AY22,AX22),"")</f>
        <v/>
      </c>
      <c r="BA22" s="391">
        <f ca="1">IF(AY22&lt;&gt;0,вРазн(AY22,AX22), 0)</f>
        <v>0</v>
      </c>
      <c r="BB22" s="393">
        <f t="shared" ca="1" si="114"/>
        <v>0</v>
      </c>
      <c r="BC22" s="394">
        <f t="shared" ca="1" si="36"/>
        <v>4.1666667908430099E-2</v>
      </c>
      <c r="BD22" s="391"/>
      <c r="BE22" s="395">
        <f t="shared" ca="1" si="115"/>
        <v>0</v>
      </c>
      <c r="BF22" s="390">
        <f t="shared" ca="1" si="116"/>
        <v>0.65000000124176338</v>
      </c>
      <c r="BG22" s="391">
        <f t="shared" ca="1" si="117"/>
        <v>0.65</v>
      </c>
      <c r="BH22" s="392" t="str">
        <f ca="1">IF(BG22&lt;&gt;0,вПМ(BG22,BF22),"")</f>
        <v/>
      </c>
      <c r="BI22" s="391">
        <f ca="1">IF(BG22&lt;&gt;0,вРазн(BG22,BF22), 0)</f>
        <v>0</v>
      </c>
      <c r="BJ22" s="393">
        <f t="shared" ca="1" si="118"/>
        <v>0</v>
      </c>
      <c r="BK22" s="394">
        <f t="shared" ca="1" si="41"/>
        <v>2.777777798473835E-2</v>
      </c>
      <c r="BL22" s="391"/>
      <c r="BM22" s="395">
        <f t="shared" ca="1" si="119"/>
        <v>0</v>
      </c>
      <c r="BN22" s="390">
        <f t="shared" ca="1" si="120"/>
        <v>0.67777777798473837</v>
      </c>
      <c r="BO22" s="391">
        <f t="shared" ca="1" si="121"/>
        <v>0.68402777777777779</v>
      </c>
      <c r="BP22" s="392" t="str">
        <f ca="1">IF(BO22&lt;&gt;0,вПМ(BO22,BN22),"")</f>
        <v>+</v>
      </c>
      <c r="BQ22" s="391">
        <f ca="1">IF(BO22&lt;&gt;0,вРазн(BO22,BN22), 0)</f>
        <v>6.2500238418579102E-3</v>
      </c>
      <c r="BR22" s="396">
        <f t="shared" ca="1" si="122"/>
        <v>540</v>
      </c>
      <c r="BS22" s="390">
        <f t="shared" ca="1" si="46"/>
        <v>0</v>
      </c>
      <c r="BT22" s="391">
        <f t="shared" ca="1" si="123"/>
        <v>0</v>
      </c>
      <c r="BU22" s="391">
        <f t="shared" ca="1" si="124"/>
        <v>0</v>
      </c>
      <c r="BV22" s="401">
        <f t="shared" ca="1" si="125"/>
        <v>98.9</v>
      </c>
      <c r="BW22" s="401">
        <f t="shared" ca="1" si="126"/>
        <v>0</v>
      </c>
      <c r="BX22" s="392">
        <f t="shared" ca="1" si="127"/>
        <v>0</v>
      </c>
      <c r="BY22" s="392" t="str">
        <f t="shared" ca="1" si="128"/>
        <v>да</v>
      </c>
      <c r="BZ22" s="392">
        <f t="shared" ca="1" si="129"/>
        <v>0</v>
      </c>
      <c r="CA22" s="462">
        <f t="shared" ca="1" si="130"/>
        <v>356.70000000000005</v>
      </c>
      <c r="CB22" s="390">
        <f t="shared" ca="1" si="52"/>
        <v>0.4770833333333333</v>
      </c>
      <c r="CC22" s="391">
        <f t="shared" ca="1" si="131"/>
        <v>0.4770833333333333</v>
      </c>
      <c r="CD22" s="391">
        <f ca="1">IF(OR(CB22=0,CC22=0),0,вРазн(CC22,CB22))</f>
        <v>0</v>
      </c>
      <c r="CE22" s="391"/>
      <c r="CF22" s="391"/>
      <c r="CG22" s="397">
        <f t="shared" ca="1" si="132"/>
        <v>0.48487268518518517</v>
      </c>
      <c r="CH22" s="398">
        <f t="shared" ca="1" si="54"/>
        <v>0.48527777777777775</v>
      </c>
      <c r="CI22" s="399" t="str">
        <f ca="1">IF(CH22&lt;&gt;0,вПМ(CH22,CG22,"s"),"")</f>
        <v>+</v>
      </c>
      <c r="CJ22" s="398">
        <f ca="1">IF(CH22&lt;&gt;0,вРазн(CH22,CG22,"s"), 0)</f>
        <v>4.0507316589355469E-4</v>
      </c>
      <c r="CK22" s="462">
        <f t="shared" ca="1" si="133"/>
        <v>35</v>
      </c>
      <c r="CL22" s="397">
        <f t="shared" ca="1" si="134"/>
        <v>0.499537037037037</v>
      </c>
      <c r="CM22" s="398">
        <f t="shared" ca="1" si="57"/>
        <v>0.49898148148148147</v>
      </c>
      <c r="CN22" s="392" t="str">
        <f ca="1">IF(AND(CM22&lt;&gt;0,CL22&lt;&gt;0),вПМ(CM22,CL22,"s"),"")</f>
        <v>-</v>
      </c>
      <c r="CO22" s="398">
        <f ca="1">IF(AND(CM22&lt;&gt;0,CL22&lt;&gt;0),вРазн(CM22,CL22,"s"), 0)</f>
        <v>5.5557489395141602E-4</v>
      </c>
      <c r="CP22" s="462">
        <f t="shared" ca="1" si="135"/>
        <v>48</v>
      </c>
      <c r="CQ22" s="390">
        <f t="shared" ca="1" si="59"/>
        <v>0.57708333333333328</v>
      </c>
      <c r="CR22" s="391">
        <f t="shared" ca="1" si="136"/>
        <v>0.57708333333333328</v>
      </c>
      <c r="CS22" s="391">
        <f ca="1">IF(OR(CQ22=0,CR22=0),0,вРазн(CR22,CQ22))</f>
        <v>0</v>
      </c>
      <c r="CT22" s="391"/>
      <c r="CU22" s="391"/>
      <c r="CV22" s="397">
        <f t="shared" ca="1" si="137"/>
        <v>0.58403935185185185</v>
      </c>
      <c r="CW22" s="398">
        <f t="shared" ca="1" si="61"/>
        <v>0.58504629629629623</v>
      </c>
      <c r="CX22" s="399" t="str">
        <f ca="1">IF(CW22&lt;&gt;0,вПМ(CW22,CV22,"s"),"")</f>
        <v>+</v>
      </c>
      <c r="CY22" s="398">
        <f ca="1">IF(CW22&lt;&gt;0,вРазн(CW22,CV22,"s"), 0)</f>
        <v>1.0069608688354492E-3</v>
      </c>
      <c r="CZ22" s="462">
        <f t="shared" ca="1" si="138"/>
        <v>87</v>
      </c>
      <c r="DA22" s="397">
        <f t="shared" ca="1" si="139"/>
        <v>0.58553240740740731</v>
      </c>
      <c r="DB22" s="398">
        <f t="shared" ca="1" si="64"/>
        <v>0.58550925925925923</v>
      </c>
      <c r="DC22" s="392" t="str">
        <f ca="1">IF(AND(DB22&lt;&gt;0,DA22&lt;&gt;0),вПМ(DB22,DA22,"s"),"")</f>
        <v>-</v>
      </c>
      <c r="DD22" s="398">
        <f ca="1">IF(AND(DB22&lt;&gt;0,DA22&lt;&gt;0),вРазн(DB22,DA22,"s"), 0)</f>
        <v>2.3186206817626953E-5</v>
      </c>
      <c r="DE22" s="462">
        <f t="shared" ca="1" si="140"/>
        <v>2</v>
      </c>
      <c r="DF22" s="390">
        <f t="shared" ca="1" si="66"/>
        <v>0</v>
      </c>
      <c r="DG22" s="391">
        <f t="shared" ca="1" si="141"/>
        <v>0</v>
      </c>
      <c r="DH22" s="391">
        <f t="shared" ca="1" si="142"/>
        <v>0</v>
      </c>
      <c r="DI22" s="401">
        <f t="shared" ca="1" si="143"/>
        <v>67.099999999999994</v>
      </c>
      <c r="DJ22" s="401">
        <f t="shared" ca="1" si="144"/>
        <v>0</v>
      </c>
      <c r="DK22" s="392">
        <f t="shared" ca="1" si="145"/>
        <v>0</v>
      </c>
      <c r="DL22" s="392">
        <f t="shared" ca="1" si="146"/>
        <v>0</v>
      </c>
      <c r="DM22" s="392">
        <f t="shared" ca="1" si="147"/>
        <v>0</v>
      </c>
      <c r="DN22" s="462">
        <f t="shared" ca="1" si="148"/>
        <v>201.29999999999998</v>
      </c>
      <c r="DO22" s="402">
        <f t="shared" ca="1" si="72"/>
        <v>0</v>
      </c>
      <c r="DP22" s="400">
        <f t="shared" ca="1" si="149"/>
        <v>0</v>
      </c>
      <c r="DQ22" s="402">
        <f t="shared" ca="1" si="72"/>
        <v>0</v>
      </c>
      <c r="DR22" s="400">
        <f t="shared" ca="1" si="150"/>
        <v>600</v>
      </c>
      <c r="DS22" s="390">
        <f t="shared" ca="1" si="75"/>
        <v>0.65972222222222221</v>
      </c>
      <c r="DT22" s="396">
        <f t="shared" ca="1" si="151"/>
        <v>0</v>
      </c>
      <c r="DU22" s="390">
        <f t="shared" ca="1" si="75"/>
        <v>0.67708333333333337</v>
      </c>
      <c r="DV22" s="396">
        <f t="shared" ca="1" si="152"/>
        <v>0</v>
      </c>
      <c r="DW22" s="459"/>
      <c r="DX22" s="459"/>
      <c r="DY22" s="459"/>
      <c r="DZ22" s="459"/>
      <c r="EA22" s="459"/>
      <c r="EB22" s="459"/>
      <c r="EC22" s="459"/>
      <c r="ED22" s="459"/>
      <c r="EE22" s="459"/>
      <c r="EF22" s="459"/>
      <c r="EG22" s="459"/>
      <c r="EH22" s="459"/>
      <c r="EI22" s="459"/>
      <c r="EJ22" s="459"/>
      <c r="EK22" s="459"/>
      <c r="EL22" s="459"/>
      <c r="EM22" s="459"/>
      <c r="EN22" s="459"/>
      <c r="EO22" s="459"/>
      <c r="EP22" s="459"/>
      <c r="EQ22" s="459"/>
      <c r="ER22" s="459"/>
      <c r="ES22" s="459"/>
      <c r="ET22" s="459"/>
      <c r="EU22" s="390" t="e">
        <f t="shared" ca="1" si="153"/>
        <v>#VALUE!</v>
      </c>
      <c r="EV22" s="391">
        <f t="shared" ca="1" si="154"/>
        <v>0</v>
      </c>
      <c r="EW22" s="392" t="e">
        <f ca="1">IF(AND(EV22&lt;&gt;0,EU22&lt;&gt;0),вПМ(EV22,EU22),"")</f>
        <v>#VALUE!</v>
      </c>
      <c r="EX22" s="391">
        <f ca="1">IF(EV22&lt;&gt;0,вРазн(EV22,EU22), 0)</f>
        <v>0</v>
      </c>
      <c r="EY22" s="396">
        <f t="shared" ca="1" si="155"/>
        <v>900</v>
      </c>
      <c r="EZ22" s="390">
        <f t="shared" ca="1" si="81"/>
        <v>0</v>
      </c>
      <c r="FA22" s="391">
        <f t="shared" ca="1" si="156"/>
        <v>0</v>
      </c>
      <c r="FB22" s="391">
        <f t="shared" ca="1" si="157"/>
        <v>0</v>
      </c>
      <c r="FC22" s="401">
        <f t="shared" ca="1" si="158"/>
        <v>98.9</v>
      </c>
      <c r="FD22" s="401">
        <f t="shared" ca="1" si="159"/>
        <v>0</v>
      </c>
      <c r="FE22" s="401">
        <f t="shared" ca="1" si="160"/>
        <v>0</v>
      </c>
      <c r="FF22" s="392" t="str">
        <f t="shared" ca="1" si="161"/>
        <v>да</v>
      </c>
      <c r="FG22" s="392">
        <f t="shared" ca="1" si="162"/>
        <v>0</v>
      </c>
      <c r="FH22" s="462">
        <f t="shared" ca="1" si="163"/>
        <v>326.70000000000005</v>
      </c>
      <c r="FI22" s="403"/>
    </row>
    <row r="23" spans="1:165" s="20" customFormat="1" x14ac:dyDescent="0.25">
      <c r="A23" s="253">
        <f>стартоваяВедомость!B23</f>
        <v>14</v>
      </c>
      <c r="B23" s="241" t="str">
        <f t="shared" ca="1" si="1"/>
        <v xml:space="preserve">Ford Explorer </v>
      </c>
      <c r="C23" s="241" t="str">
        <f t="shared" ca="1" si="2"/>
        <v xml:space="preserve">Доценко Роман </v>
      </c>
      <c r="D23" s="241" t="str">
        <f t="shared" ca="1" si="3"/>
        <v>Доценко Ярослав</v>
      </c>
      <c r="E23" s="241" t="str">
        <f t="shared" ca="1" si="4"/>
        <v>Смоленск</v>
      </c>
      <c r="F23" s="241" t="str">
        <f t="shared" ca="1" si="5"/>
        <v>Light, Аэропорт</v>
      </c>
      <c r="G23" s="487">
        <f t="shared" ca="1" si="90"/>
        <v>2537.6999999999998</v>
      </c>
      <c r="H23" s="487">
        <f t="shared" ca="1" si="91"/>
        <v>420</v>
      </c>
      <c r="I23" s="487">
        <f t="shared" ca="1" si="92"/>
        <v>1397.6999999999998</v>
      </c>
      <c r="J23" s="487">
        <f t="shared" ca="1" si="93"/>
        <v>720</v>
      </c>
      <c r="K23" s="242">
        <f t="shared" ca="1" si="9"/>
        <v>0.42638888888888887</v>
      </c>
      <c r="L23" s="122">
        <f t="shared" ca="1" si="94"/>
        <v>0.42638888888888887</v>
      </c>
      <c r="M23" s="243" t="str">
        <f ca="1">IF(L23&lt;&gt;0,вПМ(L23,K23),"")</f>
        <v/>
      </c>
      <c r="N23" s="122">
        <f ca="1">IF(L23&lt;&gt;0,вРазн(L23,K23), 0)</f>
        <v>0</v>
      </c>
      <c r="O23" s="301">
        <f t="shared" ca="1" si="95"/>
        <v>0</v>
      </c>
      <c r="P23" s="300">
        <f t="shared" ca="1" si="12"/>
        <v>4.86111119389534E-2</v>
      </c>
      <c r="Q23" s="294"/>
      <c r="R23" s="242">
        <f t="shared" ca="1" si="96"/>
        <v>0.47500000082784227</v>
      </c>
      <c r="S23" s="122">
        <f t="shared" ca="1" si="97"/>
        <v>0.47500000000000003</v>
      </c>
      <c r="T23" s="243" t="str">
        <f ca="1">IF(S23&lt;&gt;0,вПМ(S23,R23),"")</f>
        <v/>
      </c>
      <c r="U23" s="122">
        <f ca="1">IF(S23&lt;&gt;0,вРазн(S23,R23), 0)</f>
        <v>0</v>
      </c>
      <c r="V23" s="301">
        <f t="shared" ca="1" si="98"/>
        <v>0</v>
      </c>
      <c r="W23" s="300">
        <f t="shared" ca="1" si="16"/>
        <v>4.86111119389534E-2</v>
      </c>
      <c r="X23" s="122"/>
      <c r="Y23" s="294">
        <f t="shared" ca="1" si="99"/>
        <v>0</v>
      </c>
      <c r="Z23" s="242">
        <f t="shared" ca="1" si="100"/>
        <v>0.52638888971673126</v>
      </c>
      <c r="AA23" s="122">
        <f t="shared" ca="1" si="101"/>
        <v>0.52638888888888891</v>
      </c>
      <c r="AB23" s="243" t="str">
        <f ca="1">IF(AA23&lt;&gt;0,вПМ(AA23,Z23),"")</f>
        <v/>
      </c>
      <c r="AC23" s="122">
        <f ca="1">IF(AA23&lt;&gt;0,вРазн(AA23,Z23), 0)</f>
        <v>0</v>
      </c>
      <c r="AD23" s="301">
        <f t="shared" ca="1" si="102"/>
        <v>0</v>
      </c>
      <c r="AE23" s="300">
        <f t="shared" ca="1" si="21"/>
        <v>2.43055559694767E-2</v>
      </c>
      <c r="AF23" s="122"/>
      <c r="AG23" s="294">
        <f t="shared" ca="1" si="103"/>
        <v>0</v>
      </c>
      <c r="AH23" s="242">
        <f t="shared" ca="1" si="104"/>
        <v>0.55069444485836561</v>
      </c>
      <c r="AI23" s="122">
        <f t="shared" ca="1" si="105"/>
        <v>0.5541666666666667</v>
      </c>
      <c r="AJ23" s="243" t="str">
        <f ca="1">IF(AI23&lt;&gt;0,вПМ(AI23,AH23),"")</f>
        <v>+</v>
      </c>
      <c r="AK23" s="122">
        <f ca="1">IF(AI23&lt;&gt;0,вРазн(AI23,AH23), 0)</f>
        <v>3.4722089767456055E-3</v>
      </c>
      <c r="AL23" s="301">
        <f t="shared" ca="1" si="106"/>
        <v>300</v>
      </c>
      <c r="AM23" s="300">
        <f t="shared" ca="1" si="26"/>
        <v>2.43055559694767E-2</v>
      </c>
      <c r="AN23" s="122"/>
      <c r="AO23" s="294">
        <f t="shared" ca="1" si="107"/>
        <v>0</v>
      </c>
      <c r="AP23" s="242">
        <f t="shared" ca="1" si="108"/>
        <v>0.5784722226361434</v>
      </c>
      <c r="AQ23" s="122">
        <f t="shared" ca="1" si="109"/>
        <v>0.57847222222222217</v>
      </c>
      <c r="AR23" s="243" t="str">
        <f ca="1">IF(AQ23&lt;&gt;0,вПМ(AQ23,AP23),"")</f>
        <v/>
      </c>
      <c r="AS23" s="122">
        <f ca="1">IF(AQ23&lt;&gt;0,вРазн(AQ23,AP23), 0)</f>
        <v>0</v>
      </c>
      <c r="AT23" s="301">
        <f t="shared" ca="1" si="110"/>
        <v>0</v>
      </c>
      <c r="AU23" s="300">
        <f t="shared" ca="1" si="31"/>
        <v>3.125E-2</v>
      </c>
      <c r="AV23" s="122"/>
      <c r="AW23" s="294">
        <f t="shared" ca="1" si="111"/>
        <v>0</v>
      </c>
      <c r="AX23" s="242">
        <f t="shared" ca="1" si="112"/>
        <v>0.61249999999999993</v>
      </c>
      <c r="AY23" s="122">
        <f t="shared" ca="1" si="113"/>
        <v>0.61249999999999993</v>
      </c>
      <c r="AZ23" s="243" t="str">
        <f ca="1">IF(AY23&lt;&gt;0,вПМ(AY23,AX23),"")</f>
        <v/>
      </c>
      <c r="BA23" s="122">
        <f ca="1">IF(AY23&lt;&gt;0,вРазн(AY23,AX23), 0)</f>
        <v>0</v>
      </c>
      <c r="BB23" s="301">
        <f t="shared" ca="1" si="114"/>
        <v>0</v>
      </c>
      <c r="BC23" s="300">
        <f t="shared" ca="1" si="36"/>
        <v>4.1666667908430099E-2</v>
      </c>
      <c r="BD23" s="122"/>
      <c r="BE23" s="294">
        <f t="shared" ca="1" si="115"/>
        <v>0</v>
      </c>
      <c r="BF23" s="242">
        <f t="shared" ca="1" si="116"/>
        <v>0.65416666790843003</v>
      </c>
      <c r="BG23" s="122">
        <f t="shared" ca="1" si="117"/>
        <v>0.65416666666666667</v>
      </c>
      <c r="BH23" s="243" t="str">
        <f ca="1">IF(BG23&lt;&gt;0,вПМ(BG23,BF23),"")</f>
        <v/>
      </c>
      <c r="BI23" s="122">
        <f ca="1">IF(BG23&lt;&gt;0,вРазн(BG23,BF23), 0)</f>
        <v>0</v>
      </c>
      <c r="BJ23" s="301">
        <f t="shared" ca="1" si="118"/>
        <v>0</v>
      </c>
      <c r="BK23" s="300">
        <f t="shared" ca="1" si="41"/>
        <v>2.777777798473835E-2</v>
      </c>
      <c r="BL23" s="122"/>
      <c r="BM23" s="294">
        <f t="shared" ca="1" si="119"/>
        <v>0</v>
      </c>
      <c r="BN23" s="242">
        <f t="shared" ca="1" si="120"/>
        <v>0.68194444465140502</v>
      </c>
      <c r="BO23" s="122">
        <f t="shared" ca="1" si="121"/>
        <v>0.68333333333333324</v>
      </c>
      <c r="BP23" s="243" t="str">
        <f ca="1">IF(BO23&lt;&gt;0,вПМ(BO23,BN23),"")</f>
        <v>+</v>
      </c>
      <c r="BQ23" s="122">
        <f ca="1">IF(BO23&lt;&gt;0,вРазн(BO23,BN23), 0)</f>
        <v>1.3889074325561523E-3</v>
      </c>
      <c r="BR23" s="244">
        <f t="shared" ca="1" si="122"/>
        <v>120</v>
      </c>
      <c r="BS23" s="242">
        <f t="shared" ca="1" si="46"/>
        <v>0</v>
      </c>
      <c r="BT23" s="122">
        <f t="shared" ca="1" si="123"/>
        <v>0</v>
      </c>
      <c r="BU23" s="122">
        <f t="shared" ca="1" si="124"/>
        <v>0</v>
      </c>
      <c r="BV23" s="248">
        <f t="shared" ca="1" si="125"/>
        <v>108.6</v>
      </c>
      <c r="BW23" s="248">
        <f t="shared" ca="1" si="126"/>
        <v>0</v>
      </c>
      <c r="BX23" s="243">
        <f t="shared" ca="1" si="127"/>
        <v>0</v>
      </c>
      <c r="BY23" s="243" t="str">
        <f t="shared" ca="1" si="128"/>
        <v>да</v>
      </c>
      <c r="BZ23" s="243" t="str">
        <f t="shared" ca="1" si="129"/>
        <v>да</v>
      </c>
      <c r="CA23" s="463">
        <f t="shared" ca="1" si="130"/>
        <v>685.8</v>
      </c>
      <c r="CB23" s="242">
        <f t="shared" ca="1" si="52"/>
        <v>0.4777777777777778</v>
      </c>
      <c r="CC23" s="122">
        <f t="shared" ca="1" si="131"/>
        <v>0.4777777777777778</v>
      </c>
      <c r="CD23" s="122">
        <f ca="1">IF(OR(CB23=0,CC23=0),0,вРазн(CC23,CB23))</f>
        <v>0</v>
      </c>
      <c r="CE23" s="122"/>
      <c r="CF23" s="122"/>
      <c r="CG23" s="247">
        <f t="shared" ca="1" si="132"/>
        <v>0.48556712962962967</v>
      </c>
      <c r="CH23" s="245">
        <f t="shared" ca="1" si="54"/>
        <v>0.48692129629629632</v>
      </c>
      <c r="CI23" s="240" t="str">
        <f ca="1">IF(CH23&lt;&gt;0,вПМ(CH23,CG23,"s"),"")</f>
        <v>+</v>
      </c>
      <c r="CJ23" s="245">
        <f ca="1">IF(CH23&lt;&gt;0,вРазн(CH23,CG23,"s"), 0)</f>
        <v>1.3541877269744873E-3</v>
      </c>
      <c r="CK23" s="463">
        <f t="shared" ca="1" si="133"/>
        <v>117</v>
      </c>
      <c r="CL23" s="247">
        <f t="shared" ca="1" si="134"/>
        <v>0.50118055555555563</v>
      </c>
      <c r="CM23" s="245">
        <f t="shared" ca="1" si="57"/>
        <v>0.50403935185185189</v>
      </c>
      <c r="CN23" s="243" t="str">
        <f ca="1">IF(AND(CM23&lt;&gt;0,CL23&lt;&gt;0),вПМ(CM23,CL23,"s"),"")</f>
        <v>+</v>
      </c>
      <c r="CO23" s="245">
        <f ca="1">IF(AND(CM23&lt;&gt;0,CL23&lt;&gt;0),вРазн(CM23,CL23,"s"), 0)</f>
        <v>2.8588175773620605E-3</v>
      </c>
      <c r="CP23" s="463">
        <f t="shared" ca="1" si="135"/>
        <v>247</v>
      </c>
      <c r="CQ23" s="242">
        <f t="shared" ca="1" si="59"/>
        <v>0.58124999999999993</v>
      </c>
      <c r="CR23" s="122">
        <f t="shared" ca="1" si="136"/>
        <v>0.58124999999999993</v>
      </c>
      <c r="CS23" s="122">
        <f ca="1">IF(OR(CQ23=0,CR23=0),0,вРазн(CR23,CQ23))</f>
        <v>0</v>
      </c>
      <c r="CT23" s="122"/>
      <c r="CU23" s="122"/>
      <c r="CV23" s="247">
        <f t="shared" ca="1" si="137"/>
        <v>0.5882060185185185</v>
      </c>
      <c r="CW23" s="245">
        <f t="shared" ca="1" si="61"/>
        <v>0.58878472222222222</v>
      </c>
      <c r="CX23" s="240" t="str">
        <f ca="1">IF(CW23&lt;&gt;0,вПМ(CW23,CV23,"s"),"")</f>
        <v>+</v>
      </c>
      <c r="CY23" s="245">
        <f ca="1">IF(CW23&lt;&gt;0,вРазн(CW23,CV23,"s"), 0)</f>
        <v>5.7870149612426758E-4</v>
      </c>
      <c r="CZ23" s="463">
        <f t="shared" ca="1" si="138"/>
        <v>50</v>
      </c>
      <c r="DA23" s="247">
        <f t="shared" ca="1" si="139"/>
        <v>0.5892708333333333</v>
      </c>
      <c r="DB23" s="245">
        <f t="shared" ca="1" si="64"/>
        <v>0.58923611111111118</v>
      </c>
      <c r="DC23" s="243" t="str">
        <f ca="1">IF(AND(DB23&lt;&gt;0,DA23&lt;&gt;0),вПМ(DB23,DA23,"s"),"")</f>
        <v>-</v>
      </c>
      <c r="DD23" s="245">
        <f ca="1">IF(AND(DB23&lt;&gt;0,DA23&lt;&gt;0),вРазн(DB23,DA23,"s"), 0)</f>
        <v>3.4689903259277344E-5</v>
      </c>
      <c r="DE23" s="463">
        <f t="shared" ca="1" si="140"/>
        <v>3</v>
      </c>
      <c r="DF23" s="242">
        <f t="shared" ca="1" si="66"/>
        <v>0</v>
      </c>
      <c r="DG23" s="122">
        <f t="shared" ca="1" si="141"/>
        <v>0</v>
      </c>
      <c r="DH23" s="122">
        <f t="shared" ca="1" si="142"/>
        <v>0</v>
      </c>
      <c r="DI23" s="248">
        <f t="shared" ca="1" si="143"/>
        <v>78.3</v>
      </c>
      <c r="DJ23" s="248">
        <f t="shared" ca="1" si="144"/>
        <v>0</v>
      </c>
      <c r="DK23" s="243">
        <f t="shared" ca="1" si="145"/>
        <v>0</v>
      </c>
      <c r="DL23" s="243" t="str">
        <f t="shared" ca="1" si="146"/>
        <v>да</v>
      </c>
      <c r="DM23" s="243">
        <f t="shared" ca="1" si="147"/>
        <v>0</v>
      </c>
      <c r="DN23" s="463">
        <f t="shared" ca="1" si="148"/>
        <v>294.89999999999998</v>
      </c>
      <c r="DO23" s="249">
        <f t="shared" ca="1" si="72"/>
        <v>0</v>
      </c>
      <c r="DP23" s="246">
        <f t="shared" ca="1" si="149"/>
        <v>0</v>
      </c>
      <c r="DQ23" s="249">
        <f t="shared" ca="1" si="72"/>
        <v>0</v>
      </c>
      <c r="DR23" s="246">
        <f t="shared" ca="1" si="150"/>
        <v>720</v>
      </c>
      <c r="DS23" s="242">
        <f t="shared" ca="1" si="75"/>
        <v>0.66319444444444442</v>
      </c>
      <c r="DT23" s="244">
        <f t="shared" ca="1" si="151"/>
        <v>0</v>
      </c>
      <c r="DU23" s="242">
        <f t="shared" ca="1" si="75"/>
        <v>0.67708333333333337</v>
      </c>
      <c r="DV23" s="244">
        <f t="shared" ca="1" si="152"/>
        <v>0</v>
      </c>
      <c r="DW23" s="459"/>
      <c r="DX23" s="459"/>
      <c r="DY23" s="459"/>
      <c r="DZ23" s="459"/>
      <c r="EA23" s="459"/>
      <c r="EB23" s="459"/>
      <c r="EC23" s="459"/>
      <c r="ED23" s="459"/>
      <c r="EE23" s="459"/>
      <c r="EF23" s="459"/>
      <c r="EG23" s="459"/>
      <c r="EH23" s="459"/>
      <c r="EI23" s="459"/>
      <c r="EJ23" s="459"/>
      <c r="EK23" s="459"/>
      <c r="EL23" s="459"/>
      <c r="EM23" s="459"/>
      <c r="EN23" s="459"/>
      <c r="EO23" s="459"/>
      <c r="EP23" s="459"/>
      <c r="EQ23" s="459"/>
      <c r="ER23" s="459"/>
      <c r="ES23" s="459"/>
      <c r="ET23" s="459"/>
      <c r="EU23" s="242" t="e">
        <f t="shared" ca="1" si="153"/>
        <v>#VALUE!</v>
      </c>
      <c r="EV23" s="122">
        <f t="shared" ca="1" si="154"/>
        <v>0</v>
      </c>
      <c r="EW23" s="243" t="e">
        <f ca="1">IF(AND(EV23&lt;&gt;0,EU23&lt;&gt;0),вПМ(EV23,EU23),"")</f>
        <v>#VALUE!</v>
      </c>
      <c r="EX23" s="122">
        <f ca="1">IF(EV23&lt;&gt;0,вРазн(EV23,EU23), 0)</f>
        <v>0</v>
      </c>
      <c r="EY23" s="244">
        <f t="shared" ca="1" si="155"/>
        <v>900</v>
      </c>
      <c r="EZ23" s="242">
        <f t="shared" ca="1" si="81"/>
        <v>0</v>
      </c>
      <c r="FA23" s="122">
        <f t="shared" ca="1" si="156"/>
        <v>0</v>
      </c>
      <c r="FB23" s="122">
        <f t="shared" ca="1" si="157"/>
        <v>0</v>
      </c>
      <c r="FC23" s="248">
        <f t="shared" ca="1" si="158"/>
        <v>108.6</v>
      </c>
      <c r="FD23" s="248">
        <f t="shared" ca="1" si="159"/>
        <v>0</v>
      </c>
      <c r="FE23" s="248">
        <f t="shared" ca="1" si="160"/>
        <v>0</v>
      </c>
      <c r="FF23" s="243" t="str">
        <f t="shared" ca="1" si="161"/>
        <v>да</v>
      </c>
      <c r="FG23" s="243" t="str">
        <f t="shared" ca="1" si="162"/>
        <v>да</v>
      </c>
      <c r="FH23" s="463">
        <f t="shared" ca="1" si="163"/>
        <v>415.79999999999995</v>
      </c>
    </row>
    <row r="24" spans="1:165" s="236" customFormat="1" x14ac:dyDescent="0.25">
      <c r="A24" s="388">
        <f>стартоваяВедомость!B24</f>
        <v>16</v>
      </c>
      <c r="B24" s="389" t="str">
        <f t="shared" ca="1" si="1"/>
        <v>Porsche Cayenne S</v>
      </c>
      <c r="C24" s="389" t="str">
        <f t="shared" ca="1" si="2"/>
        <v>Новиков Максим</v>
      </c>
      <c r="D24" s="389" t="str">
        <f t="shared" ca="1" si="3"/>
        <v>Грушина Екатерина</v>
      </c>
      <c r="E24" s="389" t="str">
        <f t="shared" ca="1" si="4"/>
        <v>Смоленск</v>
      </c>
      <c r="F24" s="389" t="str">
        <f t="shared" ca="1" si="5"/>
        <v>Pro, Аэропорт</v>
      </c>
      <c r="G24" s="486">
        <f t="shared" ca="1" si="90"/>
        <v>1587.3</v>
      </c>
      <c r="H24" s="486">
        <f t="shared" ca="1" si="91"/>
        <v>60</v>
      </c>
      <c r="I24" s="486">
        <f t="shared" ca="1" si="92"/>
        <v>1047.3</v>
      </c>
      <c r="J24" s="486">
        <f t="shared" ca="1" si="93"/>
        <v>480</v>
      </c>
      <c r="K24" s="390">
        <f t="shared" ca="1" si="9"/>
        <v>0.42708333333333331</v>
      </c>
      <c r="L24" s="391">
        <f t="shared" ca="1" si="94"/>
        <v>0.42708333333333331</v>
      </c>
      <c r="M24" s="392" t="str">
        <f ca="1">IF(L24&lt;&gt;0,вПМ(L24,K24),"")</f>
        <v/>
      </c>
      <c r="N24" s="391">
        <f ca="1">IF(L24&lt;&gt;0,вРазн(L24,K24), 0)</f>
        <v>0</v>
      </c>
      <c r="O24" s="393">
        <f t="shared" ca="1" si="95"/>
        <v>0</v>
      </c>
      <c r="P24" s="394">
        <f t="shared" ca="1" si="12"/>
        <v>4.86111119389534E-2</v>
      </c>
      <c r="Q24" s="395"/>
      <c r="R24" s="390">
        <f t="shared" ca="1" si="96"/>
        <v>0.47569444527228671</v>
      </c>
      <c r="S24" s="391">
        <f t="shared" ca="1" si="97"/>
        <v>0.47569444444444442</v>
      </c>
      <c r="T24" s="392" t="str">
        <f ca="1">IF(S24&lt;&gt;0,вПМ(S24,R24),"")</f>
        <v/>
      </c>
      <c r="U24" s="391">
        <f ca="1">IF(S24&lt;&gt;0,вРазн(S24,R24), 0)</f>
        <v>0</v>
      </c>
      <c r="V24" s="393">
        <f t="shared" ca="1" si="98"/>
        <v>0</v>
      </c>
      <c r="W24" s="394">
        <f t="shared" ca="1" si="16"/>
        <v>4.86111119389534E-2</v>
      </c>
      <c r="X24" s="391"/>
      <c r="Y24" s="395">
        <f t="shared" ca="1" si="99"/>
        <v>0</v>
      </c>
      <c r="Z24" s="390">
        <f t="shared" ca="1" si="100"/>
        <v>0.52708333416117559</v>
      </c>
      <c r="AA24" s="391">
        <f t="shared" ca="1" si="101"/>
        <v>0.52638888888888891</v>
      </c>
      <c r="AB24" s="392" t="str">
        <f ca="1">IF(AA24&lt;&gt;0,вПМ(AA24,Z24),"")</f>
        <v>-</v>
      </c>
      <c r="AC24" s="391">
        <f ca="1">IF(AA24&lt;&gt;0,вРазн(AA24,Z24), 0)</f>
        <v>6.9445371627807617E-4</v>
      </c>
      <c r="AD24" s="393">
        <f t="shared" ca="1" si="102"/>
        <v>60</v>
      </c>
      <c r="AE24" s="394">
        <f t="shared" ca="1" si="21"/>
        <v>2.43055559694767E-2</v>
      </c>
      <c r="AF24" s="391"/>
      <c r="AG24" s="395">
        <f t="shared" ca="1" si="103"/>
        <v>0</v>
      </c>
      <c r="AH24" s="390">
        <f t="shared" ca="1" si="104"/>
        <v>0.55069444485836561</v>
      </c>
      <c r="AI24" s="391">
        <f t="shared" ca="1" si="105"/>
        <v>0.55069444444444449</v>
      </c>
      <c r="AJ24" s="392" t="str">
        <f ca="1">IF(AI24&lt;&gt;0,вПМ(AI24,AH24),"")</f>
        <v/>
      </c>
      <c r="AK24" s="391">
        <f ca="1">IF(AI24&lt;&gt;0,вРазн(AI24,AH24), 0)</f>
        <v>0</v>
      </c>
      <c r="AL24" s="393">
        <f t="shared" ca="1" si="106"/>
        <v>0</v>
      </c>
      <c r="AM24" s="394">
        <f t="shared" ca="1" si="26"/>
        <v>2.43055559694767E-2</v>
      </c>
      <c r="AN24" s="391"/>
      <c r="AO24" s="395">
        <f t="shared" ca="1" si="107"/>
        <v>0</v>
      </c>
      <c r="AP24" s="390">
        <f t="shared" ca="1" si="108"/>
        <v>0.57500000041392119</v>
      </c>
      <c r="AQ24" s="391">
        <f t="shared" ca="1" si="109"/>
        <v>0.57500000000000007</v>
      </c>
      <c r="AR24" s="392" t="str">
        <f ca="1">IF(AQ24&lt;&gt;0,вПМ(AQ24,AP24),"")</f>
        <v/>
      </c>
      <c r="AS24" s="391">
        <f ca="1">IF(AQ24&lt;&gt;0,вРазн(AQ24,AP24), 0)</f>
        <v>0</v>
      </c>
      <c r="AT24" s="393">
        <f t="shared" ca="1" si="110"/>
        <v>0</v>
      </c>
      <c r="AU24" s="394">
        <f t="shared" ca="1" si="31"/>
        <v>3.125E-2</v>
      </c>
      <c r="AV24" s="391"/>
      <c r="AW24" s="395">
        <f t="shared" ca="1" si="111"/>
        <v>0</v>
      </c>
      <c r="AX24" s="390">
        <f t="shared" ca="1" si="112"/>
        <v>0.61041666666666672</v>
      </c>
      <c r="AY24" s="391">
        <f t="shared" ca="1" si="113"/>
        <v>0.61041666666666672</v>
      </c>
      <c r="AZ24" s="392" t="str">
        <f ca="1">IF(AY24&lt;&gt;0,вПМ(AY24,AX24),"")</f>
        <v/>
      </c>
      <c r="BA24" s="391">
        <f ca="1">IF(AY24&lt;&gt;0,вРазн(AY24,AX24), 0)</f>
        <v>0</v>
      </c>
      <c r="BB24" s="393">
        <f t="shared" ca="1" si="114"/>
        <v>0</v>
      </c>
      <c r="BC24" s="394">
        <f t="shared" ca="1" si="36"/>
        <v>4.1666667908430099E-2</v>
      </c>
      <c r="BD24" s="391"/>
      <c r="BE24" s="395">
        <f t="shared" ca="1" si="115"/>
        <v>0</v>
      </c>
      <c r="BF24" s="390">
        <f t="shared" ca="1" si="116"/>
        <v>0.65208333457509682</v>
      </c>
      <c r="BG24" s="391">
        <f t="shared" ca="1" si="117"/>
        <v>0.65208333333333335</v>
      </c>
      <c r="BH24" s="392" t="str">
        <f ca="1">IF(BG24&lt;&gt;0,вПМ(BG24,BF24),"")</f>
        <v/>
      </c>
      <c r="BI24" s="391">
        <f ca="1">IF(BG24&lt;&gt;0,вРазн(BG24,BF24), 0)</f>
        <v>0</v>
      </c>
      <c r="BJ24" s="393">
        <f t="shared" ca="1" si="118"/>
        <v>0</v>
      </c>
      <c r="BK24" s="394">
        <f t="shared" ca="1" si="41"/>
        <v>2.777777798473835E-2</v>
      </c>
      <c r="BL24" s="391"/>
      <c r="BM24" s="395">
        <f t="shared" ca="1" si="119"/>
        <v>0</v>
      </c>
      <c r="BN24" s="390">
        <f t="shared" ca="1" si="120"/>
        <v>0.6798611113180717</v>
      </c>
      <c r="BO24" s="391">
        <f t="shared" ca="1" si="121"/>
        <v>0.67569444444444438</v>
      </c>
      <c r="BP24" s="392" t="str">
        <f ca="1">IF(BO24&lt;&gt;0,вПМ(BO24,BN24),"")</f>
        <v>-</v>
      </c>
      <c r="BQ24" s="391">
        <f ca="1">IF(BO24&lt;&gt;0,вРазн(BO24,BN24), 0)</f>
        <v>4.1666626930236816E-3</v>
      </c>
      <c r="BR24" s="396">
        <f t="shared" ca="1" si="122"/>
        <v>0</v>
      </c>
      <c r="BS24" s="390">
        <f t="shared" ca="1" si="46"/>
        <v>0</v>
      </c>
      <c r="BT24" s="391">
        <f t="shared" ca="1" si="123"/>
        <v>0</v>
      </c>
      <c r="BU24" s="391">
        <f t="shared" ca="1" si="124"/>
        <v>0</v>
      </c>
      <c r="BV24" s="401">
        <f t="shared" ca="1" si="125"/>
        <v>86.5</v>
      </c>
      <c r="BW24" s="401">
        <f t="shared" ca="1" si="126"/>
        <v>0</v>
      </c>
      <c r="BX24" s="392">
        <f t="shared" ca="1" si="127"/>
        <v>0</v>
      </c>
      <c r="BY24" s="392">
        <f t="shared" ca="1" si="128"/>
        <v>0</v>
      </c>
      <c r="BZ24" s="392">
        <f t="shared" ca="1" si="129"/>
        <v>0</v>
      </c>
      <c r="CA24" s="462">
        <f t="shared" ca="1" si="130"/>
        <v>259.5</v>
      </c>
      <c r="CB24" s="390">
        <f t="shared" ca="1" si="52"/>
        <v>0.47847222222222219</v>
      </c>
      <c r="CC24" s="391">
        <f t="shared" ca="1" si="131"/>
        <v>0.47847222222222219</v>
      </c>
      <c r="CD24" s="391">
        <f ca="1">IF(OR(CB24=0,CC24=0),0,вРазн(CC24,CB24))</f>
        <v>0</v>
      </c>
      <c r="CE24" s="391"/>
      <c r="CF24" s="391"/>
      <c r="CG24" s="397">
        <f t="shared" ca="1" si="132"/>
        <v>0.48626157407407405</v>
      </c>
      <c r="CH24" s="398">
        <f t="shared" ca="1" si="54"/>
        <v>0.4863425925925926</v>
      </c>
      <c r="CI24" s="399" t="str">
        <f ca="1">IF(CH24&lt;&gt;0,вПМ(CH24,CG24,"s"),"")</f>
        <v>+</v>
      </c>
      <c r="CJ24" s="398">
        <f ca="1">IF(CH24&lt;&gt;0,вРазн(CH24,CG24,"s"), 0)</f>
        <v>8.1002712249755859E-5</v>
      </c>
      <c r="CK24" s="462">
        <f t="shared" ca="1" si="133"/>
        <v>7</v>
      </c>
      <c r="CL24" s="397">
        <f t="shared" ca="1" si="134"/>
        <v>0.50060185185185191</v>
      </c>
      <c r="CM24" s="398">
        <f t="shared" ca="1" si="57"/>
        <v>0.5074305555555555</v>
      </c>
      <c r="CN24" s="392" t="str">
        <f ca="1">IF(AND(CM24&lt;&gt;0,CL24&lt;&gt;0),вПМ(CM24,CL24,"s"),"")</f>
        <v>+</v>
      </c>
      <c r="CO24" s="398">
        <f ca="1">IF(AND(CM24&lt;&gt;0,CL24&lt;&gt;0),вРазн(CM24,CL24,"s"), 0)</f>
        <v>6.8287253379821777E-3</v>
      </c>
      <c r="CP24" s="462">
        <f t="shared" ca="1" si="135"/>
        <v>590</v>
      </c>
      <c r="CQ24" s="390">
        <f t="shared" ca="1" si="59"/>
        <v>0.57916666666666672</v>
      </c>
      <c r="CR24" s="391">
        <f t="shared" ca="1" si="136"/>
        <v>0.57916666666666672</v>
      </c>
      <c r="CS24" s="391">
        <f ca="1">IF(OR(CQ24=0,CR24=0),0,вРазн(CR24,CQ24))</f>
        <v>0</v>
      </c>
      <c r="CT24" s="391"/>
      <c r="CU24" s="391"/>
      <c r="CV24" s="397">
        <f t="shared" ca="1" si="137"/>
        <v>0.58612268518518529</v>
      </c>
      <c r="CW24" s="398">
        <f t="shared" ca="1" si="61"/>
        <v>0.5861574074074074</v>
      </c>
      <c r="CX24" s="399" t="str">
        <f ca="1">IF(CW24&lt;&gt;0,вПМ(CW24,CV24,"s"),"")</f>
        <v>+</v>
      </c>
      <c r="CY24" s="398">
        <f ca="1">IF(CW24&lt;&gt;0,вРазн(CW24,CV24,"s"), 0)</f>
        <v>3.4689903259277344E-5</v>
      </c>
      <c r="CZ24" s="462">
        <f t="shared" ca="1" si="138"/>
        <v>3</v>
      </c>
      <c r="DA24" s="397">
        <f t="shared" ca="1" si="139"/>
        <v>0.58664351851851848</v>
      </c>
      <c r="DB24" s="398">
        <f t="shared" ca="1" si="64"/>
        <v>0.58674768518518516</v>
      </c>
      <c r="DC24" s="392" t="str">
        <f ca="1">IF(AND(DB24&lt;&gt;0,DA24&lt;&gt;0),вПМ(DB24,DA24,"s"),"")</f>
        <v>+</v>
      </c>
      <c r="DD24" s="398">
        <f ca="1">IF(AND(DB24&lt;&gt;0,DA24&lt;&gt;0),вРазн(DB24,DA24,"s"), 0)</f>
        <v>1.0418891906738281E-4</v>
      </c>
      <c r="DE24" s="462">
        <f t="shared" ca="1" si="140"/>
        <v>9</v>
      </c>
      <c r="DF24" s="390">
        <f t="shared" ca="1" si="66"/>
        <v>0</v>
      </c>
      <c r="DG24" s="391">
        <f t="shared" ca="1" si="141"/>
        <v>0</v>
      </c>
      <c r="DH24" s="391">
        <f t="shared" ca="1" si="142"/>
        <v>0</v>
      </c>
      <c r="DI24" s="401">
        <f t="shared" ca="1" si="143"/>
        <v>59.6</v>
      </c>
      <c r="DJ24" s="401">
        <f t="shared" ca="1" si="144"/>
        <v>0</v>
      </c>
      <c r="DK24" s="392">
        <f t="shared" ca="1" si="145"/>
        <v>0</v>
      </c>
      <c r="DL24" s="392">
        <f t="shared" ca="1" si="146"/>
        <v>0</v>
      </c>
      <c r="DM24" s="392">
        <f t="shared" ca="1" si="147"/>
        <v>0</v>
      </c>
      <c r="DN24" s="462">
        <f t="shared" ca="1" si="148"/>
        <v>178.8</v>
      </c>
      <c r="DO24" s="402">
        <f t="shared" ca="1" si="72"/>
        <v>0</v>
      </c>
      <c r="DP24" s="400">
        <f t="shared" ca="1" si="149"/>
        <v>0</v>
      </c>
      <c r="DQ24" s="402">
        <f t="shared" ca="1" si="72"/>
        <v>0</v>
      </c>
      <c r="DR24" s="400">
        <f t="shared" ca="1" si="150"/>
        <v>480</v>
      </c>
      <c r="DS24" s="390">
        <f t="shared" ca="1" si="75"/>
        <v>0.65902777777777777</v>
      </c>
      <c r="DT24" s="396">
        <f t="shared" ca="1" si="151"/>
        <v>0</v>
      </c>
      <c r="DU24" s="390">
        <f t="shared" ca="1" si="75"/>
        <v>0.67013888888888884</v>
      </c>
      <c r="DV24" s="396">
        <f t="shared" ca="1" si="152"/>
        <v>0</v>
      </c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59"/>
      <c r="ET24" s="459"/>
      <c r="EU24" s="390" t="e">
        <f t="shared" ca="1" si="153"/>
        <v>#VALUE!</v>
      </c>
      <c r="EV24" s="391">
        <f t="shared" ca="1" si="154"/>
        <v>0</v>
      </c>
      <c r="EW24" s="392" t="e">
        <f ca="1">IF(AND(EV24&lt;&gt;0,EU24&lt;&gt;0),вПМ(EV24,EU24),"")</f>
        <v>#VALUE!</v>
      </c>
      <c r="EX24" s="391">
        <f ca="1">IF(EV24&lt;&gt;0,вРазн(EV24,EU24), 0)</f>
        <v>0</v>
      </c>
      <c r="EY24" s="396">
        <f t="shared" ca="1" si="155"/>
        <v>900</v>
      </c>
      <c r="EZ24" s="390">
        <f t="shared" ca="1" si="81"/>
        <v>0</v>
      </c>
      <c r="FA24" s="391">
        <f t="shared" ca="1" si="156"/>
        <v>0</v>
      </c>
      <c r="FB24" s="391">
        <f t="shared" ca="1" si="157"/>
        <v>0</v>
      </c>
      <c r="FC24" s="401">
        <f t="shared" ca="1" si="158"/>
        <v>86.5</v>
      </c>
      <c r="FD24" s="401">
        <f t="shared" ca="1" si="159"/>
        <v>0</v>
      </c>
      <c r="FE24" s="401">
        <f t="shared" ca="1" si="160"/>
        <v>0</v>
      </c>
      <c r="FF24" s="392">
        <f t="shared" ca="1" si="161"/>
        <v>0</v>
      </c>
      <c r="FG24" s="392">
        <f t="shared" ca="1" si="162"/>
        <v>0</v>
      </c>
      <c r="FH24" s="462">
        <f t="shared" ca="1" si="163"/>
        <v>259.5</v>
      </c>
      <c r="FI24" s="403"/>
    </row>
    <row r="25" spans="1:165" s="20" customFormat="1" x14ac:dyDescent="0.25">
      <c r="A25" s="253">
        <f>стартоваяВедомость!B25</f>
        <v>17</v>
      </c>
      <c r="B25" s="241" t="str">
        <f t="shared" ca="1" si="1"/>
        <v>SUZUKI JIMNY</v>
      </c>
      <c r="C25" s="241" t="str">
        <f t="shared" ca="1" si="2"/>
        <v>Подгаева Александра</v>
      </c>
      <c r="D25" s="241" t="str">
        <f t="shared" ca="1" si="3"/>
        <v>Сергей Иванов</v>
      </c>
      <c r="E25" s="241" t="str">
        <f t="shared" ca="1" si="4"/>
        <v>Смоленск</v>
      </c>
      <c r="F25" s="241" t="str">
        <f t="shared" ca="1" si="5"/>
        <v>Light, Аэропорт</v>
      </c>
      <c r="G25" s="487">
        <f t="shared" ca="1" si="90"/>
        <v>2545.6999999999998</v>
      </c>
      <c r="H25" s="487">
        <f t="shared" ca="1" si="91"/>
        <v>1200</v>
      </c>
      <c r="I25" s="487">
        <f t="shared" ca="1" si="92"/>
        <v>745.69999999999993</v>
      </c>
      <c r="J25" s="487">
        <f t="shared" ca="1" si="93"/>
        <v>600</v>
      </c>
      <c r="K25" s="242">
        <f t="shared" ca="1" si="9"/>
        <v>0.42777777777777776</v>
      </c>
      <c r="L25" s="122">
        <f t="shared" ca="1" si="94"/>
        <v>0.42777777777777781</v>
      </c>
      <c r="M25" s="243" t="str">
        <f ca="1">IF(L25&lt;&gt;0,вПМ(L25,K25),"")</f>
        <v/>
      </c>
      <c r="N25" s="122">
        <f ca="1">IF(L25&lt;&gt;0,вРазн(L25,K25), 0)</f>
        <v>0</v>
      </c>
      <c r="O25" s="301">
        <f t="shared" ca="1" si="95"/>
        <v>0</v>
      </c>
      <c r="P25" s="300">
        <f t="shared" ca="1" si="12"/>
        <v>4.86111119389534E-2</v>
      </c>
      <c r="Q25" s="294"/>
      <c r="R25" s="242">
        <f t="shared" ca="1" si="96"/>
        <v>0.47638888971673121</v>
      </c>
      <c r="S25" s="122">
        <f t="shared" ca="1" si="97"/>
        <v>0.47638888888888892</v>
      </c>
      <c r="T25" s="243" t="str">
        <f ca="1">IF(S25&lt;&gt;0,вПМ(S25,R25),"")</f>
        <v/>
      </c>
      <c r="U25" s="122">
        <f ca="1">IF(S25&lt;&gt;0,вРазн(S25,R25), 0)</f>
        <v>0</v>
      </c>
      <c r="V25" s="301">
        <f t="shared" ca="1" si="98"/>
        <v>0</v>
      </c>
      <c r="W25" s="300">
        <f t="shared" ca="1" si="16"/>
        <v>4.86111119389534E-2</v>
      </c>
      <c r="X25" s="122"/>
      <c r="Y25" s="294">
        <f t="shared" ca="1" si="99"/>
        <v>0</v>
      </c>
      <c r="Z25" s="242">
        <f t="shared" ca="1" si="100"/>
        <v>0.52777777860562014</v>
      </c>
      <c r="AA25" s="122">
        <f t="shared" ca="1" si="101"/>
        <v>0.52708333333333335</v>
      </c>
      <c r="AB25" s="243" t="str">
        <f ca="1">IF(AA25&lt;&gt;0,вПМ(AA25,Z25),"")</f>
        <v>-</v>
      </c>
      <c r="AC25" s="122">
        <f ca="1">IF(AA25&lt;&gt;0,вРазн(AA25,Z25), 0)</f>
        <v>6.9445371627807617E-4</v>
      </c>
      <c r="AD25" s="301">
        <f t="shared" ca="1" si="102"/>
        <v>60</v>
      </c>
      <c r="AE25" s="300">
        <f t="shared" ca="1" si="21"/>
        <v>2.43055559694767E-2</v>
      </c>
      <c r="AF25" s="122"/>
      <c r="AG25" s="294">
        <f t="shared" ca="1" si="103"/>
        <v>0</v>
      </c>
      <c r="AH25" s="242">
        <f t="shared" ca="1" si="104"/>
        <v>0.55138888930281005</v>
      </c>
      <c r="AI25" s="122">
        <f t="shared" ca="1" si="105"/>
        <v>0.5541666666666667</v>
      </c>
      <c r="AJ25" s="243" t="str">
        <f ca="1">IF(AI25&lt;&gt;0,вПМ(AI25,AH25),"")</f>
        <v>+</v>
      </c>
      <c r="AK25" s="122">
        <f ca="1">IF(AI25&lt;&gt;0,вРазн(AI25,AH25), 0)</f>
        <v>2.7778148651123047E-3</v>
      </c>
      <c r="AL25" s="301">
        <f t="shared" ca="1" si="106"/>
        <v>240</v>
      </c>
      <c r="AM25" s="300">
        <f t="shared" ca="1" si="26"/>
        <v>2.43055559694767E-2</v>
      </c>
      <c r="AN25" s="122"/>
      <c r="AO25" s="294">
        <f t="shared" ca="1" si="107"/>
        <v>0</v>
      </c>
      <c r="AP25" s="242">
        <f t="shared" ca="1" si="108"/>
        <v>0.5784722226361434</v>
      </c>
      <c r="AQ25" s="122">
        <f t="shared" ca="1" si="109"/>
        <v>0.57847222222222217</v>
      </c>
      <c r="AR25" s="243" t="str">
        <f ca="1">IF(AQ25&lt;&gt;0,вПМ(AQ25,AP25),"")</f>
        <v/>
      </c>
      <c r="AS25" s="122">
        <f ca="1">IF(AQ25&lt;&gt;0,вРазн(AQ25,AP25), 0)</f>
        <v>0</v>
      </c>
      <c r="AT25" s="301">
        <f t="shared" ca="1" si="110"/>
        <v>0</v>
      </c>
      <c r="AU25" s="300">
        <f t="shared" ca="1" si="31"/>
        <v>3.125E-2</v>
      </c>
      <c r="AV25" s="122"/>
      <c r="AW25" s="294">
        <f t="shared" ca="1" si="111"/>
        <v>0</v>
      </c>
      <c r="AX25" s="242">
        <f t="shared" ca="1" si="112"/>
        <v>0.6118055555555556</v>
      </c>
      <c r="AY25" s="122">
        <f t="shared" ca="1" si="113"/>
        <v>0.6118055555555556</v>
      </c>
      <c r="AZ25" s="243" t="str">
        <f ca="1">IF(AY25&lt;&gt;0,вПМ(AY25,AX25),"")</f>
        <v/>
      </c>
      <c r="BA25" s="122">
        <f ca="1">IF(AY25&lt;&gt;0,вРазн(AY25,AX25), 0)</f>
        <v>0</v>
      </c>
      <c r="BB25" s="301">
        <f t="shared" ca="1" si="114"/>
        <v>0</v>
      </c>
      <c r="BC25" s="300">
        <f t="shared" ca="1" si="36"/>
        <v>4.1666667908430099E-2</v>
      </c>
      <c r="BD25" s="122"/>
      <c r="BE25" s="294">
        <f t="shared" ca="1" si="115"/>
        <v>0</v>
      </c>
      <c r="BF25" s="242">
        <f t="shared" ca="1" si="116"/>
        <v>0.6534722234639857</v>
      </c>
      <c r="BG25" s="122">
        <f t="shared" ca="1" si="117"/>
        <v>0.65347222222222223</v>
      </c>
      <c r="BH25" s="243" t="str">
        <f ca="1">IF(BG25&lt;&gt;0,вПМ(BG25,BF25),"")</f>
        <v/>
      </c>
      <c r="BI25" s="122">
        <f ca="1">IF(BG25&lt;&gt;0,вРазн(BG25,BF25), 0)</f>
        <v>0</v>
      </c>
      <c r="BJ25" s="301">
        <f t="shared" ca="1" si="118"/>
        <v>0</v>
      </c>
      <c r="BK25" s="300">
        <f t="shared" ca="1" si="41"/>
        <v>2.777777798473835E-2</v>
      </c>
      <c r="BL25" s="122"/>
      <c r="BM25" s="294">
        <f t="shared" ca="1" si="119"/>
        <v>0</v>
      </c>
      <c r="BN25" s="242">
        <f t="shared" ca="1" si="120"/>
        <v>0.68125000020696058</v>
      </c>
      <c r="BO25" s="122">
        <f t="shared" ca="1" si="121"/>
        <v>0.67569444444444438</v>
      </c>
      <c r="BP25" s="243" t="str">
        <f ca="1">IF(BO25&lt;&gt;0,вПМ(BO25,BN25),"")</f>
        <v>-</v>
      </c>
      <c r="BQ25" s="122">
        <f ca="1">IF(BO25&lt;&gt;0,вРазн(BO25,BN25), 0)</f>
        <v>5.5555105209350586E-3</v>
      </c>
      <c r="BR25" s="244">
        <f t="shared" ca="1" si="122"/>
        <v>0</v>
      </c>
      <c r="BS25" s="242">
        <f t="shared" ca="1" si="46"/>
        <v>0</v>
      </c>
      <c r="BT25" s="122">
        <f t="shared" ca="1" si="123"/>
        <v>0</v>
      </c>
      <c r="BU25" s="122">
        <f t="shared" ca="1" si="124"/>
        <v>0</v>
      </c>
      <c r="BV25" s="248">
        <f t="shared" ca="1" si="125"/>
        <v>83.6</v>
      </c>
      <c r="BW25" s="248">
        <f t="shared" ca="1" si="126"/>
        <v>0</v>
      </c>
      <c r="BX25" s="243">
        <f t="shared" ca="1" si="127"/>
        <v>0</v>
      </c>
      <c r="BY25" s="243">
        <f t="shared" ca="1" si="128"/>
        <v>0</v>
      </c>
      <c r="BZ25" s="243">
        <f t="shared" ca="1" si="129"/>
        <v>0</v>
      </c>
      <c r="CA25" s="463">
        <f t="shared" ca="1" si="130"/>
        <v>250.79999999999998</v>
      </c>
      <c r="CB25" s="242">
        <f t="shared" ca="1" si="52"/>
        <v>0.47916666666666669</v>
      </c>
      <c r="CC25" s="122">
        <f t="shared" ca="1" si="131"/>
        <v>0.47916666666666669</v>
      </c>
      <c r="CD25" s="122">
        <f ca="1">IF(OR(CB25=0,CC25=0),0,вРазн(CC25,CB25))</f>
        <v>0</v>
      </c>
      <c r="CE25" s="122"/>
      <c r="CF25" s="122"/>
      <c r="CG25" s="247">
        <f t="shared" ca="1" si="132"/>
        <v>0.48695601851851855</v>
      </c>
      <c r="CH25" s="245">
        <f t="shared" ca="1" si="54"/>
        <v>0.48771990740740739</v>
      </c>
      <c r="CI25" s="240" t="str">
        <f ca="1">IF(CH25&lt;&gt;0,вПМ(CH25,CG25,"s"),"")</f>
        <v>+</v>
      </c>
      <c r="CJ25" s="245">
        <f ca="1">IF(CH25&lt;&gt;0,вРазн(CH25,CG25,"s"), 0)</f>
        <v>7.6386332511901855E-4</v>
      </c>
      <c r="CK25" s="463">
        <f t="shared" ca="1" si="133"/>
        <v>66</v>
      </c>
      <c r="CL25" s="247">
        <f t="shared" ca="1" si="134"/>
        <v>0.50197916666666664</v>
      </c>
      <c r="CM25" s="245">
        <f t="shared" ca="1" si="57"/>
        <v>0.50119212962962967</v>
      </c>
      <c r="CN25" s="243" t="str">
        <f ca="1">IF(AND(CM25&lt;&gt;0,CL25&lt;&gt;0),вПМ(CM25,CL25,"s"),"")</f>
        <v>-</v>
      </c>
      <c r="CO25" s="245">
        <f ca="1">IF(AND(CM25&lt;&gt;0,CL25&lt;&gt;0),вРазн(CM25,CL25,"s"), 0)</f>
        <v>7.8701972961425781E-4</v>
      </c>
      <c r="CP25" s="463">
        <f t="shared" ca="1" si="135"/>
        <v>68</v>
      </c>
      <c r="CQ25" s="242">
        <f t="shared" ca="1" si="59"/>
        <v>0.5805555555555556</v>
      </c>
      <c r="CR25" s="122">
        <f t="shared" ca="1" si="136"/>
        <v>0.5805555555555556</v>
      </c>
      <c r="CS25" s="122">
        <f ca="1">IF(OR(CQ25=0,CR25=0),0,вРазн(CR25,CQ25))</f>
        <v>0</v>
      </c>
      <c r="CT25" s="122"/>
      <c r="CU25" s="122"/>
      <c r="CV25" s="247">
        <f t="shared" ca="1" si="137"/>
        <v>0.58751157407407417</v>
      </c>
      <c r="CW25" s="245">
        <f t="shared" ca="1" si="61"/>
        <v>0.58851851851851855</v>
      </c>
      <c r="CX25" s="240" t="str">
        <f ca="1">IF(CW25&lt;&gt;0,вПМ(CW25,CV25,"s"),"")</f>
        <v>+</v>
      </c>
      <c r="CY25" s="245">
        <f ca="1">IF(CW25&lt;&gt;0,вРазн(CW25,CV25,"s"), 0)</f>
        <v>1.0069012641906738E-3</v>
      </c>
      <c r="CZ25" s="463">
        <f t="shared" ca="1" si="138"/>
        <v>87</v>
      </c>
      <c r="DA25" s="247">
        <f t="shared" ca="1" si="139"/>
        <v>0.58900462962962963</v>
      </c>
      <c r="DB25" s="245">
        <f t="shared" ca="1" si="64"/>
        <v>0.5889699074074074</v>
      </c>
      <c r="DC25" s="243" t="str">
        <f ca="1">IF(AND(DB25&lt;&gt;0,DA25&lt;&gt;0),вПМ(DB25,DA25,"s"),"")</f>
        <v>-</v>
      </c>
      <c r="DD25" s="245">
        <f ca="1">IF(AND(DB25&lt;&gt;0,DA25&lt;&gt;0),вРазн(DB25,DA25,"s"), 0)</f>
        <v>3.4749507904052734E-5</v>
      </c>
      <c r="DE25" s="463">
        <f t="shared" ca="1" si="140"/>
        <v>3</v>
      </c>
      <c r="DF25" s="242">
        <f t="shared" ca="1" si="66"/>
        <v>0</v>
      </c>
      <c r="DG25" s="122">
        <f t="shared" ca="1" si="141"/>
        <v>0</v>
      </c>
      <c r="DH25" s="122">
        <f t="shared" ca="1" si="142"/>
        <v>0</v>
      </c>
      <c r="DI25" s="248">
        <f t="shared" ca="1" si="143"/>
        <v>70.3</v>
      </c>
      <c r="DJ25" s="248">
        <f t="shared" ca="1" si="144"/>
        <v>0</v>
      </c>
      <c r="DK25" s="243">
        <f t="shared" ca="1" si="145"/>
        <v>0</v>
      </c>
      <c r="DL25" s="243" t="str">
        <f t="shared" ca="1" si="146"/>
        <v>да</v>
      </c>
      <c r="DM25" s="243">
        <f t="shared" ca="1" si="147"/>
        <v>0</v>
      </c>
      <c r="DN25" s="463">
        <f t="shared" ca="1" si="148"/>
        <v>270.89999999999998</v>
      </c>
      <c r="DO25" s="249">
        <f t="shared" ca="1" si="72"/>
        <v>0</v>
      </c>
      <c r="DP25" s="246">
        <f t="shared" ca="1" si="149"/>
        <v>0</v>
      </c>
      <c r="DQ25" s="249">
        <f t="shared" ca="1" si="72"/>
        <v>0</v>
      </c>
      <c r="DR25" s="246">
        <f t="shared" ca="1" si="150"/>
        <v>600</v>
      </c>
      <c r="DS25" s="242">
        <f t="shared" ca="1" si="75"/>
        <v>0.66111111111111109</v>
      </c>
      <c r="DT25" s="244">
        <f t="shared" ca="1" si="151"/>
        <v>0</v>
      </c>
      <c r="DU25" s="242">
        <f t="shared" ca="1" si="75"/>
        <v>0</v>
      </c>
      <c r="DV25" s="244">
        <f t="shared" ca="1" si="152"/>
        <v>900</v>
      </c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59"/>
      <c r="ET25" s="459"/>
      <c r="EU25" s="242" t="e">
        <f t="shared" ca="1" si="153"/>
        <v>#VALUE!</v>
      </c>
      <c r="EV25" s="122">
        <f t="shared" ca="1" si="154"/>
        <v>0</v>
      </c>
      <c r="EW25" s="243" t="e">
        <f ca="1">IF(AND(EV25&lt;&gt;0,EU25&lt;&gt;0),вПМ(EV25,EU25),"")</f>
        <v>#VALUE!</v>
      </c>
      <c r="EX25" s="122">
        <f ca="1">IF(EV25&lt;&gt;0,вРазн(EV25,EU25), 0)</f>
        <v>0</v>
      </c>
      <c r="EY25" s="244">
        <f t="shared" ca="1" si="155"/>
        <v>900</v>
      </c>
      <c r="EZ25" s="242">
        <f t="shared" ca="1" si="81"/>
        <v>0</v>
      </c>
      <c r="FA25" s="122">
        <f t="shared" ca="1" si="156"/>
        <v>0</v>
      </c>
      <c r="FB25" s="122">
        <f t="shared" ca="1" si="157"/>
        <v>0</v>
      </c>
      <c r="FC25" s="248">
        <f t="shared" ca="1" si="158"/>
        <v>83.6</v>
      </c>
      <c r="FD25" s="248">
        <f t="shared" ca="1" si="159"/>
        <v>0</v>
      </c>
      <c r="FE25" s="248">
        <f t="shared" ca="1" si="160"/>
        <v>0</v>
      </c>
      <c r="FF25" s="243">
        <f t="shared" ca="1" si="161"/>
        <v>0</v>
      </c>
      <c r="FG25" s="243">
        <f t="shared" ca="1" si="162"/>
        <v>0</v>
      </c>
      <c r="FH25" s="463">
        <f t="shared" ca="1" si="163"/>
        <v>250.79999999999998</v>
      </c>
    </row>
    <row r="26" spans="1:165" s="236" customFormat="1" x14ac:dyDescent="0.25">
      <c r="A26" s="388">
        <f>стартоваяВедомость!B26</f>
        <v>18</v>
      </c>
      <c r="B26" s="389" t="str">
        <f t="shared" ca="1" si="1"/>
        <v>Мицубиси Паджеро</v>
      </c>
      <c r="C26" s="389" t="str">
        <f t="shared" ca="1" si="2"/>
        <v>Куприянов Александр</v>
      </c>
      <c r="D26" s="389" t="str">
        <f t="shared" ca="1" si="3"/>
        <v>Шамшина Светлана</v>
      </c>
      <c r="E26" s="389" t="str">
        <f t="shared" ca="1" si="4"/>
        <v>Вязьма / Королев</v>
      </c>
      <c r="F26" s="389" t="str">
        <f t="shared" ca="1" si="5"/>
        <v>Light, Кубок</v>
      </c>
      <c r="G26" s="486">
        <f t="shared" ca="1" si="90"/>
        <v>2230.3000000000002</v>
      </c>
      <c r="H26" s="486">
        <f t="shared" ca="1" si="91"/>
        <v>1320</v>
      </c>
      <c r="I26" s="486">
        <f t="shared" ca="1" si="92"/>
        <v>790.3</v>
      </c>
      <c r="J26" s="486">
        <f t="shared" ca="1" si="93"/>
        <v>120</v>
      </c>
      <c r="K26" s="390">
        <f t="shared" ca="1" si="9"/>
        <v>0.4284722222222222</v>
      </c>
      <c r="L26" s="391">
        <f t="shared" ca="1" si="94"/>
        <v>0.4284722222222222</v>
      </c>
      <c r="M26" s="392" t="str">
        <f ca="1">IF(L26&lt;&gt;0,вПМ(L26,K26),"")</f>
        <v/>
      </c>
      <c r="N26" s="391">
        <f ca="1">IF(L26&lt;&gt;0,вРазн(L26,K26), 0)</f>
        <v>0</v>
      </c>
      <c r="O26" s="393">
        <f t="shared" ca="1" si="95"/>
        <v>0</v>
      </c>
      <c r="P26" s="394">
        <f t="shared" ca="1" si="12"/>
        <v>4.86111119389534E-2</v>
      </c>
      <c r="Q26" s="395"/>
      <c r="R26" s="390">
        <f t="shared" ca="1" si="96"/>
        <v>0.4770833341611756</v>
      </c>
      <c r="S26" s="391">
        <f t="shared" ca="1" si="97"/>
        <v>0.4770833333333333</v>
      </c>
      <c r="T26" s="392" t="str">
        <f ca="1">IF(S26&lt;&gt;0,вПМ(S26,R26),"")</f>
        <v/>
      </c>
      <c r="U26" s="391">
        <f ca="1">IF(S26&lt;&gt;0,вРазн(S26,R26), 0)</f>
        <v>0</v>
      </c>
      <c r="V26" s="393">
        <f t="shared" ca="1" si="98"/>
        <v>0</v>
      </c>
      <c r="W26" s="394">
        <f t="shared" ca="1" si="16"/>
        <v>4.86111119389534E-2</v>
      </c>
      <c r="X26" s="391"/>
      <c r="Y26" s="395">
        <f t="shared" ca="1" si="99"/>
        <v>0</v>
      </c>
      <c r="Z26" s="390">
        <f t="shared" ca="1" si="100"/>
        <v>0.52847222305006447</v>
      </c>
      <c r="AA26" s="391">
        <f t="shared" ca="1" si="101"/>
        <v>0.52847222222222223</v>
      </c>
      <c r="AB26" s="392" t="str">
        <f ca="1">IF(AA26&lt;&gt;0,вПМ(AA26,Z26),"")</f>
        <v/>
      </c>
      <c r="AC26" s="391">
        <f ca="1">IF(AA26&lt;&gt;0,вРазн(AA26,Z26), 0)</f>
        <v>0</v>
      </c>
      <c r="AD26" s="393">
        <f t="shared" ca="1" si="102"/>
        <v>0</v>
      </c>
      <c r="AE26" s="394">
        <f t="shared" ca="1" si="21"/>
        <v>2.43055559694767E-2</v>
      </c>
      <c r="AF26" s="391"/>
      <c r="AG26" s="395">
        <f t="shared" ca="1" si="103"/>
        <v>0</v>
      </c>
      <c r="AH26" s="390">
        <f t="shared" ca="1" si="104"/>
        <v>0.55277777819169893</v>
      </c>
      <c r="AI26" s="391">
        <f t="shared" ca="1" si="105"/>
        <v>0.55069444444444449</v>
      </c>
      <c r="AJ26" s="392" t="str">
        <f ca="1">IF(AI26&lt;&gt;0,вПМ(AI26,AH26),"")</f>
        <v>-</v>
      </c>
      <c r="AK26" s="391">
        <f ca="1">IF(AI26&lt;&gt;0,вРазн(AI26,AH26), 0)</f>
        <v>2.0833015441894531E-3</v>
      </c>
      <c r="AL26" s="393">
        <f t="shared" ca="1" si="106"/>
        <v>180</v>
      </c>
      <c r="AM26" s="394">
        <f t="shared" ca="1" si="26"/>
        <v>2.43055559694767E-2</v>
      </c>
      <c r="AN26" s="391"/>
      <c r="AO26" s="395">
        <f t="shared" ca="1" si="107"/>
        <v>0</v>
      </c>
      <c r="AP26" s="390">
        <f t="shared" ca="1" si="108"/>
        <v>0.57500000041392119</v>
      </c>
      <c r="AQ26" s="391">
        <f t="shared" ca="1" si="109"/>
        <v>0.57500000000000007</v>
      </c>
      <c r="AR26" s="392" t="str">
        <f ca="1">IF(AQ26&lt;&gt;0,вПМ(AQ26,AP26),"")</f>
        <v/>
      </c>
      <c r="AS26" s="391">
        <f ca="1">IF(AQ26&lt;&gt;0,вРазн(AQ26,AP26), 0)</f>
        <v>0</v>
      </c>
      <c r="AT26" s="393">
        <f t="shared" ca="1" si="110"/>
        <v>0</v>
      </c>
      <c r="AU26" s="394">
        <f t="shared" ca="1" si="31"/>
        <v>3.125E-2</v>
      </c>
      <c r="AV26" s="391"/>
      <c r="AW26" s="395">
        <f t="shared" ca="1" si="111"/>
        <v>0</v>
      </c>
      <c r="AX26" s="390">
        <f t="shared" ca="1" si="112"/>
        <v>0.61111111111111105</v>
      </c>
      <c r="AY26" s="391">
        <f t="shared" ca="1" si="113"/>
        <v>0.61388888888888882</v>
      </c>
      <c r="AZ26" s="392" t="str">
        <f ca="1">IF(AY26&lt;&gt;0,вПМ(AY26,AX26),"")</f>
        <v>+</v>
      </c>
      <c r="BA26" s="391">
        <f ca="1">IF(AY26&lt;&gt;0,вРазн(AY26,AX26), 0)</f>
        <v>2.7777552604675293E-3</v>
      </c>
      <c r="BB26" s="393">
        <f t="shared" ca="1" si="114"/>
        <v>240</v>
      </c>
      <c r="BC26" s="394">
        <f t="shared" ca="1" si="36"/>
        <v>4.1666667908430099E-2</v>
      </c>
      <c r="BD26" s="391"/>
      <c r="BE26" s="395">
        <f t="shared" ca="1" si="115"/>
        <v>0</v>
      </c>
      <c r="BF26" s="390">
        <f t="shared" ca="1" si="116"/>
        <v>0.65555555679731892</v>
      </c>
      <c r="BG26" s="391">
        <f t="shared" ca="1" si="117"/>
        <v>0.65555555555555556</v>
      </c>
      <c r="BH26" s="392" t="str">
        <f ca="1">IF(BG26&lt;&gt;0,вПМ(BG26,BF26),"")</f>
        <v/>
      </c>
      <c r="BI26" s="391">
        <f ca="1">IF(BG26&lt;&gt;0,вРазн(BG26,BF26), 0)</f>
        <v>0</v>
      </c>
      <c r="BJ26" s="393">
        <f t="shared" ca="1" si="118"/>
        <v>0</v>
      </c>
      <c r="BK26" s="394">
        <f t="shared" ca="1" si="41"/>
        <v>2.777777798473835E-2</v>
      </c>
      <c r="BL26" s="391"/>
      <c r="BM26" s="395">
        <f t="shared" ca="1" si="119"/>
        <v>0</v>
      </c>
      <c r="BN26" s="390">
        <f t="shared" ca="1" si="120"/>
        <v>0.68333333354029391</v>
      </c>
      <c r="BO26" s="391">
        <f t="shared" ca="1" si="121"/>
        <v>0.68333333333333324</v>
      </c>
      <c r="BP26" s="392" t="str">
        <f ca="1">IF(BO26&lt;&gt;0,вПМ(BO26,BN26),"")</f>
        <v/>
      </c>
      <c r="BQ26" s="391">
        <f ca="1">IF(BO26&lt;&gt;0,вРазн(BO26,BN26), 0)</f>
        <v>0</v>
      </c>
      <c r="BR26" s="396">
        <f t="shared" ca="1" si="122"/>
        <v>0</v>
      </c>
      <c r="BS26" s="390">
        <f t="shared" ca="1" si="46"/>
        <v>0</v>
      </c>
      <c r="BT26" s="391">
        <f t="shared" ca="1" si="123"/>
        <v>0</v>
      </c>
      <c r="BU26" s="391">
        <f t="shared" ca="1" si="124"/>
        <v>0</v>
      </c>
      <c r="BV26" s="401">
        <f t="shared" ca="1" si="125"/>
        <v>57.9</v>
      </c>
      <c r="BW26" s="401">
        <f t="shared" ca="1" si="126"/>
        <v>0</v>
      </c>
      <c r="BX26" s="392">
        <f t="shared" ca="1" si="127"/>
        <v>0</v>
      </c>
      <c r="BY26" s="392">
        <f t="shared" ca="1" si="128"/>
        <v>0</v>
      </c>
      <c r="BZ26" s="392">
        <f t="shared" ca="1" si="129"/>
        <v>0</v>
      </c>
      <c r="CA26" s="462">
        <f t="shared" ca="1" si="130"/>
        <v>173.7</v>
      </c>
      <c r="CB26" s="390">
        <f t="shared" ca="1" si="52"/>
        <v>0.47986111111111113</v>
      </c>
      <c r="CC26" s="391">
        <f t="shared" ca="1" si="131"/>
        <v>0.47986111111111113</v>
      </c>
      <c r="CD26" s="391">
        <f ca="1">IF(OR(CB26=0,CC26=0),0,вРазн(CC26,CB26))</f>
        <v>0</v>
      </c>
      <c r="CE26" s="391"/>
      <c r="CF26" s="391"/>
      <c r="CG26" s="397">
        <f t="shared" ca="1" si="132"/>
        <v>0.48765046296296299</v>
      </c>
      <c r="CH26" s="398">
        <f t="shared" ca="1" si="54"/>
        <v>0.48796296296296293</v>
      </c>
      <c r="CI26" s="399" t="str">
        <f ca="1">IF(CH26&lt;&gt;0,вПМ(CH26,CG26,"s"),"")</f>
        <v>+</v>
      </c>
      <c r="CJ26" s="398">
        <f ca="1">IF(CH26&lt;&gt;0,вРазн(CH26,CG26,"s"), 0)</f>
        <v>3.1250715255737305E-4</v>
      </c>
      <c r="CK26" s="462">
        <f t="shared" ca="1" si="133"/>
        <v>27</v>
      </c>
      <c r="CL26" s="397">
        <f t="shared" ca="1" si="134"/>
        <v>0.50222222222222224</v>
      </c>
      <c r="CM26" s="398">
        <f t="shared" ca="1" si="57"/>
        <v>0.50142361111111111</v>
      </c>
      <c r="CN26" s="392" t="str">
        <f ca="1">IF(AND(CM26&lt;&gt;0,CL26&lt;&gt;0),вПМ(CM26,CL26,"s"),"")</f>
        <v>-</v>
      </c>
      <c r="CO26" s="398">
        <f ca="1">IF(AND(CM26&lt;&gt;0,CL26&lt;&gt;0),вРазн(CM26,CL26,"s"), 0)</f>
        <v>7.9864263534545898E-4</v>
      </c>
      <c r="CP26" s="462">
        <f t="shared" ca="1" si="135"/>
        <v>69</v>
      </c>
      <c r="CQ26" s="390">
        <f t="shared" ca="1" si="59"/>
        <v>0.57986111111111105</v>
      </c>
      <c r="CR26" s="391">
        <f t="shared" ca="1" si="136"/>
        <v>0.57986111111111105</v>
      </c>
      <c r="CS26" s="391">
        <f ca="1">IF(OR(CQ26=0,CR26=0),0,вРазн(CR26,CQ26))</f>
        <v>0</v>
      </c>
      <c r="CT26" s="391"/>
      <c r="CU26" s="391"/>
      <c r="CV26" s="397">
        <f t="shared" ca="1" si="137"/>
        <v>0.58681712962962962</v>
      </c>
      <c r="CW26" s="398">
        <f t="shared" ca="1" si="61"/>
        <v>0.58706018518518521</v>
      </c>
      <c r="CX26" s="399" t="str">
        <f ca="1">IF(CW26&lt;&gt;0,вПМ(CW26,CV26,"s"),"")</f>
        <v>+</v>
      </c>
      <c r="CY26" s="398">
        <f ca="1">IF(CW26&lt;&gt;0,вРазн(CW26,CV26,"s"), 0)</f>
        <v>2.4306774139404297E-4</v>
      </c>
      <c r="CZ26" s="462">
        <f t="shared" ca="1" si="138"/>
        <v>21</v>
      </c>
      <c r="DA26" s="397">
        <f t="shared" ca="1" si="139"/>
        <v>0.58754629629629629</v>
      </c>
      <c r="DB26" s="398">
        <f t="shared" ca="1" si="64"/>
        <v>0.58759259259259256</v>
      </c>
      <c r="DC26" s="392" t="str">
        <f ca="1">IF(AND(DB26&lt;&gt;0,DA26&lt;&gt;0),вПМ(DB26,DA26,"s"),"")</f>
        <v>+</v>
      </c>
      <c r="DD26" s="398">
        <f ca="1">IF(AND(DB26&lt;&gt;0,DA26&lt;&gt;0),вРазн(DB26,DA26,"s"), 0)</f>
        <v>4.6312808990478516E-5</v>
      </c>
      <c r="DE26" s="462">
        <f t="shared" ca="1" si="140"/>
        <v>4</v>
      </c>
      <c r="DF26" s="390">
        <f t="shared" ca="1" si="66"/>
        <v>0</v>
      </c>
      <c r="DG26" s="391">
        <f t="shared" ca="1" si="141"/>
        <v>0</v>
      </c>
      <c r="DH26" s="391">
        <f t="shared" ca="1" si="142"/>
        <v>0</v>
      </c>
      <c r="DI26" s="401">
        <f t="shared" ca="1" si="143"/>
        <v>65.2</v>
      </c>
      <c r="DJ26" s="401">
        <f t="shared" ca="1" si="144"/>
        <v>0</v>
      </c>
      <c r="DK26" s="392">
        <f t="shared" ca="1" si="145"/>
        <v>0</v>
      </c>
      <c r="DL26" s="392">
        <f t="shared" ca="1" si="146"/>
        <v>0</v>
      </c>
      <c r="DM26" s="392" t="str">
        <f t="shared" ca="1" si="147"/>
        <v>да</v>
      </c>
      <c r="DN26" s="462">
        <f t="shared" ca="1" si="148"/>
        <v>495.6</v>
      </c>
      <c r="DO26" s="402">
        <f t="shared" ca="1" si="72"/>
        <v>0</v>
      </c>
      <c r="DP26" s="400">
        <f t="shared" ca="1" si="149"/>
        <v>0</v>
      </c>
      <c r="DQ26" s="402">
        <f t="shared" ca="1" si="72"/>
        <v>0</v>
      </c>
      <c r="DR26" s="400">
        <f t="shared" ca="1" si="150"/>
        <v>120</v>
      </c>
      <c r="DS26" s="390">
        <f t="shared" ca="1" si="75"/>
        <v>0.66388888888888886</v>
      </c>
      <c r="DT26" s="396">
        <f t="shared" ca="1" si="151"/>
        <v>0</v>
      </c>
      <c r="DU26" s="390">
        <f t="shared" ca="1" si="75"/>
        <v>0</v>
      </c>
      <c r="DV26" s="396">
        <f t="shared" ca="1" si="152"/>
        <v>900</v>
      </c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59"/>
      <c r="ET26" s="459"/>
      <c r="EU26" s="390" t="e">
        <f t="shared" ca="1" si="153"/>
        <v>#VALUE!</v>
      </c>
      <c r="EV26" s="391">
        <f t="shared" ca="1" si="154"/>
        <v>0</v>
      </c>
      <c r="EW26" s="392" t="e">
        <f ca="1">IF(AND(EV26&lt;&gt;0,EU26&lt;&gt;0),вПМ(EV26,EU26),"")</f>
        <v>#VALUE!</v>
      </c>
      <c r="EX26" s="391">
        <f ca="1">IF(EV26&lt;&gt;0,вРазн(EV26,EU26), 0)</f>
        <v>0</v>
      </c>
      <c r="EY26" s="396">
        <f t="shared" ca="1" si="155"/>
        <v>900</v>
      </c>
      <c r="EZ26" s="390">
        <f t="shared" ca="1" si="81"/>
        <v>0</v>
      </c>
      <c r="FA26" s="391">
        <f t="shared" ca="1" si="156"/>
        <v>0</v>
      </c>
      <c r="FB26" s="391">
        <f t="shared" ca="1" si="157"/>
        <v>0</v>
      </c>
      <c r="FC26" s="401">
        <f t="shared" ca="1" si="158"/>
        <v>57.9</v>
      </c>
      <c r="FD26" s="401">
        <f t="shared" ca="1" si="159"/>
        <v>0</v>
      </c>
      <c r="FE26" s="401">
        <f t="shared" ca="1" si="160"/>
        <v>0</v>
      </c>
      <c r="FF26" s="392">
        <f t="shared" ca="1" si="161"/>
        <v>0</v>
      </c>
      <c r="FG26" s="392">
        <f t="shared" ca="1" si="162"/>
        <v>0</v>
      </c>
      <c r="FH26" s="462">
        <f t="shared" ca="1" si="163"/>
        <v>173.7</v>
      </c>
      <c r="FI26" s="403"/>
    </row>
    <row r="27" spans="1:165" s="20" customFormat="1" x14ac:dyDescent="0.25">
      <c r="A27" s="253">
        <f>стартоваяВедомость!B27</f>
        <v>20</v>
      </c>
      <c r="B27" s="241" t="str">
        <f t="shared" ca="1" si="1"/>
        <v>Ford Fiesta</v>
      </c>
      <c r="C27" s="241" t="str">
        <f t="shared" ca="1" si="2"/>
        <v>Кроман Ольга</v>
      </c>
      <c r="D27" s="241" t="str">
        <f t="shared" ca="1" si="3"/>
        <v>Прусова Наталья</v>
      </c>
      <c r="E27" s="241" t="str">
        <f t="shared" ca="1" si="4"/>
        <v>Смоленск</v>
      </c>
      <c r="F27" s="241" t="str">
        <f t="shared" ca="1" si="5"/>
        <v>Pro, Аэропорт</v>
      </c>
      <c r="G27" s="487">
        <f t="shared" ca="1" si="90"/>
        <v>1818.3</v>
      </c>
      <c r="H27" s="487">
        <f t="shared" ca="1" si="91"/>
        <v>720</v>
      </c>
      <c r="I27" s="487">
        <f t="shared" ca="1" si="92"/>
        <v>858.3</v>
      </c>
      <c r="J27" s="487">
        <f t="shared" ca="1" si="93"/>
        <v>240</v>
      </c>
      <c r="K27" s="242">
        <f t="shared" ca="1" si="9"/>
        <v>0.42916666666666664</v>
      </c>
      <c r="L27" s="122">
        <f t="shared" ca="1" si="94"/>
        <v>0.4284722222222222</v>
      </c>
      <c r="M27" s="243" t="str">
        <f ca="1">IF(L27&lt;&gt;0,вПМ(L27,K27),"")</f>
        <v>-</v>
      </c>
      <c r="N27" s="122">
        <f ca="1">IF(L27&lt;&gt;0,вРазн(L27,K27), 0)</f>
        <v>6.9445371627807617E-4</v>
      </c>
      <c r="O27" s="301">
        <f t="shared" ca="1" si="95"/>
        <v>60</v>
      </c>
      <c r="P27" s="300">
        <f t="shared" ca="1" si="12"/>
        <v>4.86111119389534E-2</v>
      </c>
      <c r="Q27" s="294"/>
      <c r="R27" s="242">
        <f t="shared" ca="1" si="96"/>
        <v>0.4770833341611756</v>
      </c>
      <c r="S27" s="122">
        <f t="shared" ca="1" si="97"/>
        <v>0.4777777777777778</v>
      </c>
      <c r="T27" s="243" t="str">
        <f ca="1">IF(S27&lt;&gt;0,вПМ(S27,R27),"")</f>
        <v>+</v>
      </c>
      <c r="U27" s="122">
        <f ca="1">IF(S27&lt;&gt;0,вРазн(S27,R27), 0)</f>
        <v>6.9445371627807617E-4</v>
      </c>
      <c r="V27" s="301">
        <f t="shared" ca="1" si="98"/>
        <v>60</v>
      </c>
      <c r="W27" s="300">
        <f t="shared" ca="1" si="16"/>
        <v>4.86111119389534E-2</v>
      </c>
      <c r="X27" s="122"/>
      <c r="Y27" s="294">
        <f t="shared" ca="1" si="99"/>
        <v>0</v>
      </c>
      <c r="Z27" s="242">
        <f t="shared" ca="1" si="100"/>
        <v>0.52916666749450902</v>
      </c>
      <c r="AA27" s="122">
        <f t="shared" ca="1" si="101"/>
        <v>0.52916666666666667</v>
      </c>
      <c r="AB27" s="243" t="str">
        <f ca="1">IF(AA27&lt;&gt;0,вПМ(AA27,Z27),"")</f>
        <v/>
      </c>
      <c r="AC27" s="122">
        <f ca="1">IF(AA27&lt;&gt;0,вРазн(AA27,Z27), 0)</f>
        <v>0</v>
      </c>
      <c r="AD27" s="301">
        <f t="shared" ca="1" si="102"/>
        <v>0</v>
      </c>
      <c r="AE27" s="300">
        <f t="shared" ca="1" si="21"/>
        <v>2.43055559694767E-2</v>
      </c>
      <c r="AF27" s="122"/>
      <c r="AG27" s="294">
        <f t="shared" ca="1" si="103"/>
        <v>0</v>
      </c>
      <c r="AH27" s="242">
        <f t="shared" ca="1" si="104"/>
        <v>0.55347222263614337</v>
      </c>
      <c r="AI27" s="122">
        <f t="shared" ca="1" si="105"/>
        <v>0.56180555555555556</v>
      </c>
      <c r="AJ27" s="243" t="str">
        <f ca="1">IF(AI27&lt;&gt;0,вПМ(AI27,AH27),"")</f>
        <v>+</v>
      </c>
      <c r="AK27" s="122">
        <f ca="1">IF(AI27&lt;&gt;0,вРазн(AI27,AH27), 0)</f>
        <v>8.3333253860473633E-3</v>
      </c>
      <c r="AL27" s="301">
        <f t="shared" ca="1" si="106"/>
        <v>600</v>
      </c>
      <c r="AM27" s="300">
        <f t="shared" ca="1" si="26"/>
        <v>2.43055559694767E-2</v>
      </c>
      <c r="AN27" s="122"/>
      <c r="AO27" s="294">
        <f t="shared" ca="1" si="107"/>
        <v>0</v>
      </c>
      <c r="AP27" s="242">
        <f t="shared" ca="1" si="108"/>
        <v>0.58611111152503226</v>
      </c>
      <c r="AQ27" s="122">
        <f t="shared" ca="1" si="109"/>
        <v>0.58611111111111114</v>
      </c>
      <c r="AR27" s="243" t="str">
        <f ca="1">IF(AQ27&lt;&gt;0,вПМ(AQ27,AP27),"")</f>
        <v/>
      </c>
      <c r="AS27" s="122">
        <f ca="1">IF(AQ27&lt;&gt;0,вРазн(AQ27,AP27), 0)</f>
        <v>0</v>
      </c>
      <c r="AT27" s="301">
        <f t="shared" ca="1" si="110"/>
        <v>0</v>
      </c>
      <c r="AU27" s="300">
        <f t="shared" ca="1" si="31"/>
        <v>3.125E-2</v>
      </c>
      <c r="AV27" s="122"/>
      <c r="AW27" s="294">
        <f t="shared" ca="1" si="111"/>
        <v>0</v>
      </c>
      <c r="AX27" s="242">
        <f t="shared" ca="1" si="112"/>
        <v>0.62083333333333335</v>
      </c>
      <c r="AY27" s="122">
        <f t="shared" ca="1" si="113"/>
        <v>0.62083333333333335</v>
      </c>
      <c r="AZ27" s="243" t="str">
        <f ca="1">IF(AY27&lt;&gt;0,вПМ(AY27,AX27),"")</f>
        <v/>
      </c>
      <c r="BA27" s="122">
        <f ca="1">IF(AY27&lt;&gt;0,вРазн(AY27,AX27), 0)</f>
        <v>0</v>
      </c>
      <c r="BB27" s="301">
        <f t="shared" ca="1" si="114"/>
        <v>0</v>
      </c>
      <c r="BC27" s="300">
        <f t="shared" ca="1" si="36"/>
        <v>4.1666667908430099E-2</v>
      </c>
      <c r="BD27" s="122"/>
      <c r="BE27" s="294">
        <f t="shared" ca="1" si="115"/>
        <v>0</v>
      </c>
      <c r="BF27" s="242">
        <f t="shared" ca="1" si="116"/>
        <v>0.66250000124176345</v>
      </c>
      <c r="BG27" s="122">
        <f t="shared" ca="1" si="117"/>
        <v>0.66249999999999998</v>
      </c>
      <c r="BH27" s="243" t="str">
        <f ca="1">IF(BG27&lt;&gt;0,вПМ(BG27,BF27),"")</f>
        <v/>
      </c>
      <c r="BI27" s="122">
        <f ca="1">IF(BG27&lt;&gt;0,вРазн(BG27,BF27), 0)</f>
        <v>0</v>
      </c>
      <c r="BJ27" s="301">
        <f t="shared" ca="1" si="118"/>
        <v>0</v>
      </c>
      <c r="BK27" s="300">
        <f t="shared" ca="1" si="41"/>
        <v>2.777777798473835E-2</v>
      </c>
      <c r="BL27" s="122"/>
      <c r="BM27" s="294">
        <f t="shared" ca="1" si="119"/>
        <v>0</v>
      </c>
      <c r="BN27" s="242">
        <f t="shared" ca="1" si="120"/>
        <v>0.69027777798473833</v>
      </c>
      <c r="BO27" s="122">
        <f t="shared" ca="1" si="121"/>
        <v>0.68819444444444444</v>
      </c>
      <c r="BP27" s="243" t="str">
        <f ca="1">IF(BO27&lt;&gt;0,вПМ(BO27,BN27),"")</f>
        <v>-</v>
      </c>
      <c r="BQ27" s="122">
        <f ca="1">IF(BO27&lt;&gt;0,вРазн(BO27,BN27), 0)</f>
        <v>2.0833015441894531E-3</v>
      </c>
      <c r="BR27" s="244">
        <f t="shared" ca="1" si="122"/>
        <v>0</v>
      </c>
      <c r="BS27" s="242">
        <f t="shared" ca="1" si="46"/>
        <v>0</v>
      </c>
      <c r="BT27" s="122">
        <f t="shared" ca="1" si="123"/>
        <v>0</v>
      </c>
      <c r="BU27" s="122">
        <f t="shared" ca="1" si="124"/>
        <v>0</v>
      </c>
      <c r="BV27" s="248">
        <f t="shared" ca="1" si="125"/>
        <v>66.8</v>
      </c>
      <c r="BW27" s="248">
        <f t="shared" ca="1" si="126"/>
        <v>0</v>
      </c>
      <c r="BX27" s="243">
        <f t="shared" ca="1" si="127"/>
        <v>0</v>
      </c>
      <c r="BY27" s="243" t="str">
        <f t="shared" ca="1" si="128"/>
        <v>да</v>
      </c>
      <c r="BZ27" s="243">
        <f t="shared" ca="1" si="129"/>
        <v>0</v>
      </c>
      <c r="CA27" s="463">
        <f t="shared" ca="1" si="130"/>
        <v>260.39999999999998</v>
      </c>
      <c r="CB27" s="242">
        <f t="shared" ca="1" si="52"/>
        <v>0.48055555555555557</v>
      </c>
      <c r="CC27" s="122">
        <f t="shared" ca="1" si="131"/>
        <v>0.48055555555555557</v>
      </c>
      <c r="CD27" s="122">
        <f ca="1">IF(OR(CB27=0,CC27=0),0,вРазн(CC27,CB27))</f>
        <v>0</v>
      </c>
      <c r="CE27" s="122"/>
      <c r="CF27" s="122"/>
      <c r="CG27" s="247">
        <f t="shared" ca="1" si="132"/>
        <v>0.48834490740740744</v>
      </c>
      <c r="CH27" s="245">
        <f t="shared" ca="1" si="54"/>
        <v>0.48865740740740743</v>
      </c>
      <c r="CI27" s="240" t="str">
        <f ca="1">IF(CH27&lt;&gt;0,вПМ(CH27,CG27,"s"),"")</f>
        <v>+</v>
      </c>
      <c r="CJ27" s="245">
        <f ca="1">IF(CH27&lt;&gt;0,вРазн(CH27,CG27,"s"), 0)</f>
        <v>3.1250715255737305E-4</v>
      </c>
      <c r="CK27" s="463">
        <f t="shared" ca="1" si="133"/>
        <v>27</v>
      </c>
      <c r="CL27" s="247">
        <f t="shared" ca="1" si="134"/>
        <v>0.50291666666666668</v>
      </c>
      <c r="CM27" s="245">
        <f t="shared" ca="1" si="57"/>
        <v>0.50668981481481479</v>
      </c>
      <c r="CN27" s="243" t="str">
        <f ca="1">IF(AND(CM27&lt;&gt;0,CL27&lt;&gt;0),вПМ(CM27,CL27,"s"),"")</f>
        <v>+</v>
      </c>
      <c r="CO27" s="245">
        <f ca="1">IF(AND(CM27&lt;&gt;0,CL27&lt;&gt;0),вРазн(CM27,CL27,"s"), 0)</f>
        <v>3.7730932235717773E-3</v>
      </c>
      <c r="CP27" s="463">
        <f t="shared" ca="1" si="135"/>
        <v>326</v>
      </c>
      <c r="CQ27" s="242">
        <f t="shared" ca="1" si="59"/>
        <v>0.58958333333333335</v>
      </c>
      <c r="CR27" s="122">
        <f t="shared" ca="1" si="136"/>
        <v>0.58958333333333335</v>
      </c>
      <c r="CS27" s="122">
        <f ca="1">IF(OR(CQ27=0,CR27=0),0,вРазн(CR27,CQ27))</f>
        <v>0</v>
      </c>
      <c r="CT27" s="122"/>
      <c r="CU27" s="122"/>
      <c r="CV27" s="247">
        <f t="shared" ca="1" si="137"/>
        <v>0.59653935185185192</v>
      </c>
      <c r="CW27" s="245">
        <f t="shared" ca="1" si="61"/>
        <v>0.59696759259259258</v>
      </c>
      <c r="CX27" s="240" t="str">
        <f ca="1">IF(CW27&lt;&gt;0,вПМ(CW27,CV27,"s"),"")</f>
        <v>+</v>
      </c>
      <c r="CY27" s="245">
        <f ca="1">IF(CW27&lt;&gt;0,вРазн(CW27,CV27,"s"), 0)</f>
        <v>4.2819976806640625E-4</v>
      </c>
      <c r="CZ27" s="463">
        <f t="shared" ca="1" si="138"/>
        <v>37</v>
      </c>
      <c r="DA27" s="247">
        <f t="shared" ca="1" si="139"/>
        <v>0.59745370370370365</v>
      </c>
      <c r="DB27" s="245">
        <f t="shared" ca="1" si="64"/>
        <v>0.59745370370370365</v>
      </c>
      <c r="DC27" s="243" t="str">
        <f ca="1">IF(AND(DB27&lt;&gt;0,DA27&lt;&gt;0),вПМ(DB27,DA27,"s"),"")</f>
        <v/>
      </c>
      <c r="DD27" s="245">
        <f ca="1">IF(AND(DB27&lt;&gt;0,DA27&lt;&gt;0),вРазн(DB27,DA27,"s"), 0)</f>
        <v>0</v>
      </c>
      <c r="DE27" s="463">
        <f t="shared" ca="1" si="140"/>
        <v>0</v>
      </c>
      <c r="DF27" s="242">
        <f t="shared" ca="1" si="66"/>
        <v>0</v>
      </c>
      <c r="DG27" s="122">
        <f t="shared" ca="1" si="141"/>
        <v>0</v>
      </c>
      <c r="DH27" s="122">
        <f t="shared" ca="1" si="142"/>
        <v>0</v>
      </c>
      <c r="DI27" s="248">
        <f t="shared" ca="1" si="143"/>
        <v>49.3</v>
      </c>
      <c r="DJ27" s="248">
        <f t="shared" ca="1" si="144"/>
        <v>0</v>
      </c>
      <c r="DK27" s="243">
        <f t="shared" ca="1" si="145"/>
        <v>0</v>
      </c>
      <c r="DL27" s="243" t="str">
        <f t="shared" ca="1" si="146"/>
        <v>да</v>
      </c>
      <c r="DM27" s="243">
        <f t="shared" ca="1" si="147"/>
        <v>0</v>
      </c>
      <c r="DN27" s="463">
        <f t="shared" ca="1" si="148"/>
        <v>207.89999999999998</v>
      </c>
      <c r="DO27" s="249">
        <f t="shared" ca="1" si="72"/>
        <v>0</v>
      </c>
      <c r="DP27" s="246">
        <f t="shared" ca="1" si="149"/>
        <v>0</v>
      </c>
      <c r="DQ27" s="249">
        <f t="shared" ca="1" si="72"/>
        <v>0</v>
      </c>
      <c r="DR27" s="246">
        <f t="shared" ca="1" si="150"/>
        <v>240</v>
      </c>
      <c r="DS27" s="242">
        <f t="shared" ca="1" si="75"/>
        <v>0.67013888888888884</v>
      </c>
      <c r="DT27" s="244">
        <f t="shared" ca="1" si="151"/>
        <v>0</v>
      </c>
      <c r="DU27" s="242">
        <f t="shared" ca="1" si="75"/>
        <v>0.68333333333333324</v>
      </c>
      <c r="DV27" s="244">
        <f t="shared" ca="1" si="152"/>
        <v>0</v>
      </c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459"/>
      <c r="ET27" s="459"/>
      <c r="EU27" s="242" t="e">
        <f t="shared" ca="1" si="153"/>
        <v>#VALUE!</v>
      </c>
      <c r="EV27" s="122">
        <f t="shared" ca="1" si="154"/>
        <v>0</v>
      </c>
      <c r="EW27" s="243" t="e">
        <f ca="1">IF(AND(EV27&lt;&gt;0,EU27&lt;&gt;0),вПМ(EV27,EU27),"")</f>
        <v>#VALUE!</v>
      </c>
      <c r="EX27" s="122">
        <f ca="1">IF(EV27&lt;&gt;0,вРазн(EV27,EU27), 0)</f>
        <v>0</v>
      </c>
      <c r="EY27" s="244">
        <f t="shared" ca="1" si="155"/>
        <v>900</v>
      </c>
      <c r="EZ27" s="242">
        <f t="shared" ca="1" si="81"/>
        <v>0</v>
      </c>
      <c r="FA27" s="122">
        <f t="shared" ca="1" si="156"/>
        <v>0</v>
      </c>
      <c r="FB27" s="122">
        <f t="shared" ca="1" si="157"/>
        <v>0</v>
      </c>
      <c r="FC27" s="248">
        <f t="shared" ca="1" si="158"/>
        <v>66.8</v>
      </c>
      <c r="FD27" s="248">
        <f t="shared" ca="1" si="159"/>
        <v>0</v>
      </c>
      <c r="FE27" s="248">
        <f t="shared" ca="1" si="160"/>
        <v>0</v>
      </c>
      <c r="FF27" s="243" t="str">
        <f t="shared" ca="1" si="161"/>
        <v>да</v>
      </c>
      <c r="FG27" s="243">
        <f t="shared" ca="1" si="162"/>
        <v>0</v>
      </c>
      <c r="FH27" s="463">
        <f t="shared" ca="1" si="163"/>
        <v>230.39999999999998</v>
      </c>
    </row>
    <row r="28" spans="1:165" s="236" customFormat="1" x14ac:dyDescent="0.25">
      <c r="A28" s="388">
        <f>стартоваяВедомость!B28</f>
        <v>21</v>
      </c>
      <c r="B28" s="389" t="str">
        <f t="shared" ca="1" si="1"/>
        <v>Volkswgen Golf</v>
      </c>
      <c r="C28" s="389" t="str">
        <f t="shared" ca="1" si="2"/>
        <v>Родин Клим</v>
      </c>
      <c r="D28" s="389" t="str">
        <f t="shared" ca="1" si="3"/>
        <v>Работин Антон</v>
      </c>
      <c r="E28" s="389" t="str">
        <f t="shared" ca="1" si="4"/>
        <v xml:space="preserve">Смоленск </v>
      </c>
      <c r="F28" s="389" t="str">
        <f t="shared" ca="1" si="5"/>
        <v>Light, Кубок</v>
      </c>
      <c r="G28" s="486">
        <f t="shared" ca="1" si="90"/>
        <v>1480.4</v>
      </c>
      <c r="H28" s="486">
        <f t="shared" ca="1" si="91"/>
        <v>780</v>
      </c>
      <c r="I28" s="486">
        <f t="shared" ca="1" si="92"/>
        <v>460.4</v>
      </c>
      <c r="J28" s="486">
        <f t="shared" ca="1" si="93"/>
        <v>240</v>
      </c>
      <c r="K28" s="390">
        <f t="shared" ca="1" si="9"/>
        <v>0.42986111111111108</v>
      </c>
      <c r="L28" s="391">
        <f t="shared" ca="1" si="94"/>
        <v>0.42986111111111108</v>
      </c>
      <c r="M28" s="392" t="str">
        <f ca="1">IF(L28&lt;&gt;0,вПМ(L28,K28),"")</f>
        <v/>
      </c>
      <c r="N28" s="391">
        <f ca="1">IF(L28&lt;&gt;0,вРазн(L28,K28), 0)</f>
        <v>0</v>
      </c>
      <c r="O28" s="393">
        <f t="shared" ca="1" si="95"/>
        <v>0</v>
      </c>
      <c r="P28" s="394">
        <f t="shared" ca="1" si="12"/>
        <v>4.86111119389534E-2</v>
      </c>
      <c r="Q28" s="395"/>
      <c r="R28" s="390">
        <f t="shared" ca="1" si="96"/>
        <v>0.47847222305006448</v>
      </c>
      <c r="S28" s="391">
        <f t="shared" ca="1" si="97"/>
        <v>0.47916666666666669</v>
      </c>
      <c r="T28" s="392" t="str">
        <f ca="1">IF(S28&lt;&gt;0,вПМ(S28,R28),"")</f>
        <v/>
      </c>
      <c r="U28" s="391">
        <f ca="1">IF(S28&lt;&gt;0,вРазн(S28,R28), 0)</f>
        <v>6.9442391395568848E-4</v>
      </c>
      <c r="V28" s="393">
        <f t="shared" ca="1" si="98"/>
        <v>60</v>
      </c>
      <c r="W28" s="394">
        <f t="shared" ca="1" si="16"/>
        <v>4.86111119389534E-2</v>
      </c>
      <c r="X28" s="391"/>
      <c r="Y28" s="395">
        <f t="shared" ca="1" si="99"/>
        <v>0</v>
      </c>
      <c r="Z28" s="390">
        <f t="shared" ca="1" si="100"/>
        <v>0.53055555638339791</v>
      </c>
      <c r="AA28" s="391">
        <f t="shared" ca="1" si="101"/>
        <v>0.53055555555555556</v>
      </c>
      <c r="AB28" s="392" t="str">
        <f ca="1">IF(AA28&lt;&gt;0,вПМ(AA28,Z28),"")</f>
        <v/>
      </c>
      <c r="AC28" s="391">
        <f ca="1">IF(AA28&lt;&gt;0,вРазн(AA28,Z28), 0)</f>
        <v>0</v>
      </c>
      <c r="AD28" s="393">
        <f t="shared" ca="1" si="102"/>
        <v>0</v>
      </c>
      <c r="AE28" s="394">
        <f t="shared" ca="1" si="21"/>
        <v>2.43055559694767E-2</v>
      </c>
      <c r="AF28" s="391"/>
      <c r="AG28" s="395">
        <f t="shared" ca="1" si="103"/>
        <v>0</v>
      </c>
      <c r="AH28" s="390">
        <f t="shared" ca="1" si="104"/>
        <v>0.55486111152503226</v>
      </c>
      <c r="AI28" s="391">
        <f t="shared" ca="1" si="105"/>
        <v>0.56180555555555556</v>
      </c>
      <c r="AJ28" s="392" t="str">
        <f ca="1">IF(AI28&lt;&gt;0,вПМ(AI28,AH28),"")</f>
        <v>+</v>
      </c>
      <c r="AK28" s="391">
        <f ca="1">IF(AI28&lt;&gt;0,вРазн(AI28,AH28), 0)</f>
        <v>6.9444179534912109E-3</v>
      </c>
      <c r="AL28" s="393">
        <f t="shared" ca="1" si="106"/>
        <v>600</v>
      </c>
      <c r="AM28" s="394">
        <f t="shared" ca="1" si="26"/>
        <v>2.43055559694767E-2</v>
      </c>
      <c r="AN28" s="391"/>
      <c r="AO28" s="395">
        <f t="shared" ca="1" si="107"/>
        <v>0</v>
      </c>
      <c r="AP28" s="390">
        <f t="shared" ca="1" si="108"/>
        <v>0.58611111152503226</v>
      </c>
      <c r="AQ28" s="391">
        <f t="shared" ca="1" si="109"/>
        <v>0.58611111111111114</v>
      </c>
      <c r="AR28" s="392" t="str">
        <f ca="1">IF(AQ28&lt;&gt;0,вПМ(AQ28,AP28),"")</f>
        <v/>
      </c>
      <c r="AS28" s="391">
        <f ca="1">IF(AQ28&lt;&gt;0,вРазн(AQ28,AP28), 0)</f>
        <v>0</v>
      </c>
      <c r="AT28" s="393">
        <f t="shared" ca="1" si="110"/>
        <v>0</v>
      </c>
      <c r="AU28" s="394">
        <f t="shared" ca="1" si="31"/>
        <v>3.125E-2</v>
      </c>
      <c r="AV28" s="391"/>
      <c r="AW28" s="395">
        <f t="shared" ca="1" si="111"/>
        <v>0</v>
      </c>
      <c r="AX28" s="390">
        <f t="shared" ca="1" si="112"/>
        <v>0.62291666666666667</v>
      </c>
      <c r="AY28" s="391">
        <f t="shared" ca="1" si="113"/>
        <v>0.62291666666666667</v>
      </c>
      <c r="AZ28" s="392" t="str">
        <f ca="1">IF(AY28&lt;&gt;0,вПМ(AY28,AX28),"")</f>
        <v/>
      </c>
      <c r="BA28" s="391">
        <f ca="1">IF(AY28&lt;&gt;0,вРазн(AY28,AX28), 0)</f>
        <v>0</v>
      </c>
      <c r="BB28" s="393">
        <f t="shared" ca="1" si="114"/>
        <v>0</v>
      </c>
      <c r="BC28" s="394">
        <f t="shared" ca="1" si="36"/>
        <v>4.1666667908430099E-2</v>
      </c>
      <c r="BD28" s="391"/>
      <c r="BE28" s="395">
        <f t="shared" ca="1" si="115"/>
        <v>0</v>
      </c>
      <c r="BF28" s="390">
        <f t="shared" ca="1" si="116"/>
        <v>0.66458333457509677</v>
      </c>
      <c r="BG28" s="391">
        <f t="shared" ca="1" si="117"/>
        <v>0.6645833333333333</v>
      </c>
      <c r="BH28" s="392" t="str">
        <f ca="1">IF(BG28&lt;&gt;0,вПМ(BG28,BF28),"")</f>
        <v/>
      </c>
      <c r="BI28" s="391">
        <f ca="1">IF(BG28&lt;&gt;0,вРазн(BG28,BF28), 0)</f>
        <v>0</v>
      </c>
      <c r="BJ28" s="393">
        <f t="shared" ca="1" si="118"/>
        <v>0</v>
      </c>
      <c r="BK28" s="394">
        <f t="shared" ca="1" si="41"/>
        <v>2.777777798473835E-2</v>
      </c>
      <c r="BL28" s="391"/>
      <c r="BM28" s="395">
        <f t="shared" ca="1" si="119"/>
        <v>0</v>
      </c>
      <c r="BN28" s="390">
        <f t="shared" ca="1" si="120"/>
        <v>0.69236111131807165</v>
      </c>
      <c r="BO28" s="391">
        <f t="shared" ca="1" si="121"/>
        <v>0.69374999999999998</v>
      </c>
      <c r="BP28" s="392" t="str">
        <f ca="1">IF(BO28&lt;&gt;0,вПМ(BO28,BN28),"")</f>
        <v>+</v>
      </c>
      <c r="BQ28" s="391">
        <f ca="1">IF(BO28&lt;&gt;0,вРазн(BO28,BN28), 0)</f>
        <v>1.3889074325561523E-3</v>
      </c>
      <c r="BR28" s="396">
        <f t="shared" ca="1" si="122"/>
        <v>120</v>
      </c>
      <c r="BS28" s="390">
        <f t="shared" ca="1" si="46"/>
        <v>0</v>
      </c>
      <c r="BT28" s="391">
        <f t="shared" ca="1" si="123"/>
        <v>0</v>
      </c>
      <c r="BU28" s="391">
        <f t="shared" ca="1" si="124"/>
        <v>0</v>
      </c>
      <c r="BV28" s="401">
        <f t="shared" ca="1" si="125"/>
        <v>72.3</v>
      </c>
      <c r="BW28" s="401">
        <f t="shared" ca="1" si="126"/>
        <v>0</v>
      </c>
      <c r="BX28" s="392">
        <f t="shared" ca="1" si="127"/>
        <v>0</v>
      </c>
      <c r="BY28" s="392">
        <f t="shared" ca="1" si="128"/>
        <v>0</v>
      </c>
      <c r="BZ28" s="392">
        <f t="shared" ca="1" si="129"/>
        <v>0</v>
      </c>
      <c r="CA28" s="462">
        <f t="shared" ca="1" si="130"/>
        <v>216.89999999999998</v>
      </c>
      <c r="CB28" s="390">
        <f t="shared" ca="1" si="52"/>
        <v>0.48194444444444445</v>
      </c>
      <c r="CC28" s="391">
        <f t="shared" ca="1" si="131"/>
        <v>0.48194444444444445</v>
      </c>
      <c r="CD28" s="391">
        <f ca="1">IF(OR(CB28=0,CC28=0),0,вРазн(CC28,CB28))</f>
        <v>0</v>
      </c>
      <c r="CE28" s="391"/>
      <c r="CF28" s="391"/>
      <c r="CG28" s="397">
        <f t="shared" ca="1" si="132"/>
        <v>0.48973379629629632</v>
      </c>
      <c r="CH28" s="398">
        <f t="shared" ca="1" si="54"/>
        <v>0.48979166666666668</v>
      </c>
      <c r="CI28" s="399" t="str">
        <f ca="1">IF(CH28&lt;&gt;0,вПМ(CH28,CG28,"s"),"")</f>
        <v>+</v>
      </c>
      <c r="CJ28" s="398">
        <f ca="1">IF(CH28&lt;&gt;0,вРазн(CH28,CG28,"s"), 0)</f>
        <v>5.7876110076904297E-5</v>
      </c>
      <c r="CK28" s="462">
        <f t="shared" ca="1" si="133"/>
        <v>5</v>
      </c>
      <c r="CL28" s="397">
        <f t="shared" ca="1" si="134"/>
        <v>0.50405092592592593</v>
      </c>
      <c r="CM28" s="398">
        <f t="shared" ca="1" si="57"/>
        <v>0.50396990740740744</v>
      </c>
      <c r="CN28" s="392" t="str">
        <f ca="1">IF(AND(CM28&lt;&gt;0,CL28&lt;&gt;0),вПМ(CM28,CL28,"s"),"")</f>
        <v>-</v>
      </c>
      <c r="CO28" s="398">
        <f ca="1">IF(AND(CM28&lt;&gt;0,CL28&lt;&gt;0),вРазн(CM28,CL28,"s"), 0)</f>
        <v>8.1002712249755859E-5</v>
      </c>
      <c r="CP28" s="462">
        <f t="shared" ca="1" si="135"/>
        <v>7</v>
      </c>
      <c r="CQ28" s="390">
        <f t="shared" ca="1" si="59"/>
        <v>0.59166666666666667</v>
      </c>
      <c r="CR28" s="391">
        <f t="shared" ca="1" si="136"/>
        <v>0.59166666666666667</v>
      </c>
      <c r="CS28" s="391">
        <f ca="1">IF(OR(CQ28=0,CR28=0),0,вРазн(CR28,CQ28))</f>
        <v>0</v>
      </c>
      <c r="CT28" s="391"/>
      <c r="CU28" s="391"/>
      <c r="CV28" s="397">
        <f t="shared" ca="1" si="137"/>
        <v>0.59862268518518524</v>
      </c>
      <c r="CW28" s="398">
        <f t="shared" ca="1" si="61"/>
        <v>0.59936342592592595</v>
      </c>
      <c r="CX28" s="399" t="str">
        <f ca="1">IF(CW28&lt;&gt;0,вПМ(CW28,CV28,"s"),"")</f>
        <v>+</v>
      </c>
      <c r="CY28" s="398">
        <f ca="1">IF(CW28&lt;&gt;0,вРазн(CW28,CV28,"s"), 0)</f>
        <v>7.4076652526855469E-4</v>
      </c>
      <c r="CZ28" s="462">
        <f t="shared" ca="1" si="138"/>
        <v>64</v>
      </c>
      <c r="DA28" s="397">
        <f t="shared" ca="1" si="139"/>
        <v>0.59984953703703703</v>
      </c>
      <c r="DB28" s="398">
        <f t="shared" ca="1" si="64"/>
        <v>0.59980324074074076</v>
      </c>
      <c r="DC28" s="392" t="str">
        <f ca="1">IF(AND(DB28&lt;&gt;0,DA28&lt;&gt;0),вПМ(DB28,DA28,"s"),"")</f>
        <v>-</v>
      </c>
      <c r="DD28" s="398">
        <f ca="1">IF(AND(DB28&lt;&gt;0,DA28&lt;&gt;0),вРазн(DB28,DA28,"s"), 0)</f>
        <v>4.6253204345703125E-5</v>
      </c>
      <c r="DE28" s="462">
        <f t="shared" ca="1" si="140"/>
        <v>4</v>
      </c>
      <c r="DF28" s="390">
        <f t="shared" ca="1" si="66"/>
        <v>0</v>
      </c>
      <c r="DG28" s="391">
        <f t="shared" ca="1" si="141"/>
        <v>0</v>
      </c>
      <c r="DH28" s="391">
        <f t="shared" ca="1" si="142"/>
        <v>0</v>
      </c>
      <c r="DI28" s="401">
        <f t="shared" ca="1" si="143"/>
        <v>54.5</v>
      </c>
      <c r="DJ28" s="401">
        <f t="shared" ca="1" si="144"/>
        <v>0</v>
      </c>
      <c r="DK28" s="392">
        <f t="shared" ca="1" si="145"/>
        <v>0</v>
      </c>
      <c r="DL28" s="392">
        <f t="shared" ca="1" si="146"/>
        <v>0</v>
      </c>
      <c r="DM28" s="392">
        <f t="shared" ca="1" si="147"/>
        <v>0</v>
      </c>
      <c r="DN28" s="462">
        <f t="shared" ca="1" si="148"/>
        <v>163.5</v>
      </c>
      <c r="DO28" s="402">
        <f t="shared" ca="1" si="72"/>
        <v>0</v>
      </c>
      <c r="DP28" s="400">
        <f t="shared" ca="1" si="149"/>
        <v>0</v>
      </c>
      <c r="DQ28" s="402">
        <f t="shared" ca="1" si="72"/>
        <v>0</v>
      </c>
      <c r="DR28" s="400">
        <f t="shared" ca="1" si="150"/>
        <v>240</v>
      </c>
      <c r="DS28" s="390">
        <f t="shared" ca="1" si="75"/>
        <v>0.67291666666666661</v>
      </c>
      <c r="DT28" s="396">
        <f t="shared" ca="1" si="151"/>
        <v>0</v>
      </c>
      <c r="DU28" s="390">
        <f t="shared" ca="1" si="75"/>
        <v>0.6875</v>
      </c>
      <c r="DV28" s="396">
        <f t="shared" ca="1" si="152"/>
        <v>0</v>
      </c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459"/>
      <c r="ET28" s="459"/>
      <c r="EU28" s="390" t="e">
        <f t="shared" ca="1" si="153"/>
        <v>#VALUE!</v>
      </c>
      <c r="EV28" s="391">
        <f t="shared" ca="1" si="154"/>
        <v>0</v>
      </c>
      <c r="EW28" s="392" t="e">
        <f ca="1">IF(AND(EV28&lt;&gt;0,EU28&lt;&gt;0),вПМ(EV28,EU28),"")</f>
        <v>#VALUE!</v>
      </c>
      <c r="EX28" s="391">
        <f ca="1">IF(EV28&lt;&gt;0,вРазн(EV28,EU28), 0)</f>
        <v>0</v>
      </c>
      <c r="EY28" s="396">
        <f t="shared" ca="1" si="155"/>
        <v>900</v>
      </c>
      <c r="EZ28" s="390">
        <f t="shared" ca="1" si="81"/>
        <v>0</v>
      </c>
      <c r="FA28" s="391">
        <f t="shared" ca="1" si="156"/>
        <v>0</v>
      </c>
      <c r="FB28" s="391">
        <f t="shared" ca="1" si="157"/>
        <v>0</v>
      </c>
      <c r="FC28" s="401">
        <f t="shared" ca="1" si="158"/>
        <v>72.3</v>
      </c>
      <c r="FD28" s="401">
        <f t="shared" ca="1" si="159"/>
        <v>0</v>
      </c>
      <c r="FE28" s="401">
        <f t="shared" ca="1" si="160"/>
        <v>0</v>
      </c>
      <c r="FF28" s="392">
        <f t="shared" ca="1" si="161"/>
        <v>0</v>
      </c>
      <c r="FG28" s="392">
        <f t="shared" ca="1" si="162"/>
        <v>0</v>
      </c>
      <c r="FH28" s="462">
        <f t="shared" ca="1" si="163"/>
        <v>216.89999999999998</v>
      </c>
      <c r="FI28" s="403"/>
    </row>
    <row r="29" spans="1:165" s="20" customFormat="1" x14ac:dyDescent="0.25">
      <c r="A29" s="253">
        <f>стартоваяВедомость!B29</f>
        <v>22</v>
      </c>
      <c r="B29" s="241" t="str">
        <f t="shared" ca="1" si="1"/>
        <v>Лада Калина</v>
      </c>
      <c r="C29" s="241" t="str">
        <f t="shared" ca="1" si="2"/>
        <v>Круглов Олег</v>
      </c>
      <c r="D29" s="241" t="str">
        <f t="shared" ca="1" si="3"/>
        <v xml:space="preserve">Власенков Кирилл </v>
      </c>
      <c r="E29" s="241" t="str">
        <f t="shared" ca="1" si="4"/>
        <v xml:space="preserve">Смоленск </v>
      </c>
      <c r="F29" s="241" t="str">
        <f t="shared" ca="1" si="5"/>
        <v>Pro, Кубок</v>
      </c>
      <c r="G29" s="487">
        <f t="shared" ca="1" si="90"/>
        <v>1501.8</v>
      </c>
      <c r="H29" s="487">
        <f t="shared" ca="1" si="91"/>
        <v>180</v>
      </c>
      <c r="I29" s="487">
        <f t="shared" ca="1" si="92"/>
        <v>481.8</v>
      </c>
      <c r="J29" s="487">
        <f t="shared" ca="1" si="93"/>
        <v>840</v>
      </c>
      <c r="K29" s="242">
        <f t="shared" ca="1" si="9"/>
        <v>0.43055555555555552</v>
      </c>
      <c r="L29" s="122">
        <f t="shared" ca="1" si="94"/>
        <v>0.42986111111111108</v>
      </c>
      <c r="M29" s="243" t="str">
        <f ca="1">IF(L29&lt;&gt;0,вПМ(L29,K29),"")</f>
        <v>-</v>
      </c>
      <c r="N29" s="122">
        <f ca="1">IF(L29&lt;&gt;0,вРазн(L29,K29), 0)</f>
        <v>6.9445371627807617E-4</v>
      </c>
      <c r="O29" s="301">
        <f t="shared" ca="1" si="95"/>
        <v>60</v>
      </c>
      <c r="P29" s="300">
        <f t="shared" ca="1" si="12"/>
        <v>4.86111119389534E-2</v>
      </c>
      <c r="Q29" s="294"/>
      <c r="R29" s="242">
        <f t="shared" ca="1" si="96"/>
        <v>0.47847222305006448</v>
      </c>
      <c r="S29" s="122">
        <f t="shared" ca="1" si="97"/>
        <v>0.47847222222222219</v>
      </c>
      <c r="T29" s="243" t="str">
        <f ca="1">IF(S29&lt;&gt;0,вПМ(S29,R29),"")</f>
        <v/>
      </c>
      <c r="U29" s="122">
        <f ca="1">IF(S29&lt;&gt;0,вРазн(S29,R29), 0)</f>
        <v>0</v>
      </c>
      <c r="V29" s="301">
        <f t="shared" ca="1" si="98"/>
        <v>0</v>
      </c>
      <c r="W29" s="300">
        <f t="shared" ca="1" si="16"/>
        <v>4.86111119389534E-2</v>
      </c>
      <c r="X29" s="122"/>
      <c r="Y29" s="294">
        <f t="shared" ca="1" si="99"/>
        <v>0</v>
      </c>
      <c r="Z29" s="242">
        <f t="shared" ca="1" si="100"/>
        <v>0.52986111193895336</v>
      </c>
      <c r="AA29" s="122">
        <f t="shared" ca="1" si="101"/>
        <v>0.52986111111111112</v>
      </c>
      <c r="AB29" s="243" t="str">
        <f ca="1">IF(AA29&lt;&gt;0,вПМ(AA29,Z29),"")</f>
        <v/>
      </c>
      <c r="AC29" s="122">
        <f ca="1">IF(AA29&lt;&gt;0,вРазн(AA29,Z29), 0)</f>
        <v>0</v>
      </c>
      <c r="AD29" s="301">
        <f t="shared" ca="1" si="102"/>
        <v>0</v>
      </c>
      <c r="AE29" s="300">
        <f t="shared" ca="1" si="21"/>
        <v>2.43055559694767E-2</v>
      </c>
      <c r="AF29" s="122"/>
      <c r="AG29" s="294">
        <f t="shared" ca="1" si="103"/>
        <v>0</v>
      </c>
      <c r="AH29" s="242">
        <f t="shared" ca="1" si="104"/>
        <v>0.55416666708058782</v>
      </c>
      <c r="AI29" s="122">
        <f t="shared" ca="1" si="105"/>
        <v>0.55486111111111114</v>
      </c>
      <c r="AJ29" s="243" t="str">
        <f ca="1">IF(AI29&lt;&gt;0,вПМ(AI29,AH29),"")</f>
        <v>+</v>
      </c>
      <c r="AK29" s="122">
        <f ca="1">IF(AI29&lt;&gt;0,вРазн(AI29,AH29), 0)</f>
        <v>6.9445371627807617E-4</v>
      </c>
      <c r="AL29" s="301">
        <f t="shared" ca="1" si="106"/>
        <v>60</v>
      </c>
      <c r="AM29" s="300">
        <f t="shared" ca="1" si="26"/>
        <v>2.43055559694767E-2</v>
      </c>
      <c r="AN29" s="122"/>
      <c r="AO29" s="294">
        <f t="shared" ca="1" si="107"/>
        <v>0</v>
      </c>
      <c r="AP29" s="242">
        <f t="shared" ca="1" si="108"/>
        <v>0.57916666708058784</v>
      </c>
      <c r="AQ29" s="122">
        <f t="shared" ca="1" si="109"/>
        <v>0.57916666666666672</v>
      </c>
      <c r="AR29" s="243" t="str">
        <f ca="1">IF(AQ29&lt;&gt;0,вПМ(AQ29,AP29),"")</f>
        <v/>
      </c>
      <c r="AS29" s="122">
        <f ca="1">IF(AQ29&lt;&gt;0,вРазн(AQ29,AP29), 0)</f>
        <v>0</v>
      </c>
      <c r="AT29" s="301">
        <f t="shared" ca="1" si="110"/>
        <v>0</v>
      </c>
      <c r="AU29" s="300">
        <f t="shared" ca="1" si="31"/>
        <v>3.125E-2</v>
      </c>
      <c r="AV29" s="122"/>
      <c r="AW29" s="294">
        <f t="shared" ca="1" si="111"/>
        <v>0</v>
      </c>
      <c r="AX29" s="242">
        <f t="shared" ca="1" si="112"/>
        <v>0.61319444444444449</v>
      </c>
      <c r="AY29" s="122">
        <f t="shared" ca="1" si="113"/>
        <v>0.61319444444444449</v>
      </c>
      <c r="AZ29" s="243" t="str">
        <f ca="1">IF(AY29&lt;&gt;0,вПМ(AY29,AX29),"")</f>
        <v/>
      </c>
      <c r="BA29" s="122">
        <f ca="1">IF(AY29&lt;&gt;0,вРазн(AY29,AX29), 0)</f>
        <v>0</v>
      </c>
      <c r="BB29" s="301">
        <f t="shared" ca="1" si="114"/>
        <v>0</v>
      </c>
      <c r="BC29" s="300">
        <f t="shared" ca="1" si="36"/>
        <v>4.1666667908430099E-2</v>
      </c>
      <c r="BD29" s="122"/>
      <c r="BE29" s="294">
        <f t="shared" ca="1" si="115"/>
        <v>0</v>
      </c>
      <c r="BF29" s="242">
        <f t="shared" ca="1" si="116"/>
        <v>0.65486111235287459</v>
      </c>
      <c r="BG29" s="122">
        <f t="shared" ca="1" si="117"/>
        <v>0.65486111111111112</v>
      </c>
      <c r="BH29" s="243" t="str">
        <f ca="1">IF(BG29&lt;&gt;0,вПМ(BG29,BF29),"")</f>
        <v/>
      </c>
      <c r="BI29" s="122">
        <f ca="1">IF(BG29&lt;&gt;0,вРазн(BG29,BF29), 0)</f>
        <v>0</v>
      </c>
      <c r="BJ29" s="301">
        <f t="shared" ca="1" si="118"/>
        <v>0</v>
      </c>
      <c r="BK29" s="300">
        <f t="shared" ca="1" si="41"/>
        <v>2.777777798473835E-2</v>
      </c>
      <c r="BL29" s="122"/>
      <c r="BM29" s="294">
        <f t="shared" ca="1" si="119"/>
        <v>0</v>
      </c>
      <c r="BN29" s="242">
        <f t="shared" ca="1" si="120"/>
        <v>0.68263888909584947</v>
      </c>
      <c r="BO29" s="122">
        <f t="shared" ca="1" si="121"/>
        <v>0.68333333333333324</v>
      </c>
      <c r="BP29" s="243" t="str">
        <f ca="1">IF(BO29&lt;&gt;0,вПМ(BO29,BN29),"")</f>
        <v>+</v>
      </c>
      <c r="BQ29" s="122">
        <f ca="1">IF(BO29&lt;&gt;0,вРазн(BO29,BN29), 0)</f>
        <v>6.9445371627807617E-4</v>
      </c>
      <c r="BR29" s="244">
        <f t="shared" ca="1" si="122"/>
        <v>60</v>
      </c>
      <c r="BS29" s="242">
        <f t="shared" ca="1" si="46"/>
        <v>0</v>
      </c>
      <c r="BT29" s="122">
        <f t="shared" ca="1" si="123"/>
        <v>0</v>
      </c>
      <c r="BU29" s="122">
        <f t="shared" ca="1" si="124"/>
        <v>0</v>
      </c>
      <c r="BV29" s="248">
        <f t="shared" ca="1" si="125"/>
        <v>67.5</v>
      </c>
      <c r="BW29" s="248">
        <f t="shared" ca="1" si="126"/>
        <v>0</v>
      </c>
      <c r="BX29" s="243">
        <f t="shared" ca="1" si="127"/>
        <v>0</v>
      </c>
      <c r="BY29" s="243">
        <f t="shared" ca="1" si="128"/>
        <v>0</v>
      </c>
      <c r="BZ29" s="243">
        <f t="shared" ca="1" si="129"/>
        <v>0</v>
      </c>
      <c r="CA29" s="463">
        <f t="shared" ca="1" si="130"/>
        <v>202.5</v>
      </c>
      <c r="CB29" s="242">
        <f t="shared" ca="1" si="52"/>
        <v>0.48125000000000001</v>
      </c>
      <c r="CC29" s="122">
        <f t="shared" ca="1" si="131"/>
        <v>0.48125000000000001</v>
      </c>
      <c r="CD29" s="122">
        <f ca="1">IF(OR(CB29=0,CC29=0),0,вРазн(CC29,CB29))</f>
        <v>0</v>
      </c>
      <c r="CE29" s="122"/>
      <c r="CF29" s="122"/>
      <c r="CG29" s="247">
        <f t="shared" ca="1" si="132"/>
        <v>0.48903935185185188</v>
      </c>
      <c r="CH29" s="245">
        <f t="shared" ca="1" si="54"/>
        <v>0.48934027777777778</v>
      </c>
      <c r="CI29" s="240" t="str">
        <f ca="1">IF(CH29&lt;&gt;0,вПМ(CH29,CG29,"s"),"")</f>
        <v>+</v>
      </c>
      <c r="CJ29" s="245">
        <f ca="1">IF(CH29&lt;&gt;0,вРазн(CH29,CG29,"s"), 0)</f>
        <v>3.0091404914855957E-4</v>
      </c>
      <c r="CK29" s="463">
        <f t="shared" ca="1" si="133"/>
        <v>26</v>
      </c>
      <c r="CL29" s="247">
        <f t="shared" ca="1" si="134"/>
        <v>0.50359953703703708</v>
      </c>
      <c r="CM29" s="245">
        <f t="shared" ca="1" si="57"/>
        <v>0.50307870370370367</v>
      </c>
      <c r="CN29" s="243" t="str">
        <f ca="1">IF(AND(CM29&lt;&gt;0,CL29&lt;&gt;0),вПМ(CM29,CL29,"s"),"")</f>
        <v>-</v>
      </c>
      <c r="CO29" s="245">
        <f ca="1">IF(AND(CM29&lt;&gt;0,CL29&lt;&gt;0),вРазн(CM29,CL29,"s"), 0)</f>
        <v>5.2082538604736328E-4</v>
      </c>
      <c r="CP29" s="463">
        <f t="shared" ca="1" si="135"/>
        <v>45</v>
      </c>
      <c r="CQ29" s="242">
        <f t="shared" ca="1" si="59"/>
        <v>0.58194444444444449</v>
      </c>
      <c r="CR29" s="122">
        <f t="shared" ca="1" si="136"/>
        <v>0.58194444444444449</v>
      </c>
      <c r="CS29" s="122">
        <f ca="1">IF(OR(CQ29=0,CR29=0),0,вРазн(CR29,CQ29))</f>
        <v>0</v>
      </c>
      <c r="CT29" s="122"/>
      <c r="CU29" s="122"/>
      <c r="CV29" s="247">
        <f t="shared" ca="1" si="137"/>
        <v>0.58890046296296306</v>
      </c>
      <c r="CW29" s="245">
        <f t="shared" ca="1" si="61"/>
        <v>0.58953703703703708</v>
      </c>
      <c r="CX29" s="240" t="str">
        <f ca="1">IF(CW29&lt;&gt;0,вПМ(CW29,CV29,"s"),"")</f>
        <v>+</v>
      </c>
      <c r="CY29" s="245">
        <f ca="1">IF(CW29&lt;&gt;0,вРазн(CW29,CV29,"s"), 0)</f>
        <v>6.3657760620117188E-4</v>
      </c>
      <c r="CZ29" s="463">
        <f t="shared" ca="1" si="138"/>
        <v>55</v>
      </c>
      <c r="DA29" s="247">
        <f t="shared" ca="1" si="139"/>
        <v>0.59002314814814816</v>
      </c>
      <c r="DB29" s="245">
        <f t="shared" ca="1" si="64"/>
        <v>0.59005787037037039</v>
      </c>
      <c r="DC29" s="243" t="str">
        <f ca="1">IF(AND(DB29&lt;&gt;0,DA29&lt;&gt;0),вПМ(DB29,DA29,"s"),"")</f>
        <v>+</v>
      </c>
      <c r="DD29" s="245">
        <f ca="1">IF(AND(DB29&lt;&gt;0,DA29&lt;&gt;0),вРазн(DB29,DA29,"s"), 0)</f>
        <v>3.4689903259277344E-5</v>
      </c>
      <c r="DE29" s="463">
        <f t="shared" ca="1" si="140"/>
        <v>3</v>
      </c>
      <c r="DF29" s="242">
        <f t="shared" ca="1" si="66"/>
        <v>0</v>
      </c>
      <c r="DG29" s="122">
        <f t="shared" ca="1" si="141"/>
        <v>0</v>
      </c>
      <c r="DH29" s="122">
        <f t="shared" ca="1" si="142"/>
        <v>0</v>
      </c>
      <c r="DI29" s="248">
        <f t="shared" ca="1" si="143"/>
        <v>50.1</v>
      </c>
      <c r="DJ29" s="248">
        <f t="shared" ca="1" si="144"/>
        <v>0</v>
      </c>
      <c r="DK29" s="243">
        <f t="shared" ca="1" si="145"/>
        <v>0</v>
      </c>
      <c r="DL29" s="243">
        <f t="shared" ca="1" si="146"/>
        <v>0</v>
      </c>
      <c r="DM29" s="243">
        <f t="shared" ca="1" si="147"/>
        <v>0</v>
      </c>
      <c r="DN29" s="463">
        <f t="shared" ca="1" si="148"/>
        <v>150.30000000000001</v>
      </c>
      <c r="DO29" s="249">
        <f t="shared" ca="1" si="72"/>
        <v>0</v>
      </c>
      <c r="DP29" s="246">
        <f t="shared" ca="1" si="149"/>
        <v>0</v>
      </c>
      <c r="DQ29" s="249">
        <f t="shared" ca="1" si="72"/>
        <v>0</v>
      </c>
      <c r="DR29" s="246">
        <f t="shared" ca="1" si="150"/>
        <v>840</v>
      </c>
      <c r="DS29" s="242">
        <f t="shared" ca="1" si="75"/>
        <v>0.6645833333333333</v>
      </c>
      <c r="DT29" s="244">
        <f t="shared" ca="1" si="151"/>
        <v>0</v>
      </c>
      <c r="DU29" s="242">
        <f t="shared" ca="1" si="75"/>
        <v>0.6791666666666667</v>
      </c>
      <c r="DV29" s="244">
        <f t="shared" ca="1" si="152"/>
        <v>0</v>
      </c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459"/>
      <c r="EP29" s="459"/>
      <c r="EQ29" s="459"/>
      <c r="ER29" s="459"/>
      <c r="ES29" s="459"/>
      <c r="ET29" s="459"/>
      <c r="EU29" s="242" t="e">
        <f t="shared" ca="1" si="153"/>
        <v>#VALUE!</v>
      </c>
      <c r="EV29" s="122">
        <f t="shared" ca="1" si="154"/>
        <v>0</v>
      </c>
      <c r="EW29" s="243" t="e">
        <f ca="1">IF(AND(EV29&lt;&gt;0,EU29&lt;&gt;0),вПМ(EV29,EU29),"")</f>
        <v>#VALUE!</v>
      </c>
      <c r="EX29" s="122">
        <f ca="1">IF(EV29&lt;&gt;0,вРазн(EV29,EU29), 0)</f>
        <v>0</v>
      </c>
      <c r="EY29" s="244">
        <f t="shared" ca="1" si="155"/>
        <v>900</v>
      </c>
      <c r="EZ29" s="242">
        <f t="shared" ca="1" si="81"/>
        <v>0</v>
      </c>
      <c r="FA29" s="122">
        <f t="shared" ca="1" si="156"/>
        <v>0</v>
      </c>
      <c r="FB29" s="122">
        <f t="shared" ca="1" si="157"/>
        <v>0</v>
      </c>
      <c r="FC29" s="248">
        <f t="shared" ca="1" si="158"/>
        <v>67.5</v>
      </c>
      <c r="FD29" s="248">
        <f t="shared" ca="1" si="159"/>
        <v>0</v>
      </c>
      <c r="FE29" s="248">
        <f t="shared" ca="1" si="160"/>
        <v>0</v>
      </c>
      <c r="FF29" s="243">
        <f t="shared" ca="1" si="161"/>
        <v>0</v>
      </c>
      <c r="FG29" s="243">
        <f t="shared" ca="1" si="162"/>
        <v>0</v>
      </c>
      <c r="FH29" s="463">
        <f t="shared" ca="1" si="163"/>
        <v>202.5</v>
      </c>
    </row>
    <row r="30" spans="1:165" s="236" customFormat="1" x14ac:dyDescent="0.25">
      <c r="A30" s="388">
        <f>стартоваяВедомость!B30</f>
        <v>23</v>
      </c>
      <c r="B30" s="389" t="str">
        <f t="shared" ca="1" si="1"/>
        <v>Опель астра</v>
      </c>
      <c r="C30" s="389" t="str">
        <f t="shared" ca="1" si="2"/>
        <v>Сеньков Александр</v>
      </c>
      <c r="D30" s="389" t="str">
        <f t="shared" ca="1" si="3"/>
        <v>Курохта Роман</v>
      </c>
      <c r="E30" s="389" t="str">
        <f t="shared" ca="1" si="4"/>
        <v>Брянск</v>
      </c>
      <c r="F30" s="389" t="str">
        <f t="shared" ca="1" si="5"/>
        <v>Light, Кубок</v>
      </c>
      <c r="G30" s="486">
        <f t="shared" ca="1" si="90"/>
        <v>2147.5</v>
      </c>
      <c r="H30" s="486">
        <f t="shared" ca="1" si="91"/>
        <v>1080</v>
      </c>
      <c r="I30" s="486">
        <f t="shared" ca="1" si="92"/>
        <v>587.5</v>
      </c>
      <c r="J30" s="486">
        <f t="shared" ca="1" si="93"/>
        <v>480</v>
      </c>
      <c r="K30" s="390">
        <f t="shared" ca="1" si="9"/>
        <v>0.43124999999999997</v>
      </c>
      <c r="L30" s="391">
        <f t="shared" ca="1" si="94"/>
        <v>0.43124999999999997</v>
      </c>
      <c r="M30" s="392" t="str">
        <f ca="1">IF(L30&lt;&gt;0,вПМ(L30,K30),"")</f>
        <v/>
      </c>
      <c r="N30" s="391">
        <f ca="1">IF(L30&lt;&gt;0,вРазн(L30,K30), 0)</f>
        <v>0</v>
      </c>
      <c r="O30" s="393">
        <f t="shared" ca="1" si="95"/>
        <v>0</v>
      </c>
      <c r="P30" s="394">
        <f t="shared" ca="1" si="12"/>
        <v>4.86111119389534E-2</v>
      </c>
      <c r="Q30" s="395"/>
      <c r="R30" s="390">
        <f t="shared" ca="1" si="96"/>
        <v>0.47986111193895337</v>
      </c>
      <c r="S30" s="391">
        <f t="shared" ca="1" si="97"/>
        <v>0.47986111111111113</v>
      </c>
      <c r="T30" s="392" t="str">
        <f ca="1">IF(S30&lt;&gt;0,вПМ(S30,R30),"")</f>
        <v/>
      </c>
      <c r="U30" s="391">
        <f ca="1">IF(S30&lt;&gt;0,вРазн(S30,R30), 0)</f>
        <v>0</v>
      </c>
      <c r="V30" s="393">
        <f t="shared" ca="1" si="98"/>
        <v>0</v>
      </c>
      <c r="W30" s="394">
        <f t="shared" ca="1" si="16"/>
        <v>4.86111119389534E-2</v>
      </c>
      <c r="X30" s="391"/>
      <c r="Y30" s="395">
        <f t="shared" ca="1" si="99"/>
        <v>0</v>
      </c>
      <c r="Z30" s="390">
        <f t="shared" ca="1" si="100"/>
        <v>0.53125000082784224</v>
      </c>
      <c r="AA30" s="391">
        <f t="shared" ca="1" si="101"/>
        <v>0.53125</v>
      </c>
      <c r="AB30" s="392" t="str">
        <f ca="1">IF(AA30&lt;&gt;0,вПМ(AA30,Z30),"")</f>
        <v/>
      </c>
      <c r="AC30" s="391">
        <f ca="1">IF(AA30&lt;&gt;0,вРазн(AA30,Z30), 0)</f>
        <v>0</v>
      </c>
      <c r="AD30" s="393">
        <f t="shared" ca="1" si="102"/>
        <v>0</v>
      </c>
      <c r="AE30" s="394">
        <f t="shared" ca="1" si="21"/>
        <v>2.43055559694767E-2</v>
      </c>
      <c r="AF30" s="391"/>
      <c r="AG30" s="395">
        <f t="shared" ca="1" si="103"/>
        <v>0</v>
      </c>
      <c r="AH30" s="390">
        <f t="shared" ca="1" si="104"/>
        <v>0.5555555559694767</v>
      </c>
      <c r="AI30" s="391">
        <f t="shared" ca="1" si="105"/>
        <v>0.55625000000000002</v>
      </c>
      <c r="AJ30" s="392" t="str">
        <f ca="1">IF(AI30&lt;&gt;0,вПМ(AI30,AH30),"")</f>
        <v/>
      </c>
      <c r="AK30" s="391">
        <f ca="1">IF(AI30&lt;&gt;0,вРазн(AI30,AH30), 0)</f>
        <v>6.9439411163330078E-4</v>
      </c>
      <c r="AL30" s="393">
        <f t="shared" ca="1" si="106"/>
        <v>60</v>
      </c>
      <c r="AM30" s="394">
        <f t="shared" ca="1" si="26"/>
        <v>2.43055559694767E-2</v>
      </c>
      <c r="AN30" s="391"/>
      <c r="AO30" s="395">
        <f t="shared" ca="1" si="107"/>
        <v>0</v>
      </c>
      <c r="AP30" s="390">
        <f t="shared" ca="1" si="108"/>
        <v>0.58055555596947672</v>
      </c>
      <c r="AQ30" s="391">
        <f t="shared" ca="1" si="109"/>
        <v>0.58124999999999993</v>
      </c>
      <c r="AR30" s="392" t="str">
        <f ca="1">IF(AQ30&lt;&gt;0,вПМ(AQ30,AP30),"")</f>
        <v>+</v>
      </c>
      <c r="AS30" s="391">
        <f ca="1">IF(AQ30&lt;&gt;0,вРазн(AQ30,AP30), 0)</f>
        <v>6.9445371627807617E-4</v>
      </c>
      <c r="AT30" s="393">
        <f t="shared" ca="1" si="110"/>
        <v>60</v>
      </c>
      <c r="AU30" s="394">
        <f t="shared" ca="1" si="31"/>
        <v>3.125E-2</v>
      </c>
      <c r="AV30" s="391"/>
      <c r="AW30" s="395">
        <f t="shared" ca="1" si="111"/>
        <v>0</v>
      </c>
      <c r="AX30" s="390">
        <f t="shared" ca="1" si="112"/>
        <v>0.61458333333333337</v>
      </c>
      <c r="AY30" s="391">
        <f t="shared" ca="1" si="113"/>
        <v>0.61527777777777781</v>
      </c>
      <c r="AZ30" s="392" t="str">
        <f ca="1">IF(AY30&lt;&gt;0,вПМ(AY30,AX30),"")</f>
        <v>+</v>
      </c>
      <c r="BA30" s="391">
        <f ca="1">IF(AY30&lt;&gt;0,вРазн(AY30,AX30), 0)</f>
        <v>6.9445371627807617E-4</v>
      </c>
      <c r="BB30" s="393">
        <f t="shared" ca="1" si="114"/>
        <v>60</v>
      </c>
      <c r="BC30" s="394">
        <f t="shared" ca="1" si="36"/>
        <v>4.1666667908430099E-2</v>
      </c>
      <c r="BD30" s="391"/>
      <c r="BE30" s="395">
        <f t="shared" ca="1" si="115"/>
        <v>0</v>
      </c>
      <c r="BF30" s="390">
        <f t="shared" ca="1" si="116"/>
        <v>0.65694444568620791</v>
      </c>
      <c r="BG30" s="391">
        <f t="shared" ca="1" si="117"/>
        <v>0.65694444444444444</v>
      </c>
      <c r="BH30" s="392" t="str">
        <f ca="1">IF(BG30&lt;&gt;0,вПМ(BG30,BF30),"")</f>
        <v/>
      </c>
      <c r="BI30" s="391">
        <f ca="1">IF(BG30&lt;&gt;0,вРазн(BG30,BF30), 0)</f>
        <v>0</v>
      </c>
      <c r="BJ30" s="393">
        <f t="shared" ca="1" si="118"/>
        <v>0</v>
      </c>
      <c r="BK30" s="394">
        <f t="shared" ca="1" si="41"/>
        <v>2.777777798473835E-2</v>
      </c>
      <c r="BL30" s="391"/>
      <c r="BM30" s="395">
        <f t="shared" ca="1" si="119"/>
        <v>0</v>
      </c>
      <c r="BN30" s="390">
        <f t="shared" ca="1" si="120"/>
        <v>0.68472222242918279</v>
      </c>
      <c r="BO30" s="391">
        <f t="shared" ca="1" si="121"/>
        <v>0.68125000000000002</v>
      </c>
      <c r="BP30" s="392" t="str">
        <f ca="1">IF(BO30&lt;&gt;0,вПМ(BO30,BN30),"")</f>
        <v>-</v>
      </c>
      <c r="BQ30" s="391">
        <f ca="1">IF(BO30&lt;&gt;0,вРазн(BO30,BN30), 0)</f>
        <v>3.4722685813903809E-3</v>
      </c>
      <c r="BR30" s="396">
        <f t="shared" ca="1" si="122"/>
        <v>0</v>
      </c>
      <c r="BS30" s="390">
        <f t="shared" ca="1" si="46"/>
        <v>0</v>
      </c>
      <c r="BT30" s="391">
        <f t="shared" ca="1" si="123"/>
        <v>0</v>
      </c>
      <c r="BU30" s="391">
        <f t="shared" ca="1" si="124"/>
        <v>0</v>
      </c>
      <c r="BV30" s="401">
        <f t="shared" ca="1" si="125"/>
        <v>65.400000000000006</v>
      </c>
      <c r="BW30" s="401">
        <f t="shared" ca="1" si="126"/>
        <v>0</v>
      </c>
      <c r="BX30" s="392">
        <f t="shared" ca="1" si="127"/>
        <v>0</v>
      </c>
      <c r="BY30" s="392">
        <f t="shared" ca="1" si="128"/>
        <v>0</v>
      </c>
      <c r="BZ30" s="392">
        <f t="shared" ca="1" si="129"/>
        <v>0</v>
      </c>
      <c r="CA30" s="462">
        <f t="shared" ca="1" si="130"/>
        <v>196.20000000000002</v>
      </c>
      <c r="CB30" s="390">
        <f t="shared" ca="1" si="52"/>
        <v>0.4826388888888889</v>
      </c>
      <c r="CC30" s="391">
        <f t="shared" ca="1" si="131"/>
        <v>0.4826388888888889</v>
      </c>
      <c r="CD30" s="391">
        <f ca="1">IF(OR(CB30=0,CC30=0),0,вРазн(CC30,CB30))</f>
        <v>0</v>
      </c>
      <c r="CE30" s="391"/>
      <c r="CF30" s="391"/>
      <c r="CG30" s="397">
        <f t="shared" ca="1" si="132"/>
        <v>0.49042824074074076</v>
      </c>
      <c r="CH30" s="398">
        <f t="shared" ca="1" si="54"/>
        <v>0.49076388888888894</v>
      </c>
      <c r="CI30" s="399" t="str">
        <f ca="1">IF(CH30&lt;&gt;0,вПМ(CH30,CG30,"s"),"")</f>
        <v>+</v>
      </c>
      <c r="CJ30" s="398">
        <f ca="1">IF(CH30&lt;&gt;0,вРазн(CH30,CG30,"s"), 0)</f>
        <v>3.356635570526123E-4</v>
      </c>
      <c r="CK30" s="462">
        <f t="shared" ca="1" si="133"/>
        <v>29</v>
      </c>
      <c r="CL30" s="397">
        <f t="shared" ca="1" si="134"/>
        <v>0.50502314814814819</v>
      </c>
      <c r="CM30" s="398">
        <f t="shared" ca="1" si="57"/>
        <v>0.50593750000000004</v>
      </c>
      <c r="CN30" s="392" t="str">
        <f ca="1">IF(AND(CM30&lt;&gt;0,CL30&lt;&gt;0),вПМ(CM30,CL30,"s"),"")</f>
        <v>+</v>
      </c>
      <c r="CO30" s="398">
        <f ca="1">IF(AND(CM30&lt;&gt;0,CL30&lt;&gt;0),вРазн(CM30,CL30,"s"), 0)</f>
        <v>9.1439485549926758E-4</v>
      </c>
      <c r="CP30" s="462">
        <f t="shared" ca="1" si="135"/>
        <v>79</v>
      </c>
      <c r="CQ30" s="390">
        <f t="shared" ca="1" si="59"/>
        <v>0.58333333333333337</v>
      </c>
      <c r="CR30" s="391">
        <f t="shared" ca="1" si="136"/>
        <v>0.58333333333333337</v>
      </c>
      <c r="CS30" s="391">
        <f ca="1">IF(OR(CQ30=0,CR30=0),0,вРазн(CR30,CQ30))</f>
        <v>0</v>
      </c>
      <c r="CT30" s="391"/>
      <c r="CU30" s="391"/>
      <c r="CV30" s="397">
        <f t="shared" ca="1" si="137"/>
        <v>0.59028935185185194</v>
      </c>
      <c r="CW30" s="398">
        <f t="shared" ca="1" si="61"/>
        <v>0.59187500000000004</v>
      </c>
      <c r="CX30" s="399" t="str">
        <f ca="1">IF(CW30&lt;&gt;0,вПМ(CW30,CV30,"s"),"")</f>
        <v>+</v>
      </c>
      <c r="CY30" s="398">
        <f ca="1">IF(CW30&lt;&gt;0,вРазн(CW30,CV30,"s"), 0)</f>
        <v>1.5856623649597168E-3</v>
      </c>
      <c r="CZ30" s="462">
        <f t="shared" ca="1" si="138"/>
        <v>137</v>
      </c>
      <c r="DA30" s="397">
        <f t="shared" ca="1" si="139"/>
        <v>0.59236111111111112</v>
      </c>
      <c r="DB30" s="398">
        <f t="shared" ca="1" si="64"/>
        <v>0.59248842592592588</v>
      </c>
      <c r="DC30" s="392" t="str">
        <f ca="1">IF(AND(DB30&lt;&gt;0,DA30&lt;&gt;0),вПМ(DB30,DA30,"s"),"")</f>
        <v>+</v>
      </c>
      <c r="DD30" s="398">
        <f ca="1">IF(AND(DB30&lt;&gt;0,DA30&lt;&gt;0),вРазн(DB30,DA30,"s"), 0)</f>
        <v>1.2731552124023438E-4</v>
      </c>
      <c r="DE30" s="462">
        <f t="shared" ca="1" si="140"/>
        <v>11</v>
      </c>
      <c r="DF30" s="390">
        <f t="shared" ca="1" si="66"/>
        <v>0</v>
      </c>
      <c r="DG30" s="391">
        <f t="shared" ca="1" si="141"/>
        <v>0</v>
      </c>
      <c r="DH30" s="391">
        <f t="shared" ca="1" si="142"/>
        <v>0</v>
      </c>
      <c r="DI30" s="401">
        <f t="shared" ca="1" si="143"/>
        <v>45.1</v>
      </c>
      <c r="DJ30" s="401">
        <f t="shared" ca="1" si="144"/>
        <v>0</v>
      </c>
      <c r="DK30" s="392">
        <f t="shared" ca="1" si="145"/>
        <v>0</v>
      </c>
      <c r="DL30" s="392">
        <f t="shared" ca="1" si="146"/>
        <v>0</v>
      </c>
      <c r="DM30" s="392">
        <f t="shared" ca="1" si="147"/>
        <v>0</v>
      </c>
      <c r="DN30" s="462">
        <f t="shared" ca="1" si="148"/>
        <v>135.30000000000001</v>
      </c>
      <c r="DO30" s="402">
        <f t="shared" ca="1" si="72"/>
        <v>0</v>
      </c>
      <c r="DP30" s="400">
        <f t="shared" ca="1" si="149"/>
        <v>0</v>
      </c>
      <c r="DQ30" s="402">
        <f t="shared" ca="1" si="72"/>
        <v>0</v>
      </c>
      <c r="DR30" s="400">
        <f t="shared" ca="1" si="150"/>
        <v>480</v>
      </c>
      <c r="DS30" s="390">
        <f t="shared" ca="1" si="75"/>
        <v>0.66597222222222219</v>
      </c>
      <c r="DT30" s="396">
        <f t="shared" ca="1" si="151"/>
        <v>0</v>
      </c>
      <c r="DU30" s="390">
        <f t="shared" ca="1" si="75"/>
        <v>0</v>
      </c>
      <c r="DV30" s="396">
        <f t="shared" ca="1" si="152"/>
        <v>900</v>
      </c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459"/>
      <c r="EP30" s="459"/>
      <c r="EQ30" s="459"/>
      <c r="ER30" s="459"/>
      <c r="ES30" s="459"/>
      <c r="ET30" s="459"/>
      <c r="EU30" s="390" t="e">
        <f t="shared" ca="1" si="153"/>
        <v>#VALUE!</v>
      </c>
      <c r="EV30" s="391">
        <f t="shared" ca="1" si="154"/>
        <v>0</v>
      </c>
      <c r="EW30" s="392" t="e">
        <f ca="1">IF(AND(EV30&lt;&gt;0,EU30&lt;&gt;0),вПМ(EV30,EU30),"")</f>
        <v>#VALUE!</v>
      </c>
      <c r="EX30" s="391">
        <f ca="1">IF(EV30&lt;&gt;0,вРазн(EV30,EU30), 0)</f>
        <v>0</v>
      </c>
      <c r="EY30" s="396">
        <f t="shared" ca="1" si="155"/>
        <v>900</v>
      </c>
      <c r="EZ30" s="390">
        <f t="shared" ca="1" si="81"/>
        <v>0</v>
      </c>
      <c r="FA30" s="391">
        <f t="shared" ca="1" si="156"/>
        <v>0</v>
      </c>
      <c r="FB30" s="391">
        <f t="shared" ca="1" si="157"/>
        <v>0</v>
      </c>
      <c r="FC30" s="401">
        <f t="shared" ca="1" si="158"/>
        <v>65.400000000000006</v>
      </c>
      <c r="FD30" s="401">
        <f t="shared" ca="1" si="159"/>
        <v>0</v>
      </c>
      <c r="FE30" s="401">
        <f t="shared" ca="1" si="160"/>
        <v>0</v>
      </c>
      <c r="FF30" s="392">
        <f t="shared" ca="1" si="161"/>
        <v>0</v>
      </c>
      <c r="FG30" s="392">
        <f t="shared" ca="1" si="162"/>
        <v>0</v>
      </c>
      <c r="FH30" s="462">
        <f t="shared" ca="1" si="163"/>
        <v>196.20000000000002</v>
      </c>
      <c r="FI30" s="403"/>
    </row>
    <row r="31" spans="1:165" s="20" customFormat="1" x14ac:dyDescent="0.25">
      <c r="A31" s="253">
        <f>стартоваяВедомость!B31</f>
        <v>24</v>
      </c>
      <c r="B31" s="241" t="str">
        <f t="shared" ca="1" si="1"/>
        <v>Volkswagen polo</v>
      </c>
      <c r="C31" s="241" t="str">
        <f t="shared" ca="1" si="2"/>
        <v>Романов Виктор</v>
      </c>
      <c r="D31" s="241" t="str">
        <f t="shared" ca="1" si="3"/>
        <v>Романова Ксения</v>
      </c>
      <c r="E31" s="241" t="str">
        <f t="shared" ca="1" si="4"/>
        <v>Смоленск</v>
      </c>
      <c r="F31" s="241" t="str">
        <f t="shared" ca="1" si="5"/>
        <v>Light, Аэропорт</v>
      </c>
      <c r="G31" s="487">
        <f t="shared" ca="1" si="90"/>
        <v>3258</v>
      </c>
      <c r="H31" s="487">
        <f t="shared" ca="1" si="91"/>
        <v>360</v>
      </c>
      <c r="I31" s="487">
        <f t="shared" ca="1" si="92"/>
        <v>2538</v>
      </c>
      <c r="J31" s="487">
        <f t="shared" ca="1" si="93"/>
        <v>360</v>
      </c>
      <c r="K31" s="242">
        <f t="shared" ca="1" si="9"/>
        <v>0.43194444444444441</v>
      </c>
      <c r="L31" s="122">
        <f t="shared" ca="1" si="94"/>
        <v>0.43194444444444446</v>
      </c>
      <c r="M31" s="243" t="str">
        <f ca="1">IF(L31&lt;&gt;0,вПМ(L31,K31),"")</f>
        <v/>
      </c>
      <c r="N31" s="122">
        <f ca="1">IF(L31&lt;&gt;0,вРазн(L31,K31), 0)</f>
        <v>0</v>
      </c>
      <c r="O31" s="301">
        <f t="shared" ca="1" si="95"/>
        <v>0</v>
      </c>
      <c r="P31" s="300">
        <f t="shared" ca="1" si="12"/>
        <v>4.86111119389534E-2</v>
      </c>
      <c r="Q31" s="294"/>
      <c r="R31" s="242">
        <f t="shared" ca="1" si="96"/>
        <v>0.48055555638339786</v>
      </c>
      <c r="S31" s="122">
        <f t="shared" ca="1" si="97"/>
        <v>0.48055555555555557</v>
      </c>
      <c r="T31" s="243" t="str">
        <f ca="1">IF(S31&lt;&gt;0,вПМ(S31,R31),"")</f>
        <v/>
      </c>
      <c r="U31" s="122">
        <f ca="1">IF(S31&lt;&gt;0,вРазн(S31,R31), 0)</f>
        <v>0</v>
      </c>
      <c r="V31" s="301">
        <f t="shared" ca="1" si="98"/>
        <v>0</v>
      </c>
      <c r="W31" s="300">
        <f t="shared" ca="1" si="16"/>
        <v>4.86111119389534E-2</v>
      </c>
      <c r="X31" s="122"/>
      <c r="Y31" s="294">
        <f t="shared" ca="1" si="99"/>
        <v>0</v>
      </c>
      <c r="Z31" s="242">
        <f t="shared" ca="1" si="100"/>
        <v>0.53194444527228679</v>
      </c>
      <c r="AA31" s="122">
        <f t="shared" ca="1" si="101"/>
        <v>0.53194444444444444</v>
      </c>
      <c r="AB31" s="243" t="str">
        <f ca="1">IF(AA31&lt;&gt;0,вПМ(AA31,Z31),"")</f>
        <v/>
      </c>
      <c r="AC31" s="122">
        <f ca="1">IF(AA31&lt;&gt;0,вРазн(AA31,Z31), 0)</f>
        <v>0</v>
      </c>
      <c r="AD31" s="301">
        <f t="shared" ca="1" si="102"/>
        <v>0</v>
      </c>
      <c r="AE31" s="300">
        <f t="shared" ca="1" si="21"/>
        <v>2.43055559694767E-2</v>
      </c>
      <c r="AF31" s="122"/>
      <c r="AG31" s="294">
        <f t="shared" ca="1" si="103"/>
        <v>0</v>
      </c>
      <c r="AH31" s="242">
        <f t="shared" ca="1" si="104"/>
        <v>0.55625000041392114</v>
      </c>
      <c r="AI31" s="122">
        <f t="shared" ca="1" si="105"/>
        <v>0.55833333333333335</v>
      </c>
      <c r="AJ31" s="243" t="str">
        <f ca="1">IF(AI31&lt;&gt;0,вПМ(AI31,AH31),"")</f>
        <v>+</v>
      </c>
      <c r="AK31" s="122">
        <f ca="1">IF(AI31&lt;&gt;0,вРазн(AI31,AH31), 0)</f>
        <v>2.0833611488342285E-3</v>
      </c>
      <c r="AL31" s="301">
        <f t="shared" ca="1" si="106"/>
        <v>180</v>
      </c>
      <c r="AM31" s="300">
        <f t="shared" ca="1" si="26"/>
        <v>2.43055559694767E-2</v>
      </c>
      <c r="AN31" s="122"/>
      <c r="AO31" s="294">
        <f t="shared" ca="1" si="107"/>
        <v>0</v>
      </c>
      <c r="AP31" s="242">
        <f t="shared" ca="1" si="108"/>
        <v>0.58263888930281005</v>
      </c>
      <c r="AQ31" s="122">
        <f t="shared" ca="1" si="109"/>
        <v>0.58263888888888882</v>
      </c>
      <c r="AR31" s="243" t="str">
        <f ca="1">IF(AQ31&lt;&gt;0,вПМ(AQ31,AP31),"")</f>
        <v/>
      </c>
      <c r="AS31" s="122">
        <f ca="1">IF(AQ31&lt;&gt;0,вРазн(AQ31,AP31), 0)</f>
        <v>0</v>
      </c>
      <c r="AT31" s="301">
        <f t="shared" ca="1" si="110"/>
        <v>0</v>
      </c>
      <c r="AU31" s="300">
        <f t="shared" ca="1" si="31"/>
        <v>3.125E-2</v>
      </c>
      <c r="AV31" s="122"/>
      <c r="AW31" s="294">
        <f t="shared" ca="1" si="111"/>
        <v>0</v>
      </c>
      <c r="AX31" s="242">
        <f t="shared" ca="1" si="112"/>
        <v>0.6166666666666667</v>
      </c>
      <c r="AY31" s="122">
        <f t="shared" ca="1" si="113"/>
        <v>0.61805555555555558</v>
      </c>
      <c r="AZ31" s="243" t="str">
        <f ca="1">IF(AY31&lt;&gt;0,вПМ(AY31,AX31),"")</f>
        <v>+</v>
      </c>
      <c r="BA31" s="122">
        <f ca="1">IF(AY31&lt;&gt;0,вРазн(AY31,AX31), 0)</f>
        <v>1.3889074325561523E-3</v>
      </c>
      <c r="BB31" s="301">
        <f t="shared" ca="1" si="114"/>
        <v>120</v>
      </c>
      <c r="BC31" s="300">
        <f t="shared" ca="1" si="36"/>
        <v>4.1666667908430099E-2</v>
      </c>
      <c r="BD31" s="122"/>
      <c r="BE31" s="294">
        <f t="shared" ca="1" si="115"/>
        <v>0</v>
      </c>
      <c r="BF31" s="242">
        <f t="shared" ca="1" si="116"/>
        <v>0.65972222346398568</v>
      </c>
      <c r="BG31" s="122">
        <f t="shared" ca="1" si="117"/>
        <v>0.65972222222222221</v>
      </c>
      <c r="BH31" s="243" t="str">
        <f ca="1">IF(BG31&lt;&gt;0,вПМ(BG31,BF31),"")</f>
        <v/>
      </c>
      <c r="BI31" s="122">
        <f ca="1">IF(BG31&lt;&gt;0,вРазн(BG31,BF31), 0)</f>
        <v>0</v>
      </c>
      <c r="BJ31" s="301">
        <f t="shared" ca="1" si="118"/>
        <v>0</v>
      </c>
      <c r="BK31" s="300">
        <f t="shared" ca="1" si="41"/>
        <v>2.777777798473835E-2</v>
      </c>
      <c r="BL31" s="122"/>
      <c r="BM31" s="294">
        <f t="shared" ca="1" si="119"/>
        <v>0</v>
      </c>
      <c r="BN31" s="242">
        <f t="shared" ca="1" si="120"/>
        <v>0.68750000020696056</v>
      </c>
      <c r="BO31" s="122">
        <f t="shared" ca="1" si="121"/>
        <v>0.68819444444444444</v>
      </c>
      <c r="BP31" s="243" t="str">
        <f ca="1">IF(BO31&lt;&gt;0,вПМ(BO31,BN31),"")</f>
        <v>+</v>
      </c>
      <c r="BQ31" s="122">
        <f ca="1">IF(BO31&lt;&gt;0,вРазн(BO31,BN31), 0)</f>
        <v>6.9445371627807617E-4</v>
      </c>
      <c r="BR31" s="244">
        <f t="shared" ca="1" si="122"/>
        <v>60</v>
      </c>
      <c r="BS31" s="242">
        <f t="shared" ca="1" si="46"/>
        <v>0</v>
      </c>
      <c r="BT31" s="122">
        <f t="shared" ca="1" si="123"/>
        <v>0</v>
      </c>
      <c r="BU31" s="122">
        <f t="shared" ca="1" si="124"/>
        <v>0</v>
      </c>
      <c r="BV31" s="248">
        <f t="shared" ca="1" si="125"/>
        <v>73.5</v>
      </c>
      <c r="BW31" s="248">
        <f t="shared" ca="1" si="126"/>
        <v>0</v>
      </c>
      <c r="BX31" s="243">
        <f t="shared" ca="1" si="127"/>
        <v>0</v>
      </c>
      <c r="BY31" s="243">
        <f t="shared" ca="1" si="128"/>
        <v>0</v>
      </c>
      <c r="BZ31" s="243">
        <f t="shared" ca="1" si="129"/>
        <v>0</v>
      </c>
      <c r="CA31" s="463">
        <f t="shared" ca="1" si="130"/>
        <v>220.5</v>
      </c>
      <c r="CB31" s="242">
        <f t="shared" ca="1" si="52"/>
        <v>0.48333333333333334</v>
      </c>
      <c r="CC31" s="122">
        <f t="shared" ca="1" si="131"/>
        <v>0.48333333333333334</v>
      </c>
      <c r="CD31" s="122">
        <f ca="1">IF(OR(CB31=0,CC31=0),0,вРазн(CC31,CB31))</f>
        <v>0</v>
      </c>
      <c r="CE31" s="122"/>
      <c r="CF31" s="122"/>
      <c r="CG31" s="247">
        <f t="shared" ca="1" si="132"/>
        <v>0.4911226851851852</v>
      </c>
      <c r="CH31" s="245">
        <f t="shared" ca="1" si="54"/>
        <v>0.49129629629629629</v>
      </c>
      <c r="CI31" s="240" t="str">
        <f ca="1">IF(CH31&lt;&gt;0,вПМ(CH31,CG31,"s"),"")</f>
        <v>+</v>
      </c>
      <c r="CJ31" s="245">
        <f ca="1">IF(CH31&lt;&gt;0,вРазн(CH31,CG31,"s"), 0)</f>
        <v>1.735985279083252E-4</v>
      </c>
      <c r="CK31" s="463">
        <f t="shared" ca="1" si="133"/>
        <v>15</v>
      </c>
      <c r="CL31" s="247">
        <f t="shared" ca="1" si="134"/>
        <v>0.50555555555555554</v>
      </c>
      <c r="CM31" s="245">
        <f t="shared" ca="1" si="57"/>
        <v>0.50624999999999998</v>
      </c>
      <c r="CN31" s="243" t="str">
        <f ca="1">IF(AND(CM31&lt;&gt;0,CL31&lt;&gt;0),вПМ(CM31,CL31,"s"),"")</f>
        <v>+</v>
      </c>
      <c r="CO31" s="245">
        <f ca="1">IF(AND(CM31&lt;&gt;0,CL31&lt;&gt;0),вРазн(CM31,CL31,"s"), 0)</f>
        <v>6.9445371627807617E-4</v>
      </c>
      <c r="CP31" s="463">
        <f t="shared" ca="1" si="135"/>
        <v>60</v>
      </c>
      <c r="CQ31" s="242">
        <f t="shared" ca="1" si="59"/>
        <v>0.5854166666666667</v>
      </c>
      <c r="CR31" s="122">
        <f t="shared" ca="1" si="136"/>
        <v>0.5854166666666667</v>
      </c>
      <c r="CS31" s="122">
        <f ca="1">IF(OR(CQ31=0,CR31=0),0,вРазн(CR31,CQ31))</f>
        <v>0</v>
      </c>
      <c r="CT31" s="122"/>
      <c r="CU31" s="122"/>
      <c r="CV31" s="247">
        <f t="shared" ca="1" si="137"/>
        <v>0.59237268518518527</v>
      </c>
      <c r="CW31" s="245">
        <f t="shared" ca="1" si="61"/>
        <v>0</v>
      </c>
      <c r="CX31" s="240" t="str">
        <f ca="1">IF(CW31&lt;&gt;0,вПМ(CW31,CV31,"s"),"")</f>
        <v/>
      </c>
      <c r="CY31" s="245">
        <f ca="1">IF(CW31&lt;&gt;0,вРазн(CW31,CV31,"s"), 0)</f>
        <v>0</v>
      </c>
      <c r="CZ31" s="463">
        <f t="shared" ca="1" si="138"/>
        <v>1800</v>
      </c>
      <c r="DA31" s="247">
        <f t="shared" ca="1" si="139"/>
        <v>0</v>
      </c>
      <c r="DB31" s="245">
        <f t="shared" ca="1" si="64"/>
        <v>0</v>
      </c>
      <c r="DC31" s="243" t="str">
        <f ca="1">IF(AND(DB31&lt;&gt;0,DA31&lt;&gt;0),вПМ(DB31,DA31,"s"),"")</f>
        <v/>
      </c>
      <c r="DD31" s="245">
        <f ca="1">IF(AND(DB31&lt;&gt;0,DA31&lt;&gt;0),вРазн(DB31,DA31,"s"), 0)</f>
        <v>0</v>
      </c>
      <c r="DE31" s="463">
        <f t="shared" ca="1" si="140"/>
        <v>0</v>
      </c>
      <c r="DF31" s="242">
        <f t="shared" ca="1" si="66"/>
        <v>0</v>
      </c>
      <c r="DG31" s="122">
        <f t="shared" ca="1" si="141"/>
        <v>0</v>
      </c>
      <c r="DH31" s="122">
        <f t="shared" ca="1" si="142"/>
        <v>0</v>
      </c>
      <c r="DI31" s="248">
        <f t="shared" ca="1" si="143"/>
        <v>47.5</v>
      </c>
      <c r="DJ31" s="248">
        <f t="shared" ca="1" si="144"/>
        <v>0</v>
      </c>
      <c r="DK31" s="243">
        <f t="shared" ca="1" si="145"/>
        <v>0</v>
      </c>
      <c r="DL31" s="243">
        <f t="shared" ca="1" si="146"/>
        <v>0</v>
      </c>
      <c r="DM31" s="243" t="str">
        <f t="shared" ca="1" si="147"/>
        <v>да</v>
      </c>
      <c r="DN31" s="463">
        <f t="shared" ca="1" si="148"/>
        <v>442.5</v>
      </c>
      <c r="DO31" s="249">
        <f t="shared" ca="1" si="72"/>
        <v>0</v>
      </c>
      <c r="DP31" s="246">
        <f t="shared" ca="1" si="149"/>
        <v>0</v>
      </c>
      <c r="DQ31" s="249">
        <f t="shared" ca="1" si="72"/>
        <v>0</v>
      </c>
      <c r="DR31" s="246">
        <f t="shared" ca="1" si="150"/>
        <v>360</v>
      </c>
      <c r="DS31" s="242">
        <f t="shared" ca="1" si="75"/>
        <v>0.67152777777777783</v>
      </c>
      <c r="DT31" s="244">
        <f t="shared" ca="1" si="151"/>
        <v>0</v>
      </c>
      <c r="DU31" s="242">
        <f t="shared" ca="1" si="75"/>
        <v>0.68333333333333324</v>
      </c>
      <c r="DV31" s="244">
        <f t="shared" ca="1" si="152"/>
        <v>0</v>
      </c>
      <c r="DW31" s="459"/>
      <c r="DX31" s="459"/>
      <c r="DY31" s="459"/>
      <c r="DZ31" s="459"/>
      <c r="EA31" s="459"/>
      <c r="EB31" s="459"/>
      <c r="EC31" s="459"/>
      <c r="ED31" s="459"/>
      <c r="EE31" s="459"/>
      <c r="EF31" s="459"/>
      <c r="EG31" s="459"/>
      <c r="EH31" s="459"/>
      <c r="EI31" s="459"/>
      <c r="EJ31" s="459"/>
      <c r="EK31" s="459"/>
      <c r="EL31" s="459"/>
      <c r="EM31" s="459"/>
      <c r="EN31" s="459"/>
      <c r="EO31" s="459"/>
      <c r="EP31" s="459"/>
      <c r="EQ31" s="459"/>
      <c r="ER31" s="459"/>
      <c r="ES31" s="459"/>
      <c r="ET31" s="459"/>
      <c r="EU31" s="242" t="e">
        <f t="shared" ca="1" si="153"/>
        <v>#VALUE!</v>
      </c>
      <c r="EV31" s="122">
        <f t="shared" ca="1" si="154"/>
        <v>0</v>
      </c>
      <c r="EW31" s="243" t="e">
        <f ca="1">IF(AND(EV31&lt;&gt;0,EU31&lt;&gt;0),вПМ(EV31,EU31),"")</f>
        <v>#VALUE!</v>
      </c>
      <c r="EX31" s="122">
        <f ca="1">IF(EV31&lt;&gt;0,вРазн(EV31,EU31), 0)</f>
        <v>0</v>
      </c>
      <c r="EY31" s="244">
        <f t="shared" ca="1" si="155"/>
        <v>900</v>
      </c>
      <c r="EZ31" s="242">
        <f t="shared" ca="1" si="81"/>
        <v>0</v>
      </c>
      <c r="FA31" s="122">
        <f t="shared" ca="1" si="156"/>
        <v>0</v>
      </c>
      <c r="FB31" s="122">
        <f t="shared" ca="1" si="157"/>
        <v>0</v>
      </c>
      <c r="FC31" s="248">
        <f t="shared" ca="1" si="158"/>
        <v>73.5</v>
      </c>
      <c r="FD31" s="248">
        <f t="shared" ca="1" si="159"/>
        <v>0</v>
      </c>
      <c r="FE31" s="248">
        <f t="shared" ca="1" si="160"/>
        <v>0</v>
      </c>
      <c r="FF31" s="243">
        <f t="shared" ca="1" si="161"/>
        <v>0</v>
      </c>
      <c r="FG31" s="243">
        <f t="shared" ca="1" si="162"/>
        <v>0</v>
      </c>
      <c r="FH31" s="463">
        <f t="shared" ca="1" si="163"/>
        <v>220.5</v>
      </c>
    </row>
    <row r="32" spans="1:165" s="236" customFormat="1" x14ac:dyDescent="0.25">
      <c r="A32" s="388">
        <f>стартоваяВедомость!B32</f>
        <v>25</v>
      </c>
      <c r="B32" s="389" t="str">
        <f t="shared" ca="1" si="1"/>
        <v>Renault Duster</v>
      </c>
      <c r="C32" s="389" t="str">
        <f t="shared" ca="1" si="2"/>
        <v>Шавырин Андрей</v>
      </c>
      <c r="D32" s="389" t="str">
        <f t="shared" ca="1" si="3"/>
        <v>Шавырин Егор</v>
      </c>
      <c r="E32" s="389" t="str">
        <f t="shared" ca="1" si="4"/>
        <v>Сафоново</v>
      </c>
      <c r="F32" s="389" t="str">
        <f t="shared" ca="1" si="5"/>
        <v>Light, Аэропорт</v>
      </c>
      <c r="G32" s="486">
        <f t="shared" ca="1" si="90"/>
        <v>2928.2</v>
      </c>
      <c r="H32" s="486">
        <f t="shared" ca="1" si="91"/>
        <v>1080</v>
      </c>
      <c r="I32" s="486">
        <f t="shared" ca="1" si="92"/>
        <v>888.2</v>
      </c>
      <c r="J32" s="486">
        <f t="shared" ca="1" si="93"/>
        <v>960</v>
      </c>
      <c r="K32" s="390">
        <f t="shared" ca="1" si="9"/>
        <v>0.43263888888888885</v>
      </c>
      <c r="L32" s="391">
        <f t="shared" ca="1" si="94"/>
        <v>0.43263888888888885</v>
      </c>
      <c r="M32" s="392" t="str">
        <f ca="1">IF(L32&lt;&gt;0,вПМ(L32,K32),"")</f>
        <v/>
      </c>
      <c r="N32" s="391">
        <f ca="1">IF(L32&lt;&gt;0,вРазн(L32,K32), 0)</f>
        <v>0</v>
      </c>
      <c r="O32" s="393">
        <f t="shared" ca="1" si="95"/>
        <v>0</v>
      </c>
      <c r="P32" s="394">
        <f t="shared" ca="1" si="12"/>
        <v>4.86111119389534E-2</v>
      </c>
      <c r="Q32" s="395"/>
      <c r="R32" s="390">
        <f t="shared" ca="1" si="96"/>
        <v>0.48125000082784225</v>
      </c>
      <c r="S32" s="391">
        <f t="shared" ca="1" si="97"/>
        <v>0.48125000000000001</v>
      </c>
      <c r="T32" s="392" t="str">
        <f ca="1">IF(S32&lt;&gt;0,вПМ(S32,R32),"")</f>
        <v/>
      </c>
      <c r="U32" s="391">
        <f ca="1">IF(S32&lt;&gt;0,вРазн(S32,R32), 0)</f>
        <v>0</v>
      </c>
      <c r="V32" s="393">
        <f t="shared" ca="1" si="98"/>
        <v>0</v>
      </c>
      <c r="W32" s="394">
        <f t="shared" ca="1" si="16"/>
        <v>4.86111119389534E-2</v>
      </c>
      <c r="X32" s="391"/>
      <c r="Y32" s="395">
        <f t="shared" ca="1" si="99"/>
        <v>0</v>
      </c>
      <c r="Z32" s="390">
        <f t="shared" ca="1" si="100"/>
        <v>0.53263888971673112</v>
      </c>
      <c r="AA32" s="391">
        <f t="shared" ca="1" si="101"/>
        <v>0.53263888888888888</v>
      </c>
      <c r="AB32" s="392" t="str">
        <f ca="1">IF(AA32&lt;&gt;0,вПМ(AA32,Z32),"")</f>
        <v/>
      </c>
      <c r="AC32" s="391">
        <f ca="1">IF(AA32&lt;&gt;0,вРазн(AA32,Z32), 0)</f>
        <v>0</v>
      </c>
      <c r="AD32" s="393">
        <f t="shared" ca="1" si="102"/>
        <v>0</v>
      </c>
      <c r="AE32" s="394">
        <f t="shared" ca="1" si="21"/>
        <v>2.43055559694767E-2</v>
      </c>
      <c r="AF32" s="391"/>
      <c r="AG32" s="395">
        <f t="shared" ca="1" si="103"/>
        <v>0</v>
      </c>
      <c r="AH32" s="390">
        <f t="shared" ca="1" si="104"/>
        <v>0.55694444485836558</v>
      </c>
      <c r="AI32" s="391">
        <f t="shared" ca="1" si="105"/>
        <v>0.55694444444444446</v>
      </c>
      <c r="AJ32" s="392" t="str">
        <f ca="1">IF(AI32&lt;&gt;0,вПМ(AI32,AH32),"")</f>
        <v/>
      </c>
      <c r="AK32" s="391">
        <f ca="1">IF(AI32&lt;&gt;0,вРазн(AI32,AH32), 0)</f>
        <v>0</v>
      </c>
      <c r="AL32" s="393">
        <f t="shared" ca="1" si="106"/>
        <v>0</v>
      </c>
      <c r="AM32" s="394">
        <f t="shared" ca="1" si="26"/>
        <v>2.43055559694767E-2</v>
      </c>
      <c r="AN32" s="391"/>
      <c r="AO32" s="395">
        <f t="shared" ca="1" si="107"/>
        <v>0</v>
      </c>
      <c r="AP32" s="390">
        <f t="shared" ca="1" si="108"/>
        <v>0.58125000041392116</v>
      </c>
      <c r="AQ32" s="391">
        <f t="shared" ca="1" si="109"/>
        <v>0.58124999999999993</v>
      </c>
      <c r="AR32" s="392" t="str">
        <f ca="1">IF(AQ32&lt;&gt;0,вПМ(AQ32,AP32),"")</f>
        <v/>
      </c>
      <c r="AS32" s="391">
        <f ca="1">IF(AQ32&lt;&gt;0,вРазн(AQ32,AP32), 0)</f>
        <v>0</v>
      </c>
      <c r="AT32" s="393">
        <f t="shared" ca="1" si="110"/>
        <v>0</v>
      </c>
      <c r="AU32" s="394">
        <f t="shared" ca="1" si="31"/>
        <v>3.125E-2</v>
      </c>
      <c r="AV32" s="391"/>
      <c r="AW32" s="395">
        <f t="shared" ca="1" si="111"/>
        <v>0</v>
      </c>
      <c r="AX32" s="390">
        <f t="shared" ca="1" si="112"/>
        <v>0.61527777777777781</v>
      </c>
      <c r="AY32" s="391">
        <f t="shared" ca="1" si="113"/>
        <v>0.61527777777777781</v>
      </c>
      <c r="AZ32" s="392" t="str">
        <f ca="1">IF(AY32&lt;&gt;0,вПМ(AY32,AX32),"")</f>
        <v/>
      </c>
      <c r="BA32" s="391">
        <f ca="1">IF(AY32&lt;&gt;0,вРазн(AY32,AX32), 0)</f>
        <v>0</v>
      </c>
      <c r="BB32" s="393">
        <f t="shared" ca="1" si="114"/>
        <v>0</v>
      </c>
      <c r="BC32" s="394">
        <f t="shared" ca="1" si="36"/>
        <v>4.1666667908430099E-2</v>
      </c>
      <c r="BD32" s="391"/>
      <c r="BE32" s="395">
        <f t="shared" ca="1" si="115"/>
        <v>0</v>
      </c>
      <c r="BF32" s="390">
        <f t="shared" ca="1" si="116"/>
        <v>0.65694444568620791</v>
      </c>
      <c r="BG32" s="391">
        <f t="shared" ca="1" si="117"/>
        <v>0.65694444444444444</v>
      </c>
      <c r="BH32" s="392" t="str">
        <f ca="1">IF(BG32&lt;&gt;0,вПМ(BG32,BF32),"")</f>
        <v/>
      </c>
      <c r="BI32" s="391">
        <f ca="1">IF(BG32&lt;&gt;0,вРазн(BG32,BF32), 0)</f>
        <v>0</v>
      </c>
      <c r="BJ32" s="393">
        <f t="shared" ca="1" si="118"/>
        <v>0</v>
      </c>
      <c r="BK32" s="394">
        <f t="shared" ca="1" si="41"/>
        <v>2.777777798473835E-2</v>
      </c>
      <c r="BL32" s="391"/>
      <c r="BM32" s="395">
        <f t="shared" ca="1" si="119"/>
        <v>0</v>
      </c>
      <c r="BN32" s="390">
        <f t="shared" ca="1" si="120"/>
        <v>0.68472222242918279</v>
      </c>
      <c r="BO32" s="391">
        <f t="shared" ca="1" si="121"/>
        <v>0.68680555555555556</v>
      </c>
      <c r="BP32" s="392" t="str">
        <f ca="1">IF(BO32&lt;&gt;0,вПМ(BO32,BN32),"")</f>
        <v>+</v>
      </c>
      <c r="BQ32" s="391">
        <f ca="1">IF(BO32&lt;&gt;0,вРазн(BO32,BN32), 0)</f>
        <v>2.0833015441894531E-3</v>
      </c>
      <c r="BR32" s="396">
        <f t="shared" ca="1" si="122"/>
        <v>180</v>
      </c>
      <c r="BS32" s="390">
        <f t="shared" ca="1" si="46"/>
        <v>0</v>
      </c>
      <c r="BT32" s="391">
        <f t="shared" ca="1" si="123"/>
        <v>0</v>
      </c>
      <c r="BU32" s="391">
        <f t="shared" ca="1" si="124"/>
        <v>0</v>
      </c>
      <c r="BV32" s="401">
        <f t="shared" ca="1" si="125"/>
        <v>53.9</v>
      </c>
      <c r="BW32" s="401">
        <f t="shared" ca="1" si="126"/>
        <v>0</v>
      </c>
      <c r="BX32" s="392">
        <f t="shared" ca="1" si="127"/>
        <v>0</v>
      </c>
      <c r="BY32" s="392" t="str">
        <f t="shared" ca="1" si="128"/>
        <v>да</v>
      </c>
      <c r="BZ32" s="392" t="str">
        <f t="shared" ca="1" si="129"/>
        <v>да</v>
      </c>
      <c r="CA32" s="462">
        <f t="shared" ca="1" si="130"/>
        <v>521.70000000000005</v>
      </c>
      <c r="CB32" s="390">
        <f t="shared" ca="1" si="52"/>
        <v>0.48402777777777778</v>
      </c>
      <c r="CC32" s="391">
        <f t="shared" ca="1" si="131"/>
        <v>0.48402777777777778</v>
      </c>
      <c r="CD32" s="391">
        <f ca="1">IF(OR(CB32=0,CC32=0),0,вРазн(CC32,CB32))</f>
        <v>0</v>
      </c>
      <c r="CE32" s="391"/>
      <c r="CF32" s="391"/>
      <c r="CG32" s="397">
        <f t="shared" ca="1" si="132"/>
        <v>0.49181712962962965</v>
      </c>
      <c r="CH32" s="398">
        <f t="shared" ca="1" si="54"/>
        <v>0.49222222222222217</v>
      </c>
      <c r="CI32" s="399" t="str">
        <f ca="1">IF(CH32&lt;&gt;0,вПМ(CH32,CG32,"s"),"")</f>
        <v>+</v>
      </c>
      <c r="CJ32" s="398">
        <f ca="1">IF(CH32&lt;&gt;0,вРазн(CH32,CG32,"s"), 0)</f>
        <v>4.0510296821594238E-4</v>
      </c>
      <c r="CK32" s="462">
        <f t="shared" ca="1" si="133"/>
        <v>35</v>
      </c>
      <c r="CL32" s="397">
        <f t="shared" ca="1" si="134"/>
        <v>0.50648148148148142</v>
      </c>
      <c r="CM32" s="398">
        <f t="shared" ca="1" si="57"/>
        <v>0.50599537037037035</v>
      </c>
      <c r="CN32" s="392" t="str">
        <f ca="1">IF(AND(CM32&lt;&gt;0,CL32&lt;&gt;0),вПМ(CM32,CL32,"s"),"")</f>
        <v>-</v>
      </c>
      <c r="CO32" s="398">
        <f ca="1">IF(AND(CM32&lt;&gt;0,CL32&lt;&gt;0),вРазн(CM32,CL32,"s"), 0)</f>
        <v>4.8607587814331055E-4</v>
      </c>
      <c r="CP32" s="462">
        <f t="shared" ca="1" si="135"/>
        <v>42</v>
      </c>
      <c r="CQ32" s="390">
        <f t="shared" ca="1" si="59"/>
        <v>0.58402777777777781</v>
      </c>
      <c r="CR32" s="391">
        <f t="shared" ca="1" si="136"/>
        <v>0.58402777777777781</v>
      </c>
      <c r="CS32" s="391">
        <f ca="1">IF(OR(CQ32=0,CR32=0),0,вРазн(CR32,CQ32))</f>
        <v>0</v>
      </c>
      <c r="CT32" s="391"/>
      <c r="CU32" s="391"/>
      <c r="CV32" s="397">
        <f t="shared" ca="1" si="137"/>
        <v>0.59098379629629638</v>
      </c>
      <c r="CW32" s="398">
        <f t="shared" ca="1" si="61"/>
        <v>0.59215277777777775</v>
      </c>
      <c r="CX32" s="399" t="str">
        <f ca="1">IF(CW32&lt;&gt;0,вПМ(CW32,CV32,"s"),"")</f>
        <v>+</v>
      </c>
      <c r="CY32" s="398">
        <f ca="1">IF(CW32&lt;&gt;0,вРазн(CW32,CV32,"s"), 0)</f>
        <v>1.1689662933349609E-3</v>
      </c>
      <c r="CZ32" s="462">
        <f t="shared" ca="1" si="138"/>
        <v>101</v>
      </c>
      <c r="DA32" s="397">
        <f t="shared" ca="1" si="139"/>
        <v>0.59263888888888883</v>
      </c>
      <c r="DB32" s="398">
        <f t="shared" ca="1" si="64"/>
        <v>0.59265046296296298</v>
      </c>
      <c r="DC32" s="392" t="str">
        <f ca="1">IF(AND(DB32&lt;&gt;0,DA32&lt;&gt;0),вПМ(DB32,DA32,"s"),"")</f>
        <v>+</v>
      </c>
      <c r="DD32" s="398">
        <f ca="1">IF(AND(DB32&lt;&gt;0,DA32&lt;&gt;0),вРазн(DB32,DA32,"s"), 0)</f>
        <v>1.1563301086425781E-5</v>
      </c>
      <c r="DE32" s="462">
        <f t="shared" ca="1" si="140"/>
        <v>1</v>
      </c>
      <c r="DF32" s="390">
        <f t="shared" ca="1" si="66"/>
        <v>0</v>
      </c>
      <c r="DG32" s="391">
        <f t="shared" ca="1" si="141"/>
        <v>0</v>
      </c>
      <c r="DH32" s="391">
        <f t="shared" ca="1" si="142"/>
        <v>0</v>
      </c>
      <c r="DI32" s="401">
        <f t="shared" ca="1" si="143"/>
        <v>42.5</v>
      </c>
      <c r="DJ32" s="401">
        <f t="shared" ca="1" si="144"/>
        <v>0</v>
      </c>
      <c r="DK32" s="392">
        <f t="shared" ca="1" si="145"/>
        <v>0</v>
      </c>
      <c r="DL32" s="392" t="str">
        <f t="shared" ca="1" si="146"/>
        <v>да</v>
      </c>
      <c r="DM32" s="392">
        <f t="shared" ca="1" si="147"/>
        <v>0</v>
      </c>
      <c r="DN32" s="462">
        <f t="shared" ca="1" si="148"/>
        <v>187.5</v>
      </c>
      <c r="DO32" s="402">
        <f t="shared" ca="1" si="72"/>
        <v>0</v>
      </c>
      <c r="DP32" s="400">
        <f t="shared" ca="1" si="149"/>
        <v>0</v>
      </c>
      <c r="DQ32" s="402">
        <f t="shared" ca="1" si="72"/>
        <v>0</v>
      </c>
      <c r="DR32" s="400">
        <f t="shared" ca="1" si="150"/>
        <v>960</v>
      </c>
      <c r="DS32" s="390">
        <f t="shared" ca="1" si="75"/>
        <v>0.6694444444444444</v>
      </c>
      <c r="DT32" s="396">
        <f t="shared" ca="1" si="151"/>
        <v>0</v>
      </c>
      <c r="DU32" s="390">
        <f t="shared" ca="1" si="75"/>
        <v>0</v>
      </c>
      <c r="DV32" s="396">
        <f t="shared" ca="1" si="152"/>
        <v>900</v>
      </c>
      <c r="DW32" s="459"/>
      <c r="DX32" s="459"/>
      <c r="DY32" s="459"/>
      <c r="DZ32" s="459"/>
      <c r="EA32" s="459"/>
      <c r="EB32" s="459"/>
      <c r="EC32" s="459"/>
      <c r="ED32" s="459"/>
      <c r="EE32" s="459"/>
      <c r="EF32" s="459"/>
      <c r="EG32" s="459"/>
      <c r="EH32" s="459"/>
      <c r="EI32" s="459"/>
      <c r="EJ32" s="459"/>
      <c r="EK32" s="459"/>
      <c r="EL32" s="459"/>
      <c r="EM32" s="459"/>
      <c r="EN32" s="459"/>
      <c r="EO32" s="459"/>
      <c r="EP32" s="459"/>
      <c r="EQ32" s="459"/>
      <c r="ER32" s="459"/>
      <c r="ES32" s="459"/>
      <c r="ET32" s="459"/>
      <c r="EU32" s="390" t="e">
        <f t="shared" ca="1" si="153"/>
        <v>#VALUE!</v>
      </c>
      <c r="EV32" s="391">
        <f t="shared" ca="1" si="154"/>
        <v>0</v>
      </c>
      <c r="EW32" s="392" t="e">
        <f ca="1">IF(AND(EV32&lt;&gt;0,EU32&lt;&gt;0),вПМ(EV32,EU32),"")</f>
        <v>#VALUE!</v>
      </c>
      <c r="EX32" s="391">
        <f ca="1">IF(EV32&lt;&gt;0,вРазн(EV32,EU32), 0)</f>
        <v>0</v>
      </c>
      <c r="EY32" s="396">
        <f t="shared" ca="1" si="155"/>
        <v>900</v>
      </c>
      <c r="EZ32" s="390">
        <f t="shared" ca="1" si="81"/>
        <v>0</v>
      </c>
      <c r="FA32" s="391">
        <f t="shared" ca="1" si="156"/>
        <v>0</v>
      </c>
      <c r="FB32" s="391">
        <f t="shared" ca="1" si="157"/>
        <v>0</v>
      </c>
      <c r="FC32" s="401">
        <f t="shared" ca="1" si="158"/>
        <v>53.9</v>
      </c>
      <c r="FD32" s="401">
        <f t="shared" ca="1" si="159"/>
        <v>0</v>
      </c>
      <c r="FE32" s="401">
        <f t="shared" ca="1" si="160"/>
        <v>0</v>
      </c>
      <c r="FF32" s="392" t="str">
        <f t="shared" ca="1" si="161"/>
        <v>да</v>
      </c>
      <c r="FG32" s="392" t="str">
        <f t="shared" ca="1" si="162"/>
        <v>да</v>
      </c>
      <c r="FH32" s="462">
        <f t="shared" ca="1" si="163"/>
        <v>251.7</v>
      </c>
      <c r="FI32" s="403"/>
    </row>
    <row r="33" spans="1:165" s="20" customFormat="1" x14ac:dyDescent="0.25">
      <c r="A33" s="253">
        <f>стартоваяВедомость!B33</f>
        <v>26</v>
      </c>
      <c r="B33" s="241" t="str">
        <f t="shared" ca="1" si="1"/>
        <v>Volkswagen Passat</v>
      </c>
      <c r="C33" s="241" t="str">
        <f t="shared" ca="1" si="2"/>
        <v xml:space="preserve">Давыдов Николай </v>
      </c>
      <c r="D33" s="241" t="str">
        <f t="shared" ca="1" si="3"/>
        <v xml:space="preserve">Мезенин Валентин </v>
      </c>
      <c r="E33" s="241" t="str">
        <f t="shared" ca="1" si="4"/>
        <v xml:space="preserve">Смоленск </v>
      </c>
      <c r="F33" s="241" t="str">
        <f t="shared" ca="1" si="5"/>
        <v>Light, Аэропорт</v>
      </c>
      <c r="G33" s="487">
        <f t="shared" ca="1" si="90"/>
        <v>2032.7</v>
      </c>
      <c r="H33" s="487">
        <f t="shared" ca="1" si="91"/>
        <v>180</v>
      </c>
      <c r="I33" s="487">
        <f t="shared" ca="1" si="92"/>
        <v>1132.7</v>
      </c>
      <c r="J33" s="487">
        <f t="shared" ca="1" si="93"/>
        <v>720</v>
      </c>
      <c r="K33" s="242">
        <f t="shared" ca="1" si="9"/>
        <v>0.43333333333333329</v>
      </c>
      <c r="L33" s="122">
        <f t="shared" ca="1" si="94"/>
        <v>0.43333333333333335</v>
      </c>
      <c r="M33" s="243" t="str">
        <f ca="1">IF(L33&lt;&gt;0,вПМ(L33,K33),"")</f>
        <v/>
      </c>
      <c r="N33" s="122">
        <f ca="1">IF(L33&lt;&gt;0,вРазн(L33,K33), 0)</f>
        <v>0</v>
      </c>
      <c r="O33" s="301">
        <f t="shared" ca="1" si="95"/>
        <v>0</v>
      </c>
      <c r="P33" s="300">
        <f t="shared" ca="1" si="12"/>
        <v>4.86111119389534E-2</v>
      </c>
      <c r="Q33" s="294"/>
      <c r="R33" s="242">
        <f t="shared" ca="1" si="96"/>
        <v>0.48194444527228675</v>
      </c>
      <c r="S33" s="122">
        <f t="shared" ca="1" si="97"/>
        <v>0.48194444444444445</v>
      </c>
      <c r="T33" s="243" t="str">
        <f ca="1">IF(S33&lt;&gt;0,вПМ(S33,R33),"")</f>
        <v/>
      </c>
      <c r="U33" s="122">
        <f ca="1">IF(S33&lt;&gt;0,вРазн(S33,R33), 0)</f>
        <v>0</v>
      </c>
      <c r="V33" s="301">
        <f t="shared" ca="1" si="98"/>
        <v>0</v>
      </c>
      <c r="W33" s="300">
        <f t="shared" ca="1" si="16"/>
        <v>4.86111119389534E-2</v>
      </c>
      <c r="X33" s="122"/>
      <c r="Y33" s="294">
        <f t="shared" ca="1" si="99"/>
        <v>0</v>
      </c>
      <c r="Z33" s="242">
        <f t="shared" ca="1" si="100"/>
        <v>0.53333333416117568</v>
      </c>
      <c r="AA33" s="122">
        <f t="shared" ca="1" si="101"/>
        <v>0.53333333333333333</v>
      </c>
      <c r="AB33" s="243" t="str">
        <f ca="1">IF(AA33&lt;&gt;0,вПМ(AA33,Z33),"")</f>
        <v/>
      </c>
      <c r="AC33" s="122">
        <f ca="1">IF(AA33&lt;&gt;0,вРазн(AA33,Z33), 0)</f>
        <v>0</v>
      </c>
      <c r="AD33" s="301">
        <f t="shared" ca="1" si="102"/>
        <v>0</v>
      </c>
      <c r="AE33" s="300">
        <f t="shared" ca="1" si="21"/>
        <v>2.43055559694767E-2</v>
      </c>
      <c r="AF33" s="122"/>
      <c r="AG33" s="294">
        <f t="shared" ca="1" si="103"/>
        <v>0</v>
      </c>
      <c r="AH33" s="242">
        <f t="shared" ca="1" si="104"/>
        <v>0.55763888930281003</v>
      </c>
      <c r="AI33" s="122">
        <f t="shared" ca="1" si="105"/>
        <v>0.55833333333333335</v>
      </c>
      <c r="AJ33" s="243" t="str">
        <f ca="1">IF(AI33&lt;&gt;0,вПМ(AI33,AH33),"")</f>
        <v>+</v>
      </c>
      <c r="AK33" s="122">
        <f ca="1">IF(AI33&lt;&gt;0,вРазн(AI33,AH33), 0)</f>
        <v>6.9445371627807617E-4</v>
      </c>
      <c r="AL33" s="301">
        <f t="shared" ca="1" si="106"/>
        <v>60</v>
      </c>
      <c r="AM33" s="300">
        <f t="shared" ca="1" si="26"/>
        <v>2.43055559694767E-2</v>
      </c>
      <c r="AN33" s="122"/>
      <c r="AO33" s="294">
        <f t="shared" ca="1" si="107"/>
        <v>0</v>
      </c>
      <c r="AP33" s="242">
        <f t="shared" ca="1" si="108"/>
        <v>0.58263888930281005</v>
      </c>
      <c r="AQ33" s="122">
        <f t="shared" ca="1" si="109"/>
        <v>0.58333333333333337</v>
      </c>
      <c r="AR33" s="243" t="str">
        <f ca="1">IF(AQ33&lt;&gt;0,вПМ(AQ33,AP33),"")</f>
        <v>+</v>
      </c>
      <c r="AS33" s="122">
        <f ca="1">IF(AQ33&lt;&gt;0,вРазн(AQ33,AP33), 0)</f>
        <v>6.9445371627807617E-4</v>
      </c>
      <c r="AT33" s="301">
        <f t="shared" ca="1" si="110"/>
        <v>60</v>
      </c>
      <c r="AU33" s="300">
        <f t="shared" ca="1" si="31"/>
        <v>3.125E-2</v>
      </c>
      <c r="AV33" s="122"/>
      <c r="AW33" s="294">
        <f t="shared" ca="1" si="111"/>
        <v>0</v>
      </c>
      <c r="AX33" s="242">
        <f t="shared" ca="1" si="112"/>
        <v>0.61736111111111114</v>
      </c>
      <c r="AY33" s="122">
        <f t="shared" ca="1" si="113"/>
        <v>0.61805555555555558</v>
      </c>
      <c r="AZ33" s="243" t="str">
        <f ca="1">IF(AY33&lt;&gt;0,вПМ(AY33,AX33),"")</f>
        <v>+</v>
      </c>
      <c r="BA33" s="122">
        <f ca="1">IF(AY33&lt;&gt;0,вРазн(AY33,AX33), 0)</f>
        <v>6.9445371627807617E-4</v>
      </c>
      <c r="BB33" s="301">
        <f t="shared" ca="1" si="114"/>
        <v>60</v>
      </c>
      <c r="BC33" s="300">
        <f t="shared" ca="1" si="36"/>
        <v>4.1666667908430099E-2</v>
      </c>
      <c r="BD33" s="122"/>
      <c r="BE33" s="294">
        <f t="shared" ca="1" si="115"/>
        <v>0</v>
      </c>
      <c r="BF33" s="242">
        <f t="shared" ca="1" si="116"/>
        <v>0.65972222346398568</v>
      </c>
      <c r="BG33" s="122">
        <f t="shared" ca="1" si="117"/>
        <v>0.65972222222222221</v>
      </c>
      <c r="BH33" s="243" t="str">
        <f ca="1">IF(BG33&lt;&gt;0,вПМ(BG33,BF33),"")</f>
        <v/>
      </c>
      <c r="BI33" s="122">
        <f ca="1">IF(BG33&lt;&gt;0,вРазн(BG33,BF33), 0)</f>
        <v>0</v>
      </c>
      <c r="BJ33" s="301">
        <f t="shared" ca="1" si="118"/>
        <v>0</v>
      </c>
      <c r="BK33" s="300">
        <f t="shared" ca="1" si="41"/>
        <v>2.777777798473835E-2</v>
      </c>
      <c r="BL33" s="122"/>
      <c r="BM33" s="294">
        <f t="shared" ca="1" si="119"/>
        <v>0</v>
      </c>
      <c r="BN33" s="242">
        <f t="shared" ca="1" si="120"/>
        <v>0.68750000020696056</v>
      </c>
      <c r="BO33" s="122">
        <f t="shared" ca="1" si="121"/>
        <v>0.6875</v>
      </c>
      <c r="BP33" s="243" t="str">
        <f ca="1">IF(BO33&lt;&gt;0,вПМ(BO33,BN33),"")</f>
        <v/>
      </c>
      <c r="BQ33" s="122">
        <f ca="1">IF(BO33&lt;&gt;0,вРазн(BO33,BN33), 0)</f>
        <v>0</v>
      </c>
      <c r="BR33" s="244">
        <f t="shared" ca="1" si="122"/>
        <v>0</v>
      </c>
      <c r="BS33" s="242">
        <f t="shared" ca="1" si="46"/>
        <v>0</v>
      </c>
      <c r="BT33" s="122">
        <f t="shared" ca="1" si="123"/>
        <v>0</v>
      </c>
      <c r="BU33" s="122">
        <f t="shared" ca="1" si="124"/>
        <v>0</v>
      </c>
      <c r="BV33" s="248">
        <f t="shared" ca="1" si="125"/>
        <v>66.5</v>
      </c>
      <c r="BW33" s="248">
        <f t="shared" ca="1" si="126"/>
        <v>0</v>
      </c>
      <c r="BX33" s="243">
        <f t="shared" ca="1" si="127"/>
        <v>0</v>
      </c>
      <c r="BY33" s="243" t="str">
        <f t="shared" ca="1" si="128"/>
        <v>да</v>
      </c>
      <c r="BZ33" s="243" t="str">
        <f t="shared" ca="1" si="129"/>
        <v>да</v>
      </c>
      <c r="CA33" s="463">
        <f t="shared" ca="1" si="130"/>
        <v>559.5</v>
      </c>
      <c r="CB33" s="242">
        <f t="shared" ca="1" si="52"/>
        <v>0.48472222222222222</v>
      </c>
      <c r="CC33" s="122">
        <f t="shared" ca="1" si="131"/>
        <v>0.48472222222222222</v>
      </c>
      <c r="CD33" s="122">
        <f ca="1">IF(OR(CB33=0,CC33=0),0,вРазн(CC33,CB33))</f>
        <v>0</v>
      </c>
      <c r="CE33" s="122"/>
      <c r="CF33" s="122"/>
      <c r="CG33" s="247">
        <f t="shared" ca="1" si="132"/>
        <v>0.49251157407407409</v>
      </c>
      <c r="CH33" s="245">
        <f t="shared" ca="1" si="54"/>
        <v>0.4927199074074074</v>
      </c>
      <c r="CI33" s="240" t="str">
        <f ca="1">IF(CH33&lt;&gt;0,вПМ(CH33,CG33,"s"),"")</f>
        <v>+</v>
      </c>
      <c r="CJ33" s="245">
        <f ca="1">IF(CH33&lt;&gt;0,вРазн(CH33,CG33,"s"), 0)</f>
        <v>2.0834803581237793E-4</v>
      </c>
      <c r="CK33" s="463">
        <f t="shared" ca="1" si="133"/>
        <v>18</v>
      </c>
      <c r="CL33" s="247">
        <f t="shared" ca="1" si="134"/>
        <v>0.50697916666666665</v>
      </c>
      <c r="CM33" s="245">
        <f t="shared" ca="1" si="57"/>
        <v>0.50725694444444447</v>
      </c>
      <c r="CN33" s="243" t="str">
        <f ca="1">IF(AND(CM33&lt;&gt;0,CL33&lt;&gt;0),вПМ(CM33,CL33,"s"),"")</f>
        <v>+</v>
      </c>
      <c r="CO33" s="245">
        <f ca="1">IF(AND(CM33&lt;&gt;0,CL33&lt;&gt;0),вРазн(CM33,CL33,"s"), 0)</f>
        <v>2.7775764465332031E-4</v>
      </c>
      <c r="CP33" s="463">
        <f t="shared" ca="1" si="135"/>
        <v>24</v>
      </c>
      <c r="CQ33" s="242">
        <f t="shared" ca="1" si="59"/>
        <v>0.58611111111111114</v>
      </c>
      <c r="CR33" s="122">
        <f t="shared" ca="1" si="136"/>
        <v>0.58611111111111114</v>
      </c>
      <c r="CS33" s="122">
        <f ca="1">IF(OR(CQ33=0,CR33=0),0,вРазн(CR33,CQ33))</f>
        <v>0</v>
      </c>
      <c r="CT33" s="122"/>
      <c r="CU33" s="122"/>
      <c r="CV33" s="247">
        <f t="shared" ca="1" si="137"/>
        <v>0.59306712962962971</v>
      </c>
      <c r="CW33" s="245">
        <f t="shared" ca="1" si="61"/>
        <v>0.59395833333333337</v>
      </c>
      <c r="CX33" s="240" t="str">
        <f ca="1">IF(CW33&lt;&gt;0,вПМ(CW33,CV33,"s"),"")</f>
        <v>+</v>
      </c>
      <c r="CY33" s="245">
        <f ca="1">IF(CW33&lt;&gt;0,вРазн(CW33,CV33,"s"), 0)</f>
        <v>8.9120864868164063E-4</v>
      </c>
      <c r="CZ33" s="463">
        <f t="shared" ca="1" si="138"/>
        <v>77</v>
      </c>
      <c r="DA33" s="247">
        <f t="shared" ca="1" si="139"/>
        <v>0.59444444444444444</v>
      </c>
      <c r="DB33" s="245">
        <f t="shared" ca="1" si="64"/>
        <v>0.59437499999999999</v>
      </c>
      <c r="DC33" s="243" t="str">
        <f ca="1">IF(AND(DB33&lt;&gt;0,DA33&lt;&gt;0),вПМ(DB33,DA33,"s"),"")</f>
        <v>-</v>
      </c>
      <c r="DD33" s="245">
        <f ca="1">IF(AND(DB33&lt;&gt;0,DA33&lt;&gt;0),вРазн(DB33,DA33,"s"), 0)</f>
        <v>6.9439411163330078E-5</v>
      </c>
      <c r="DE33" s="463">
        <f t="shared" ca="1" si="140"/>
        <v>6</v>
      </c>
      <c r="DF33" s="242">
        <f t="shared" ca="1" si="66"/>
        <v>0</v>
      </c>
      <c r="DG33" s="122">
        <f t="shared" ca="1" si="141"/>
        <v>0</v>
      </c>
      <c r="DH33" s="122">
        <f t="shared" ca="1" si="142"/>
        <v>0</v>
      </c>
      <c r="DI33" s="248">
        <f t="shared" ca="1" si="143"/>
        <v>49.4</v>
      </c>
      <c r="DJ33" s="248">
        <f t="shared" ca="1" si="144"/>
        <v>0</v>
      </c>
      <c r="DK33" s="243">
        <f t="shared" ca="1" si="145"/>
        <v>0</v>
      </c>
      <c r="DL33" s="243">
        <f t="shared" ca="1" si="146"/>
        <v>0</v>
      </c>
      <c r="DM33" s="243" t="str">
        <f t="shared" ca="1" si="147"/>
        <v>да</v>
      </c>
      <c r="DN33" s="463">
        <f t="shared" ca="1" si="148"/>
        <v>448.2</v>
      </c>
      <c r="DO33" s="249">
        <f t="shared" ca="1" si="72"/>
        <v>0</v>
      </c>
      <c r="DP33" s="246">
        <f t="shared" ca="1" si="149"/>
        <v>0</v>
      </c>
      <c r="DQ33" s="249">
        <f t="shared" ca="1" si="72"/>
        <v>0</v>
      </c>
      <c r="DR33" s="246">
        <f t="shared" ca="1" si="150"/>
        <v>720</v>
      </c>
      <c r="DS33" s="242">
        <f t="shared" ca="1" si="75"/>
        <v>0.66666666666666663</v>
      </c>
      <c r="DT33" s="244">
        <f t="shared" ca="1" si="151"/>
        <v>0</v>
      </c>
      <c r="DU33" s="242">
        <f t="shared" ca="1" si="75"/>
        <v>0.68055555555555547</v>
      </c>
      <c r="DV33" s="244">
        <f t="shared" ca="1" si="152"/>
        <v>0</v>
      </c>
      <c r="DW33" s="459"/>
      <c r="DX33" s="459"/>
      <c r="DY33" s="459"/>
      <c r="DZ33" s="459"/>
      <c r="EA33" s="459"/>
      <c r="EB33" s="459"/>
      <c r="EC33" s="459"/>
      <c r="ED33" s="459"/>
      <c r="EE33" s="459"/>
      <c r="EF33" s="459"/>
      <c r="EG33" s="459"/>
      <c r="EH33" s="459"/>
      <c r="EI33" s="459"/>
      <c r="EJ33" s="459"/>
      <c r="EK33" s="459"/>
      <c r="EL33" s="459"/>
      <c r="EM33" s="459"/>
      <c r="EN33" s="459"/>
      <c r="EO33" s="459"/>
      <c r="EP33" s="459"/>
      <c r="EQ33" s="459"/>
      <c r="ER33" s="459"/>
      <c r="ES33" s="459"/>
      <c r="ET33" s="459"/>
      <c r="EU33" s="242" t="e">
        <f t="shared" ca="1" si="153"/>
        <v>#VALUE!</v>
      </c>
      <c r="EV33" s="122">
        <f t="shared" ca="1" si="154"/>
        <v>0</v>
      </c>
      <c r="EW33" s="243" t="e">
        <f ca="1">IF(AND(EV33&lt;&gt;0,EU33&lt;&gt;0),вПМ(EV33,EU33),"")</f>
        <v>#VALUE!</v>
      </c>
      <c r="EX33" s="122">
        <f ca="1">IF(EV33&lt;&gt;0,вРазн(EV33,EU33), 0)</f>
        <v>0</v>
      </c>
      <c r="EY33" s="244">
        <f t="shared" ca="1" si="155"/>
        <v>900</v>
      </c>
      <c r="EZ33" s="242">
        <f t="shared" ca="1" si="81"/>
        <v>0</v>
      </c>
      <c r="FA33" s="122">
        <f t="shared" ca="1" si="156"/>
        <v>0</v>
      </c>
      <c r="FB33" s="122">
        <f t="shared" ca="1" si="157"/>
        <v>0</v>
      </c>
      <c r="FC33" s="248">
        <f t="shared" ca="1" si="158"/>
        <v>66.5</v>
      </c>
      <c r="FD33" s="248">
        <f t="shared" ca="1" si="159"/>
        <v>0</v>
      </c>
      <c r="FE33" s="248">
        <f t="shared" ca="1" si="160"/>
        <v>0</v>
      </c>
      <c r="FF33" s="243" t="str">
        <f t="shared" ca="1" si="161"/>
        <v>да</v>
      </c>
      <c r="FG33" s="243" t="str">
        <f t="shared" ca="1" si="162"/>
        <v>да</v>
      </c>
      <c r="FH33" s="463">
        <f t="shared" ca="1" si="163"/>
        <v>289.5</v>
      </c>
    </row>
    <row r="34" spans="1:165" s="236" customFormat="1" x14ac:dyDescent="0.25">
      <c r="A34" s="388">
        <f>стартоваяВедомость!B34</f>
        <v>29</v>
      </c>
      <c r="B34" s="389" t="str">
        <f t="shared" ca="1" si="1"/>
        <v>Chevrolet Camaro</v>
      </c>
      <c r="C34" s="389" t="str">
        <f t="shared" ca="1" si="2"/>
        <v>Филоненко Николай</v>
      </c>
      <c r="D34" s="389" t="str">
        <f t="shared" ca="1" si="3"/>
        <v>Сорока Евгений</v>
      </c>
      <c r="E34" s="389" t="str">
        <f t="shared" ca="1" si="4"/>
        <v>Смоленск / Москва</v>
      </c>
      <c r="F34" s="389" t="str">
        <f t="shared" ca="1" si="5"/>
        <v>Pro, Кубок</v>
      </c>
      <c r="G34" s="486">
        <f t="shared" ca="1" si="90"/>
        <v>621.5</v>
      </c>
      <c r="H34" s="486">
        <f t="shared" ca="1" si="91"/>
        <v>0</v>
      </c>
      <c r="I34" s="486">
        <f t="shared" ca="1" si="92"/>
        <v>381.49999999999994</v>
      </c>
      <c r="J34" s="486">
        <f t="shared" ca="1" si="93"/>
        <v>240</v>
      </c>
      <c r="K34" s="390">
        <f t="shared" ca="1" si="9"/>
        <v>0.43402777777777773</v>
      </c>
      <c r="L34" s="391">
        <f t="shared" ca="1" si="94"/>
        <v>0.43402777777777773</v>
      </c>
      <c r="M34" s="392" t="str">
        <f ca="1">IF(L34&lt;&gt;0,вПМ(L34,K34),"")</f>
        <v/>
      </c>
      <c r="N34" s="391">
        <f ca="1">IF(L34&lt;&gt;0,вРазн(L34,K34), 0)</f>
        <v>0</v>
      </c>
      <c r="O34" s="393">
        <f t="shared" ca="1" si="95"/>
        <v>0</v>
      </c>
      <c r="P34" s="394">
        <f t="shared" ca="1" si="12"/>
        <v>4.86111119389534E-2</v>
      </c>
      <c r="Q34" s="395"/>
      <c r="R34" s="390">
        <f t="shared" ca="1" si="96"/>
        <v>0.48263888971673113</v>
      </c>
      <c r="S34" s="391">
        <f t="shared" ca="1" si="97"/>
        <v>0.4826388888888889</v>
      </c>
      <c r="T34" s="392" t="str">
        <f ca="1">IF(S34&lt;&gt;0,вПМ(S34,R34),"")</f>
        <v/>
      </c>
      <c r="U34" s="391">
        <f ca="1">IF(S34&lt;&gt;0,вРазн(S34,R34), 0)</f>
        <v>0</v>
      </c>
      <c r="V34" s="393">
        <f t="shared" ca="1" si="98"/>
        <v>0</v>
      </c>
      <c r="W34" s="394">
        <f t="shared" ca="1" si="16"/>
        <v>4.86111119389534E-2</v>
      </c>
      <c r="X34" s="391"/>
      <c r="Y34" s="395">
        <f t="shared" ca="1" si="99"/>
        <v>0</v>
      </c>
      <c r="Z34" s="390">
        <f t="shared" ca="1" si="100"/>
        <v>0.53402777860562001</v>
      </c>
      <c r="AA34" s="391">
        <f t="shared" ca="1" si="101"/>
        <v>0.53402777777777777</v>
      </c>
      <c r="AB34" s="392" t="str">
        <f ca="1">IF(AA34&lt;&gt;0,вПМ(AA34,Z34),"")</f>
        <v/>
      </c>
      <c r="AC34" s="391">
        <f ca="1">IF(AA34&lt;&gt;0,вРазн(AA34,Z34), 0)</f>
        <v>0</v>
      </c>
      <c r="AD34" s="393">
        <f t="shared" ca="1" si="102"/>
        <v>0</v>
      </c>
      <c r="AE34" s="394">
        <f t="shared" ca="1" si="21"/>
        <v>2.43055559694767E-2</v>
      </c>
      <c r="AF34" s="391"/>
      <c r="AG34" s="395">
        <f t="shared" ca="1" si="103"/>
        <v>0</v>
      </c>
      <c r="AH34" s="390">
        <f t="shared" ca="1" si="104"/>
        <v>0.55833333374725447</v>
      </c>
      <c r="AI34" s="391">
        <f t="shared" ca="1" si="105"/>
        <v>0.55833333333333335</v>
      </c>
      <c r="AJ34" s="392" t="str">
        <f ca="1">IF(AI34&lt;&gt;0,вПМ(AI34,AH34),"")</f>
        <v/>
      </c>
      <c r="AK34" s="391">
        <f ca="1">IF(AI34&lt;&gt;0,вРазн(AI34,AH34), 0)</f>
        <v>0</v>
      </c>
      <c r="AL34" s="393">
        <f t="shared" ca="1" si="106"/>
        <v>0</v>
      </c>
      <c r="AM34" s="394">
        <f t="shared" ca="1" si="26"/>
        <v>2.43055559694767E-2</v>
      </c>
      <c r="AN34" s="391"/>
      <c r="AO34" s="395">
        <f t="shared" ca="1" si="107"/>
        <v>0</v>
      </c>
      <c r="AP34" s="390">
        <f t="shared" ca="1" si="108"/>
        <v>0.58263888930281005</v>
      </c>
      <c r="AQ34" s="391">
        <f t="shared" ca="1" si="109"/>
        <v>0.58263888888888882</v>
      </c>
      <c r="AR34" s="392" t="str">
        <f ca="1">IF(AQ34&lt;&gt;0,вПМ(AQ34,AP34),"")</f>
        <v/>
      </c>
      <c r="AS34" s="391">
        <f ca="1">IF(AQ34&lt;&gt;0,вРазн(AQ34,AP34), 0)</f>
        <v>0</v>
      </c>
      <c r="AT34" s="393">
        <f t="shared" ca="1" si="110"/>
        <v>0</v>
      </c>
      <c r="AU34" s="394">
        <f t="shared" ca="1" si="31"/>
        <v>3.125E-2</v>
      </c>
      <c r="AV34" s="391"/>
      <c r="AW34" s="395">
        <f t="shared" ca="1" si="111"/>
        <v>0</v>
      </c>
      <c r="AX34" s="390">
        <f t="shared" ca="1" si="112"/>
        <v>0.61597222222222225</v>
      </c>
      <c r="AY34" s="391">
        <f t="shared" ca="1" si="113"/>
        <v>0.61597222222222225</v>
      </c>
      <c r="AZ34" s="392" t="str">
        <f ca="1">IF(AY34&lt;&gt;0,вПМ(AY34,AX34),"")</f>
        <v/>
      </c>
      <c r="BA34" s="391">
        <f ca="1">IF(AY34&lt;&gt;0,вРазн(AY34,AX34), 0)</f>
        <v>0</v>
      </c>
      <c r="BB34" s="393">
        <f t="shared" ca="1" si="114"/>
        <v>0</v>
      </c>
      <c r="BC34" s="394">
        <f t="shared" ca="1" si="36"/>
        <v>4.1666667908430099E-2</v>
      </c>
      <c r="BD34" s="391"/>
      <c r="BE34" s="395">
        <f t="shared" ca="1" si="115"/>
        <v>0</v>
      </c>
      <c r="BF34" s="390">
        <f t="shared" ca="1" si="116"/>
        <v>0.65763889013065235</v>
      </c>
      <c r="BG34" s="391">
        <f t="shared" ca="1" si="117"/>
        <v>0.65763888888888888</v>
      </c>
      <c r="BH34" s="392" t="str">
        <f ca="1">IF(BG34&lt;&gt;0,вПМ(BG34,BF34),"")</f>
        <v/>
      </c>
      <c r="BI34" s="391">
        <f ca="1">IF(BG34&lt;&gt;0,вРазн(BG34,BF34), 0)</f>
        <v>0</v>
      </c>
      <c r="BJ34" s="393">
        <f t="shared" ca="1" si="118"/>
        <v>0</v>
      </c>
      <c r="BK34" s="394">
        <f t="shared" ca="1" si="41"/>
        <v>2.777777798473835E-2</v>
      </c>
      <c r="BL34" s="391"/>
      <c r="BM34" s="395">
        <f t="shared" ca="1" si="119"/>
        <v>0</v>
      </c>
      <c r="BN34" s="390">
        <f t="shared" ca="1" si="120"/>
        <v>0.68541666687362723</v>
      </c>
      <c r="BO34" s="391">
        <f t="shared" ca="1" si="121"/>
        <v>0.68541666666666667</v>
      </c>
      <c r="BP34" s="392" t="str">
        <f ca="1">IF(BO34&lt;&gt;0,вПМ(BO34,BN34),"")</f>
        <v/>
      </c>
      <c r="BQ34" s="391">
        <f ca="1">IF(BO34&lt;&gt;0,вРазн(BO34,BN34), 0)</f>
        <v>0</v>
      </c>
      <c r="BR34" s="396">
        <f t="shared" ca="1" si="122"/>
        <v>0</v>
      </c>
      <c r="BS34" s="390">
        <f t="shared" ca="1" si="46"/>
        <v>0</v>
      </c>
      <c r="BT34" s="391">
        <f t="shared" ca="1" si="123"/>
        <v>0</v>
      </c>
      <c r="BU34" s="391">
        <f t="shared" ca="1" si="124"/>
        <v>0</v>
      </c>
      <c r="BV34" s="401">
        <f t="shared" ca="1" si="125"/>
        <v>71.099999999999994</v>
      </c>
      <c r="BW34" s="401">
        <f t="shared" ca="1" si="126"/>
        <v>0</v>
      </c>
      <c r="BX34" s="392">
        <f t="shared" ca="1" si="127"/>
        <v>0</v>
      </c>
      <c r="BY34" s="392">
        <f t="shared" ca="1" si="128"/>
        <v>0</v>
      </c>
      <c r="BZ34" s="392">
        <f t="shared" ca="1" si="129"/>
        <v>0</v>
      </c>
      <c r="CA34" s="462">
        <f t="shared" ca="1" si="130"/>
        <v>213.29999999999998</v>
      </c>
      <c r="CB34" s="390">
        <f t="shared" ca="1" si="52"/>
        <v>0.48541666666666666</v>
      </c>
      <c r="CC34" s="391">
        <f t="shared" ca="1" si="131"/>
        <v>0.48541666666666666</v>
      </c>
      <c r="CD34" s="391">
        <f ca="1">IF(OR(CB34=0,CC34=0),0,вРазн(CC34,CB34))</f>
        <v>0</v>
      </c>
      <c r="CE34" s="391"/>
      <c r="CF34" s="391"/>
      <c r="CG34" s="397">
        <f t="shared" ca="1" si="132"/>
        <v>0.49320601851851853</v>
      </c>
      <c r="CH34" s="398">
        <f t="shared" ca="1" si="54"/>
        <v>0.49290509259259258</v>
      </c>
      <c r="CI34" s="399" t="str">
        <f ca="1">IF(CH34&lt;&gt;0,вПМ(CH34,CG34,"s"),"")</f>
        <v>-</v>
      </c>
      <c r="CJ34" s="398">
        <f ca="1">IF(CH34&lt;&gt;0,вРазн(CH34,CG34,"s"), 0)</f>
        <v>3.0094385147094727E-4</v>
      </c>
      <c r="CK34" s="462">
        <f t="shared" ca="1" si="133"/>
        <v>26</v>
      </c>
      <c r="CL34" s="397">
        <f t="shared" ca="1" si="134"/>
        <v>0.50716435185185182</v>
      </c>
      <c r="CM34" s="398">
        <f t="shared" ca="1" si="57"/>
        <v>0.50719907407407405</v>
      </c>
      <c r="CN34" s="392" t="str">
        <f ca="1">IF(AND(CM34&lt;&gt;0,CL34&lt;&gt;0),вПМ(CM34,CL34,"s"),"")</f>
        <v>+</v>
      </c>
      <c r="CO34" s="398">
        <f ca="1">IF(AND(CM34&lt;&gt;0,CL34&lt;&gt;0),вРазн(CM34,CL34,"s"), 0)</f>
        <v>3.4689903259277344E-5</v>
      </c>
      <c r="CP34" s="462">
        <f t="shared" ca="1" si="135"/>
        <v>3</v>
      </c>
      <c r="CQ34" s="390">
        <f t="shared" ca="1" si="59"/>
        <v>0.58472222222222225</v>
      </c>
      <c r="CR34" s="391">
        <f t="shared" ca="1" si="136"/>
        <v>0.58472222222222225</v>
      </c>
      <c r="CS34" s="391">
        <f ca="1">IF(OR(CQ34=0,CR34=0),0,вРазн(CR34,CQ34))</f>
        <v>0</v>
      </c>
      <c r="CT34" s="391"/>
      <c r="CU34" s="391"/>
      <c r="CV34" s="397">
        <f t="shared" ca="1" si="137"/>
        <v>0.59167824074074082</v>
      </c>
      <c r="CW34" s="398">
        <f t="shared" ca="1" si="61"/>
        <v>0.5917824074074074</v>
      </c>
      <c r="CX34" s="399" t="str">
        <f ca="1">IF(CW34&lt;&gt;0,вПМ(CW34,CV34,"s"),"")</f>
        <v>+</v>
      </c>
      <c r="CY34" s="398">
        <f ca="1">IF(CW34&lt;&gt;0,вРазн(CW34,CV34,"s"), 0)</f>
        <v>1.0412931442260742E-4</v>
      </c>
      <c r="CZ34" s="462">
        <f t="shared" ca="1" si="138"/>
        <v>9</v>
      </c>
      <c r="DA34" s="397">
        <f t="shared" ca="1" si="139"/>
        <v>0.59226851851851847</v>
      </c>
      <c r="DB34" s="398">
        <f t="shared" ca="1" si="64"/>
        <v>0.59233796296296293</v>
      </c>
      <c r="DC34" s="392" t="str">
        <f ca="1">IF(AND(DB34&lt;&gt;0,DA34&lt;&gt;0),вПМ(DB34,DA34,"s"),"")</f>
        <v>+</v>
      </c>
      <c r="DD34" s="398">
        <f ca="1">IF(AND(DB34&lt;&gt;0,DA34&lt;&gt;0),вРазн(DB34,DA34,"s"), 0)</f>
        <v>6.9439411163330078E-5</v>
      </c>
      <c r="DE34" s="462">
        <f t="shared" ca="1" si="140"/>
        <v>6</v>
      </c>
      <c r="DF34" s="390">
        <f t="shared" ca="1" si="66"/>
        <v>0</v>
      </c>
      <c r="DG34" s="391">
        <f t="shared" ca="1" si="141"/>
        <v>0</v>
      </c>
      <c r="DH34" s="391">
        <f t="shared" ca="1" si="142"/>
        <v>0</v>
      </c>
      <c r="DI34" s="401">
        <f t="shared" ca="1" si="143"/>
        <v>41.4</v>
      </c>
      <c r="DJ34" s="401">
        <f t="shared" ca="1" si="144"/>
        <v>0</v>
      </c>
      <c r="DK34" s="392">
        <f t="shared" ca="1" si="145"/>
        <v>0</v>
      </c>
      <c r="DL34" s="392">
        <f t="shared" ca="1" si="146"/>
        <v>0</v>
      </c>
      <c r="DM34" s="392">
        <f t="shared" ca="1" si="147"/>
        <v>0</v>
      </c>
      <c r="DN34" s="462">
        <f t="shared" ca="1" si="148"/>
        <v>124.19999999999999</v>
      </c>
      <c r="DO34" s="402">
        <f t="shared" ca="1" si="72"/>
        <v>0</v>
      </c>
      <c r="DP34" s="400">
        <f t="shared" ca="1" si="149"/>
        <v>0</v>
      </c>
      <c r="DQ34" s="402">
        <f t="shared" ca="1" si="72"/>
        <v>0</v>
      </c>
      <c r="DR34" s="400">
        <f t="shared" ca="1" si="150"/>
        <v>240</v>
      </c>
      <c r="DS34" s="390">
        <f t="shared" ca="1" si="75"/>
        <v>0.66597222222222219</v>
      </c>
      <c r="DT34" s="396">
        <f t="shared" ca="1" si="151"/>
        <v>0</v>
      </c>
      <c r="DU34" s="390">
        <f t="shared" ca="1" si="75"/>
        <v>0.68055555555555547</v>
      </c>
      <c r="DV34" s="396">
        <f t="shared" ca="1" si="152"/>
        <v>0</v>
      </c>
      <c r="DW34" s="459"/>
      <c r="DX34" s="459"/>
      <c r="DY34" s="459"/>
      <c r="DZ34" s="459"/>
      <c r="EA34" s="459"/>
      <c r="EB34" s="459"/>
      <c r="EC34" s="459"/>
      <c r="ED34" s="459"/>
      <c r="EE34" s="459"/>
      <c r="EF34" s="459"/>
      <c r="EG34" s="459"/>
      <c r="EH34" s="459"/>
      <c r="EI34" s="459"/>
      <c r="EJ34" s="459"/>
      <c r="EK34" s="459"/>
      <c r="EL34" s="459"/>
      <c r="EM34" s="459"/>
      <c r="EN34" s="459"/>
      <c r="EO34" s="459"/>
      <c r="EP34" s="459"/>
      <c r="EQ34" s="459"/>
      <c r="ER34" s="459"/>
      <c r="ES34" s="459"/>
      <c r="ET34" s="459"/>
      <c r="EU34" s="390" t="e">
        <f t="shared" ca="1" si="153"/>
        <v>#VALUE!</v>
      </c>
      <c r="EV34" s="391">
        <f t="shared" ca="1" si="154"/>
        <v>0</v>
      </c>
      <c r="EW34" s="392" t="e">
        <f ca="1">IF(AND(EV34&lt;&gt;0,EU34&lt;&gt;0),вПМ(EV34,EU34),"")</f>
        <v>#VALUE!</v>
      </c>
      <c r="EX34" s="391">
        <f ca="1">IF(EV34&lt;&gt;0,вРазн(EV34,EU34), 0)</f>
        <v>0</v>
      </c>
      <c r="EY34" s="396">
        <f t="shared" ca="1" si="155"/>
        <v>900</v>
      </c>
      <c r="EZ34" s="390">
        <f t="shared" ca="1" si="81"/>
        <v>0</v>
      </c>
      <c r="FA34" s="391">
        <f t="shared" ca="1" si="156"/>
        <v>0</v>
      </c>
      <c r="FB34" s="391">
        <f t="shared" ca="1" si="157"/>
        <v>0</v>
      </c>
      <c r="FC34" s="401">
        <f t="shared" ca="1" si="158"/>
        <v>71.099999999999994</v>
      </c>
      <c r="FD34" s="401">
        <f t="shared" ca="1" si="159"/>
        <v>0</v>
      </c>
      <c r="FE34" s="401">
        <f t="shared" ca="1" si="160"/>
        <v>0</v>
      </c>
      <c r="FF34" s="392">
        <f t="shared" ca="1" si="161"/>
        <v>0</v>
      </c>
      <c r="FG34" s="392">
        <f t="shared" ca="1" si="162"/>
        <v>0</v>
      </c>
      <c r="FH34" s="462">
        <f t="shared" ca="1" si="163"/>
        <v>213.29999999999998</v>
      </c>
      <c r="FI34" s="403"/>
    </row>
    <row r="35" spans="1:165" s="20" customFormat="1" x14ac:dyDescent="0.25">
      <c r="A35" s="253">
        <f>стартоваяВедомость!B35</f>
        <v>30</v>
      </c>
      <c r="B35" s="241" t="str">
        <f t="shared" ca="1" si="1"/>
        <v>Hyundai Solaris</v>
      </c>
      <c r="C35" s="241" t="str">
        <f t="shared" ca="1" si="2"/>
        <v>Рудаков Александр</v>
      </c>
      <c r="D35" s="241" t="str">
        <f t="shared" ca="1" si="3"/>
        <v>Мирошниченко Игорь</v>
      </c>
      <c r="E35" s="241" t="str">
        <f t="shared" ca="1" si="4"/>
        <v>Рославль</v>
      </c>
      <c r="F35" s="241" t="str">
        <f t="shared" ca="1" si="5"/>
        <v>Light, Кубок</v>
      </c>
      <c r="G35" s="487">
        <f t="shared" ca="1" si="90"/>
        <v>3081.6</v>
      </c>
      <c r="H35" s="487">
        <f t="shared" ca="1" si="91"/>
        <v>1080</v>
      </c>
      <c r="I35" s="487">
        <f t="shared" ca="1" si="92"/>
        <v>801.59999999999991</v>
      </c>
      <c r="J35" s="487">
        <f t="shared" ca="1" si="93"/>
        <v>1200</v>
      </c>
      <c r="K35" s="242">
        <f t="shared" ca="1" si="9"/>
        <v>0.43472222222222218</v>
      </c>
      <c r="L35" s="122">
        <f t="shared" ca="1" si="94"/>
        <v>0.43472222222222223</v>
      </c>
      <c r="M35" s="243" t="str">
        <f ca="1">IF(L35&lt;&gt;0,вПМ(L35,K35),"")</f>
        <v/>
      </c>
      <c r="N35" s="122">
        <f ca="1">IF(L35&lt;&gt;0,вРазн(L35,K35), 0)</f>
        <v>0</v>
      </c>
      <c r="O35" s="301">
        <f t="shared" ca="1" si="95"/>
        <v>0</v>
      </c>
      <c r="P35" s="300">
        <f t="shared" ca="1" si="12"/>
        <v>4.86111119389534E-2</v>
      </c>
      <c r="Q35" s="294"/>
      <c r="R35" s="242">
        <f t="shared" ca="1" si="96"/>
        <v>0.48333333416117563</v>
      </c>
      <c r="S35" s="122">
        <f t="shared" ca="1" si="97"/>
        <v>0.48333333333333334</v>
      </c>
      <c r="T35" s="243" t="str">
        <f ca="1">IF(S35&lt;&gt;0,вПМ(S35,R35),"")</f>
        <v/>
      </c>
      <c r="U35" s="122">
        <f ca="1">IF(S35&lt;&gt;0,вРазн(S35,R35), 0)</f>
        <v>0</v>
      </c>
      <c r="V35" s="301">
        <f t="shared" ca="1" si="98"/>
        <v>0</v>
      </c>
      <c r="W35" s="300">
        <f t="shared" ca="1" si="16"/>
        <v>4.86111119389534E-2</v>
      </c>
      <c r="X35" s="122"/>
      <c r="Y35" s="294">
        <f t="shared" ca="1" si="99"/>
        <v>0</v>
      </c>
      <c r="Z35" s="242">
        <f t="shared" ca="1" si="100"/>
        <v>0.53472222305006456</v>
      </c>
      <c r="AA35" s="122">
        <f t="shared" ca="1" si="101"/>
        <v>0.53472222222222221</v>
      </c>
      <c r="AB35" s="243" t="str">
        <f ca="1">IF(AA35&lt;&gt;0,вПМ(AA35,Z35),"")</f>
        <v/>
      </c>
      <c r="AC35" s="122">
        <f ca="1">IF(AA35&lt;&gt;0,вРазн(AA35,Z35), 0)</f>
        <v>0</v>
      </c>
      <c r="AD35" s="301">
        <f t="shared" ca="1" si="102"/>
        <v>0</v>
      </c>
      <c r="AE35" s="300">
        <f t="shared" ca="1" si="21"/>
        <v>2.43055559694767E-2</v>
      </c>
      <c r="AF35" s="122"/>
      <c r="AG35" s="294">
        <f t="shared" ca="1" si="103"/>
        <v>0</v>
      </c>
      <c r="AH35" s="242">
        <f t="shared" ca="1" si="104"/>
        <v>0.55902777819169891</v>
      </c>
      <c r="AI35" s="122">
        <f t="shared" ca="1" si="105"/>
        <v>0.56111111111111112</v>
      </c>
      <c r="AJ35" s="243" t="str">
        <f ca="1">IF(AI35&lt;&gt;0,вПМ(AI35,AH35),"")</f>
        <v>+</v>
      </c>
      <c r="AK35" s="122">
        <f ca="1">IF(AI35&lt;&gt;0,вРазн(AI35,AH35), 0)</f>
        <v>2.0833015441894531E-3</v>
      </c>
      <c r="AL35" s="301">
        <f t="shared" ca="1" si="106"/>
        <v>180</v>
      </c>
      <c r="AM35" s="300">
        <f t="shared" ca="1" si="26"/>
        <v>2.43055559694767E-2</v>
      </c>
      <c r="AN35" s="122"/>
      <c r="AO35" s="294">
        <f t="shared" ca="1" si="107"/>
        <v>0</v>
      </c>
      <c r="AP35" s="242">
        <f t="shared" ca="1" si="108"/>
        <v>0.58541666708058782</v>
      </c>
      <c r="AQ35" s="122">
        <f t="shared" ca="1" si="109"/>
        <v>0.5854166666666667</v>
      </c>
      <c r="AR35" s="243" t="str">
        <f ca="1">IF(AQ35&lt;&gt;0,вПМ(AQ35,AP35),"")</f>
        <v/>
      </c>
      <c r="AS35" s="122">
        <f ca="1">IF(AQ35&lt;&gt;0,вРазн(AQ35,AP35), 0)</f>
        <v>0</v>
      </c>
      <c r="AT35" s="301">
        <f t="shared" ca="1" si="110"/>
        <v>0</v>
      </c>
      <c r="AU35" s="300">
        <f t="shared" ca="1" si="31"/>
        <v>3.125E-2</v>
      </c>
      <c r="AV35" s="122"/>
      <c r="AW35" s="294">
        <f t="shared" ca="1" si="111"/>
        <v>0</v>
      </c>
      <c r="AX35" s="242">
        <f t="shared" ca="1" si="112"/>
        <v>0.61875000000000002</v>
      </c>
      <c r="AY35" s="122">
        <f t="shared" ca="1" si="113"/>
        <v>0.61875000000000002</v>
      </c>
      <c r="AZ35" s="243" t="str">
        <f ca="1">IF(AY35&lt;&gt;0,вПМ(AY35,AX35),"")</f>
        <v/>
      </c>
      <c r="BA35" s="122">
        <f ca="1">IF(AY35&lt;&gt;0,вРазн(AY35,AX35), 0)</f>
        <v>0</v>
      </c>
      <c r="BB35" s="301">
        <f t="shared" ca="1" si="114"/>
        <v>0</v>
      </c>
      <c r="BC35" s="300">
        <f t="shared" ca="1" si="36"/>
        <v>4.1666667908430099E-2</v>
      </c>
      <c r="BD35" s="122"/>
      <c r="BE35" s="294">
        <f t="shared" ca="1" si="115"/>
        <v>0</v>
      </c>
      <c r="BF35" s="242">
        <f t="shared" ca="1" si="116"/>
        <v>0.66041666790843012</v>
      </c>
      <c r="BG35" s="122">
        <f t="shared" ca="1" si="117"/>
        <v>0.66041666666666665</v>
      </c>
      <c r="BH35" s="243" t="str">
        <f ca="1">IF(BG35&lt;&gt;0,вПМ(BG35,BF35),"")</f>
        <v/>
      </c>
      <c r="BI35" s="122">
        <f ca="1">IF(BG35&lt;&gt;0,вРазн(BG35,BF35), 0)</f>
        <v>0</v>
      </c>
      <c r="BJ35" s="301">
        <f t="shared" ca="1" si="118"/>
        <v>0</v>
      </c>
      <c r="BK35" s="300">
        <f t="shared" ca="1" si="41"/>
        <v>2.777777798473835E-2</v>
      </c>
      <c r="BL35" s="122"/>
      <c r="BM35" s="294">
        <f t="shared" ca="1" si="119"/>
        <v>0</v>
      </c>
      <c r="BN35" s="242">
        <f t="shared" ca="1" si="120"/>
        <v>0.688194444651405</v>
      </c>
      <c r="BO35" s="122">
        <f t="shared" ca="1" si="121"/>
        <v>0.68541666666666667</v>
      </c>
      <c r="BP35" s="243" t="str">
        <f ca="1">IF(BO35&lt;&gt;0,вПМ(BO35,BN35),"")</f>
        <v>-</v>
      </c>
      <c r="BQ35" s="122">
        <f ca="1">IF(BO35&lt;&gt;0,вРазн(BO35,BN35), 0)</f>
        <v>2.7778148651123047E-3</v>
      </c>
      <c r="BR35" s="244">
        <f t="shared" ca="1" si="122"/>
        <v>0</v>
      </c>
      <c r="BS35" s="242">
        <f t="shared" ca="1" si="46"/>
        <v>0</v>
      </c>
      <c r="BT35" s="122">
        <f t="shared" ca="1" si="123"/>
        <v>0</v>
      </c>
      <c r="BU35" s="122">
        <f t="shared" ca="1" si="124"/>
        <v>0</v>
      </c>
      <c r="BV35" s="248">
        <f t="shared" ca="1" si="125"/>
        <v>61.4</v>
      </c>
      <c r="BW35" s="248">
        <f t="shared" ca="1" si="126"/>
        <v>0</v>
      </c>
      <c r="BX35" s="243">
        <f t="shared" ca="1" si="127"/>
        <v>0</v>
      </c>
      <c r="BY35" s="243" t="str">
        <f t="shared" ca="1" si="128"/>
        <v>да</v>
      </c>
      <c r="BZ35" s="243">
        <f t="shared" ca="1" si="129"/>
        <v>0</v>
      </c>
      <c r="CA35" s="463">
        <f t="shared" ca="1" si="130"/>
        <v>244.2</v>
      </c>
      <c r="CB35" s="242">
        <f t="shared" ca="1" si="52"/>
        <v>0.4861111111111111</v>
      </c>
      <c r="CC35" s="122">
        <f t="shared" ca="1" si="131"/>
        <v>0.4861111111111111</v>
      </c>
      <c r="CD35" s="122">
        <f ca="1">IF(OR(CB35=0,CC35=0),0,вРазн(CC35,CB35))</f>
        <v>0</v>
      </c>
      <c r="CE35" s="122"/>
      <c r="CF35" s="122"/>
      <c r="CG35" s="247">
        <f t="shared" ca="1" si="132"/>
        <v>0.49390046296296297</v>
      </c>
      <c r="CH35" s="245">
        <f t="shared" ca="1" si="54"/>
        <v>0.49421296296296297</v>
      </c>
      <c r="CI35" s="240" t="str">
        <f ca="1">IF(CH35&lt;&gt;0,вПМ(CH35,CG35,"s"),"")</f>
        <v>+</v>
      </c>
      <c r="CJ35" s="245">
        <f ca="1">IF(CH35&lt;&gt;0,вРазн(CH35,CG35,"s"), 0)</f>
        <v>3.1250715255737305E-4</v>
      </c>
      <c r="CK35" s="463">
        <f t="shared" ca="1" si="133"/>
        <v>27</v>
      </c>
      <c r="CL35" s="247">
        <f t="shared" ca="1" si="134"/>
        <v>0.50847222222222221</v>
      </c>
      <c r="CM35" s="245">
        <f t="shared" ca="1" si="57"/>
        <v>0.50851851851851848</v>
      </c>
      <c r="CN35" s="243" t="str">
        <f ca="1">IF(AND(CM35&lt;&gt;0,CL35&lt;&gt;0),вПМ(CM35,CL35,"s"),"")</f>
        <v>+</v>
      </c>
      <c r="CO35" s="245">
        <f ca="1">IF(AND(CM35&lt;&gt;0,CL35&lt;&gt;0),вРазн(CM35,CL35,"s"), 0)</f>
        <v>4.6312808990478516E-5</v>
      </c>
      <c r="CP35" s="463">
        <f t="shared" ca="1" si="135"/>
        <v>4</v>
      </c>
      <c r="CQ35" s="242">
        <f t="shared" ca="1" si="59"/>
        <v>0.58750000000000002</v>
      </c>
      <c r="CR35" s="122">
        <f t="shared" ca="1" si="136"/>
        <v>0.58750000000000002</v>
      </c>
      <c r="CS35" s="122">
        <f ca="1">IF(OR(CQ35=0,CR35=0),0,вРазн(CR35,CQ35))</f>
        <v>0</v>
      </c>
      <c r="CT35" s="122"/>
      <c r="CU35" s="122"/>
      <c r="CV35" s="247">
        <f t="shared" ca="1" si="137"/>
        <v>0.59445601851851859</v>
      </c>
      <c r="CW35" s="245">
        <f t="shared" ca="1" si="61"/>
        <v>0.59495370370370371</v>
      </c>
      <c r="CX35" s="240" t="str">
        <f ca="1">IF(CW35&lt;&gt;0,вПМ(CW35,CV35,"s"),"")</f>
        <v>+</v>
      </c>
      <c r="CY35" s="245">
        <f ca="1">IF(CW35&lt;&gt;0,вРазн(CW35,CV35,"s"), 0)</f>
        <v>4.9769878387451172E-4</v>
      </c>
      <c r="CZ35" s="463">
        <f t="shared" ca="1" si="138"/>
        <v>43</v>
      </c>
      <c r="DA35" s="247">
        <f t="shared" ca="1" si="139"/>
        <v>0.59543981481481478</v>
      </c>
      <c r="DB35" s="245">
        <f t="shared" ca="1" si="64"/>
        <v>0.59542824074074074</v>
      </c>
      <c r="DC35" s="243" t="str">
        <f ca="1">IF(AND(DB35&lt;&gt;0,DA35&lt;&gt;0),вПМ(DB35,DA35,"s"),"")</f>
        <v>-</v>
      </c>
      <c r="DD35" s="245">
        <f ca="1">IF(AND(DB35&lt;&gt;0,DA35&lt;&gt;0),вРазн(DB35,DA35,"s"), 0)</f>
        <v>1.1563301086425781E-5</v>
      </c>
      <c r="DE35" s="463">
        <f t="shared" ca="1" si="140"/>
        <v>1</v>
      </c>
      <c r="DF35" s="242">
        <f t="shared" ca="1" si="66"/>
        <v>0</v>
      </c>
      <c r="DG35" s="122">
        <f t="shared" ca="1" si="141"/>
        <v>0</v>
      </c>
      <c r="DH35" s="122">
        <f t="shared" ca="1" si="142"/>
        <v>0</v>
      </c>
      <c r="DI35" s="248">
        <f t="shared" ca="1" si="143"/>
        <v>40.799999999999997</v>
      </c>
      <c r="DJ35" s="248">
        <f t="shared" ca="1" si="144"/>
        <v>0</v>
      </c>
      <c r="DK35" s="243">
        <f t="shared" ca="1" si="145"/>
        <v>0</v>
      </c>
      <c r="DL35" s="243" t="str">
        <f t="shared" ca="1" si="146"/>
        <v>да</v>
      </c>
      <c r="DM35" s="243" t="str">
        <f t="shared" ca="1" si="147"/>
        <v>да</v>
      </c>
      <c r="DN35" s="463">
        <f t="shared" ca="1" si="148"/>
        <v>482.4</v>
      </c>
      <c r="DO35" s="249">
        <f t="shared" ca="1" si="72"/>
        <v>0</v>
      </c>
      <c r="DP35" s="246">
        <f t="shared" ca="1" si="149"/>
        <v>0</v>
      </c>
      <c r="DQ35" s="249">
        <f t="shared" ca="1" si="72"/>
        <v>0</v>
      </c>
      <c r="DR35" s="246">
        <f t="shared" ca="1" si="150"/>
        <v>1200</v>
      </c>
      <c r="DS35" s="242">
        <f t="shared" ca="1" si="75"/>
        <v>0.66666666666666663</v>
      </c>
      <c r="DT35" s="244">
        <f t="shared" ca="1" si="151"/>
        <v>0</v>
      </c>
      <c r="DU35" s="242">
        <f t="shared" ca="1" si="75"/>
        <v>0</v>
      </c>
      <c r="DV35" s="244">
        <f t="shared" ca="1" si="152"/>
        <v>900</v>
      </c>
      <c r="DW35" s="459"/>
      <c r="DX35" s="459"/>
      <c r="DY35" s="459"/>
      <c r="DZ35" s="459"/>
      <c r="EA35" s="459"/>
      <c r="EB35" s="459"/>
      <c r="EC35" s="459"/>
      <c r="ED35" s="459"/>
      <c r="EE35" s="459"/>
      <c r="EF35" s="459"/>
      <c r="EG35" s="459"/>
      <c r="EH35" s="459"/>
      <c r="EI35" s="459"/>
      <c r="EJ35" s="459"/>
      <c r="EK35" s="459"/>
      <c r="EL35" s="459"/>
      <c r="EM35" s="459"/>
      <c r="EN35" s="459"/>
      <c r="EO35" s="459"/>
      <c r="EP35" s="459"/>
      <c r="EQ35" s="459"/>
      <c r="ER35" s="459"/>
      <c r="ES35" s="459"/>
      <c r="ET35" s="459"/>
      <c r="EU35" s="242" t="e">
        <f t="shared" ca="1" si="153"/>
        <v>#VALUE!</v>
      </c>
      <c r="EV35" s="122">
        <f t="shared" ca="1" si="154"/>
        <v>0</v>
      </c>
      <c r="EW35" s="243" t="e">
        <f ca="1">IF(AND(EV35&lt;&gt;0,EU35&lt;&gt;0),вПМ(EV35,EU35),"")</f>
        <v>#VALUE!</v>
      </c>
      <c r="EX35" s="122">
        <f ca="1">IF(EV35&lt;&gt;0,вРазн(EV35,EU35), 0)</f>
        <v>0</v>
      </c>
      <c r="EY35" s="244">
        <f t="shared" ca="1" si="155"/>
        <v>900</v>
      </c>
      <c r="EZ35" s="242">
        <f t="shared" ca="1" si="81"/>
        <v>0</v>
      </c>
      <c r="FA35" s="122">
        <f t="shared" ca="1" si="156"/>
        <v>0</v>
      </c>
      <c r="FB35" s="122">
        <f t="shared" ca="1" si="157"/>
        <v>0</v>
      </c>
      <c r="FC35" s="248">
        <f t="shared" ca="1" si="158"/>
        <v>61.4</v>
      </c>
      <c r="FD35" s="248">
        <f t="shared" ca="1" si="159"/>
        <v>0</v>
      </c>
      <c r="FE35" s="248">
        <f t="shared" ca="1" si="160"/>
        <v>0</v>
      </c>
      <c r="FF35" s="243" t="str">
        <f t="shared" ca="1" si="161"/>
        <v>да</v>
      </c>
      <c r="FG35" s="243">
        <f t="shared" ca="1" si="162"/>
        <v>0</v>
      </c>
      <c r="FH35" s="463">
        <f t="shared" ca="1" si="163"/>
        <v>214.2</v>
      </c>
    </row>
    <row r="36" spans="1:165" s="236" customFormat="1" x14ac:dyDescent="0.25">
      <c r="A36" s="388">
        <f>стартоваяВедомость!B36</f>
        <v>31</v>
      </c>
      <c r="B36" s="389" t="str">
        <f t="shared" ca="1" si="1"/>
        <v>Toyota Yaris</v>
      </c>
      <c r="C36" s="389" t="str">
        <f t="shared" ca="1" si="2"/>
        <v>Мозгунова Юлия</v>
      </c>
      <c r="D36" s="389" t="str">
        <f t="shared" ca="1" si="3"/>
        <v>Пименова Наталья</v>
      </c>
      <c r="E36" s="389" t="str">
        <f t="shared" ca="1" si="4"/>
        <v>Вязьма</v>
      </c>
      <c r="F36" s="389" t="str">
        <f t="shared" ca="1" si="5"/>
        <v>Light, Кубок</v>
      </c>
      <c r="G36" s="486">
        <f t="shared" ca="1" si="90"/>
        <v>1629.6</v>
      </c>
      <c r="H36" s="486">
        <f t="shared" ca="1" si="91"/>
        <v>120</v>
      </c>
      <c r="I36" s="486">
        <f t="shared" ca="1" si="92"/>
        <v>549.6</v>
      </c>
      <c r="J36" s="486">
        <f t="shared" ca="1" si="93"/>
        <v>960</v>
      </c>
      <c r="K36" s="390">
        <f t="shared" ca="1" si="9"/>
        <v>0.43541666666666662</v>
      </c>
      <c r="L36" s="391">
        <f t="shared" ca="1" si="94"/>
        <v>0.43541666666666662</v>
      </c>
      <c r="M36" s="392" t="str">
        <f ca="1">IF(L36&lt;&gt;0,вПМ(L36,K36),"")</f>
        <v/>
      </c>
      <c r="N36" s="391">
        <f ca="1">IF(L36&lt;&gt;0,вРазн(L36,K36), 0)</f>
        <v>0</v>
      </c>
      <c r="O36" s="393">
        <f t="shared" ca="1" si="95"/>
        <v>0</v>
      </c>
      <c r="P36" s="394">
        <f t="shared" ca="1" si="12"/>
        <v>4.86111119389534E-2</v>
      </c>
      <c r="Q36" s="395"/>
      <c r="R36" s="390">
        <f t="shared" ca="1" si="96"/>
        <v>0.48402777860562002</v>
      </c>
      <c r="S36" s="391">
        <f t="shared" ca="1" si="97"/>
        <v>0.48402777777777778</v>
      </c>
      <c r="T36" s="392" t="str">
        <f ca="1">IF(S36&lt;&gt;0,вПМ(S36,R36),"")</f>
        <v/>
      </c>
      <c r="U36" s="391">
        <f ca="1">IF(S36&lt;&gt;0,вРазн(S36,R36), 0)</f>
        <v>0</v>
      </c>
      <c r="V36" s="393">
        <f t="shared" ca="1" si="98"/>
        <v>0</v>
      </c>
      <c r="W36" s="394">
        <f t="shared" ca="1" si="16"/>
        <v>4.86111119389534E-2</v>
      </c>
      <c r="X36" s="391"/>
      <c r="Y36" s="395">
        <f t="shared" ca="1" si="99"/>
        <v>0</v>
      </c>
      <c r="Z36" s="390">
        <f t="shared" ca="1" si="100"/>
        <v>0.53541666749450889</v>
      </c>
      <c r="AA36" s="391">
        <f t="shared" ca="1" si="101"/>
        <v>0.53541666666666665</v>
      </c>
      <c r="AB36" s="392" t="str">
        <f ca="1">IF(AA36&lt;&gt;0,вПМ(AA36,Z36),"")</f>
        <v/>
      </c>
      <c r="AC36" s="391">
        <f ca="1">IF(AA36&lt;&gt;0,вРазн(AA36,Z36), 0)</f>
        <v>0</v>
      </c>
      <c r="AD36" s="393">
        <f t="shared" ca="1" si="102"/>
        <v>0</v>
      </c>
      <c r="AE36" s="394">
        <f t="shared" ca="1" si="21"/>
        <v>2.43055559694767E-2</v>
      </c>
      <c r="AF36" s="391"/>
      <c r="AG36" s="395">
        <f t="shared" ca="1" si="103"/>
        <v>0</v>
      </c>
      <c r="AH36" s="390">
        <f t="shared" ca="1" si="104"/>
        <v>0.55972222263614335</v>
      </c>
      <c r="AI36" s="391">
        <f t="shared" ca="1" si="105"/>
        <v>0.56111111111111112</v>
      </c>
      <c r="AJ36" s="392" t="str">
        <f ca="1">IF(AI36&lt;&gt;0,вПМ(AI36,AH36),"")</f>
        <v>+</v>
      </c>
      <c r="AK36" s="391">
        <f ca="1">IF(AI36&lt;&gt;0,вРазн(AI36,AH36), 0)</f>
        <v>1.388847827911377E-3</v>
      </c>
      <c r="AL36" s="393">
        <f t="shared" ca="1" si="106"/>
        <v>120</v>
      </c>
      <c r="AM36" s="394">
        <f t="shared" ca="1" si="26"/>
        <v>2.43055559694767E-2</v>
      </c>
      <c r="AN36" s="391"/>
      <c r="AO36" s="395">
        <f t="shared" ca="1" si="107"/>
        <v>0</v>
      </c>
      <c r="AP36" s="390">
        <f t="shared" ca="1" si="108"/>
        <v>0.58541666708058782</v>
      </c>
      <c r="AQ36" s="391">
        <f t="shared" ca="1" si="109"/>
        <v>0.5854166666666667</v>
      </c>
      <c r="AR36" s="392" t="str">
        <f ca="1">IF(AQ36&lt;&gt;0,вПМ(AQ36,AP36),"")</f>
        <v/>
      </c>
      <c r="AS36" s="391">
        <f ca="1">IF(AQ36&lt;&gt;0,вРазн(AQ36,AP36), 0)</f>
        <v>0</v>
      </c>
      <c r="AT36" s="393">
        <f t="shared" ca="1" si="110"/>
        <v>0</v>
      </c>
      <c r="AU36" s="394">
        <f t="shared" ca="1" si="31"/>
        <v>3.125E-2</v>
      </c>
      <c r="AV36" s="391"/>
      <c r="AW36" s="395">
        <f t="shared" ca="1" si="111"/>
        <v>0</v>
      </c>
      <c r="AX36" s="390">
        <f t="shared" ca="1" si="112"/>
        <v>0.62013888888888891</v>
      </c>
      <c r="AY36" s="391">
        <f t="shared" ca="1" si="113"/>
        <v>0.62013888888888891</v>
      </c>
      <c r="AZ36" s="392" t="str">
        <f ca="1">IF(AY36&lt;&gt;0,вПМ(AY36,AX36),"")</f>
        <v/>
      </c>
      <c r="BA36" s="391">
        <f ca="1">IF(AY36&lt;&gt;0,вРазн(AY36,AX36), 0)</f>
        <v>0</v>
      </c>
      <c r="BB36" s="393">
        <f t="shared" ca="1" si="114"/>
        <v>0</v>
      </c>
      <c r="BC36" s="394">
        <f t="shared" ca="1" si="36"/>
        <v>4.1666667908430099E-2</v>
      </c>
      <c r="BD36" s="391"/>
      <c r="BE36" s="395">
        <f t="shared" ca="1" si="115"/>
        <v>0</v>
      </c>
      <c r="BF36" s="390">
        <f t="shared" ca="1" si="116"/>
        <v>0.66180555679731901</v>
      </c>
      <c r="BG36" s="391">
        <f t="shared" ca="1" si="117"/>
        <v>0.66180555555555554</v>
      </c>
      <c r="BH36" s="392" t="str">
        <f ca="1">IF(BG36&lt;&gt;0,вПМ(BG36,BF36),"")</f>
        <v/>
      </c>
      <c r="BI36" s="391">
        <f ca="1">IF(BG36&lt;&gt;0,вРазн(BG36,BF36), 0)</f>
        <v>0</v>
      </c>
      <c r="BJ36" s="393">
        <f t="shared" ca="1" si="118"/>
        <v>0</v>
      </c>
      <c r="BK36" s="394">
        <f t="shared" ca="1" si="41"/>
        <v>2.777777798473835E-2</v>
      </c>
      <c r="BL36" s="391"/>
      <c r="BM36" s="395">
        <f t="shared" ca="1" si="119"/>
        <v>0</v>
      </c>
      <c r="BN36" s="390">
        <f t="shared" ca="1" si="120"/>
        <v>0.68958333354029389</v>
      </c>
      <c r="BO36" s="391">
        <f t="shared" ca="1" si="121"/>
        <v>0.6875</v>
      </c>
      <c r="BP36" s="392" t="str">
        <f ca="1">IF(BO36&lt;&gt;0,вПМ(BO36,BN36),"")</f>
        <v>-</v>
      </c>
      <c r="BQ36" s="391">
        <f ca="1">IF(BO36&lt;&gt;0,вРазн(BO36,BN36), 0)</f>
        <v>2.0833611488342285E-3</v>
      </c>
      <c r="BR36" s="396">
        <f t="shared" ca="1" si="122"/>
        <v>0</v>
      </c>
      <c r="BS36" s="390">
        <f t="shared" ca="1" si="46"/>
        <v>0</v>
      </c>
      <c r="BT36" s="391">
        <f t="shared" ca="1" si="123"/>
        <v>0</v>
      </c>
      <c r="BU36" s="391">
        <f t="shared" ca="1" si="124"/>
        <v>0</v>
      </c>
      <c r="BV36" s="401">
        <f t="shared" ca="1" si="125"/>
        <v>76.7</v>
      </c>
      <c r="BW36" s="401">
        <f t="shared" ca="1" si="126"/>
        <v>0</v>
      </c>
      <c r="BX36" s="392">
        <f t="shared" ca="1" si="127"/>
        <v>0</v>
      </c>
      <c r="BY36" s="392">
        <f t="shared" ca="1" si="128"/>
        <v>0</v>
      </c>
      <c r="BZ36" s="392">
        <f t="shared" ca="1" si="129"/>
        <v>0</v>
      </c>
      <c r="CA36" s="462">
        <f t="shared" ca="1" si="130"/>
        <v>230.10000000000002</v>
      </c>
      <c r="CB36" s="390">
        <f t="shared" ca="1" si="52"/>
        <v>0.48680555555555555</v>
      </c>
      <c r="CC36" s="391">
        <f t="shared" ca="1" si="131"/>
        <v>0.48680555555555555</v>
      </c>
      <c r="CD36" s="391">
        <f ca="1">IF(OR(CB36=0,CC36=0),0,вРазн(CC36,CB36))</f>
        <v>0</v>
      </c>
      <c r="CE36" s="391"/>
      <c r="CF36" s="391"/>
      <c r="CG36" s="397">
        <f t="shared" ca="1" si="132"/>
        <v>0.49459490740740741</v>
      </c>
      <c r="CH36" s="398">
        <f t="shared" ca="1" si="54"/>
        <v>0.49461805555555555</v>
      </c>
      <c r="CI36" s="399" t="str">
        <f ca="1">IF(CH36&lt;&gt;0,вПМ(CH36,CG36,"s"),"")</f>
        <v>+</v>
      </c>
      <c r="CJ36" s="398">
        <f ca="1">IF(CH36&lt;&gt;0,вРазн(CH36,CG36,"s"), 0)</f>
        <v>2.3156404495239258E-5</v>
      </c>
      <c r="CK36" s="462">
        <f t="shared" ca="1" si="133"/>
        <v>2</v>
      </c>
      <c r="CL36" s="397">
        <f t="shared" ca="1" si="134"/>
        <v>0.5088773148148148</v>
      </c>
      <c r="CM36" s="398">
        <f t="shared" ca="1" si="57"/>
        <v>0.5085763888888889</v>
      </c>
      <c r="CN36" s="392" t="str">
        <f ca="1">IF(AND(CM36&lt;&gt;0,CL36&lt;&gt;0),вПМ(CM36,CL36,"s"),"")</f>
        <v>-</v>
      </c>
      <c r="CO36" s="398">
        <f ca="1">IF(AND(CM36&lt;&gt;0,CL36&lt;&gt;0),вРазн(CM36,CL36,"s"), 0)</f>
        <v>3.0094385147094727E-4</v>
      </c>
      <c r="CP36" s="462">
        <f t="shared" ca="1" si="135"/>
        <v>26</v>
      </c>
      <c r="CQ36" s="390">
        <f t="shared" ca="1" si="59"/>
        <v>0.58888888888888891</v>
      </c>
      <c r="CR36" s="391">
        <f t="shared" ca="1" si="136"/>
        <v>0.58888888888888891</v>
      </c>
      <c r="CS36" s="391">
        <f ca="1">IF(OR(CQ36=0,CR36=0),0,вРазн(CR36,CQ36))</f>
        <v>0</v>
      </c>
      <c r="CT36" s="391"/>
      <c r="CU36" s="391"/>
      <c r="CV36" s="397">
        <f t="shared" ca="1" si="137"/>
        <v>0.59584490740740748</v>
      </c>
      <c r="CW36" s="398">
        <f t="shared" ca="1" si="61"/>
        <v>0.59607638888888892</v>
      </c>
      <c r="CX36" s="399" t="str">
        <f ca="1">IF(CW36&lt;&gt;0,вПМ(CW36,CV36,"s"),"")</f>
        <v>+</v>
      </c>
      <c r="CY36" s="398">
        <f ca="1">IF(CW36&lt;&gt;0,вРазн(CW36,CV36,"s"), 0)</f>
        <v>2.314448356628418E-4</v>
      </c>
      <c r="CZ36" s="462">
        <f t="shared" ca="1" si="138"/>
        <v>20</v>
      </c>
      <c r="DA36" s="397">
        <f t="shared" ca="1" si="139"/>
        <v>0.5965625</v>
      </c>
      <c r="DB36" s="398">
        <f t="shared" ca="1" si="64"/>
        <v>0.59642361111111108</v>
      </c>
      <c r="DC36" s="392" t="str">
        <f ca="1">IF(AND(DB36&lt;&gt;0,DA36&lt;&gt;0),вПМ(DB36,DA36,"s"),"")</f>
        <v>-</v>
      </c>
      <c r="DD36" s="398">
        <f ca="1">IF(AND(DB36&lt;&gt;0,DA36&lt;&gt;0),вРазн(DB36,DA36,"s"), 0)</f>
        <v>1.3887882232666016E-4</v>
      </c>
      <c r="DE36" s="462">
        <f t="shared" ca="1" si="140"/>
        <v>12</v>
      </c>
      <c r="DF36" s="390">
        <f t="shared" ca="1" si="66"/>
        <v>0</v>
      </c>
      <c r="DG36" s="391">
        <f t="shared" ca="1" si="141"/>
        <v>0</v>
      </c>
      <c r="DH36" s="391">
        <f t="shared" ca="1" si="142"/>
        <v>0</v>
      </c>
      <c r="DI36" s="401">
        <f t="shared" ca="1" si="143"/>
        <v>66.5</v>
      </c>
      <c r="DJ36" s="401">
        <f t="shared" ca="1" si="144"/>
        <v>0</v>
      </c>
      <c r="DK36" s="392">
        <f t="shared" ca="1" si="145"/>
        <v>0</v>
      </c>
      <c r="DL36" s="392" t="str">
        <f t="shared" ca="1" si="146"/>
        <v>да</v>
      </c>
      <c r="DM36" s="392">
        <f t="shared" ca="1" si="147"/>
        <v>0</v>
      </c>
      <c r="DN36" s="462">
        <f t="shared" ca="1" si="148"/>
        <v>259.5</v>
      </c>
      <c r="DO36" s="402">
        <f t="shared" ca="1" si="72"/>
        <v>0</v>
      </c>
      <c r="DP36" s="400">
        <f t="shared" ca="1" si="149"/>
        <v>0</v>
      </c>
      <c r="DQ36" s="402">
        <f t="shared" ca="1" si="72"/>
        <v>0</v>
      </c>
      <c r="DR36" s="400">
        <f t="shared" ca="1" si="150"/>
        <v>960</v>
      </c>
      <c r="DS36" s="390">
        <f t="shared" ref="DS36:DU69" ca="1" si="164">IFERROR(VLOOKUP($A36,INDIRECT(DS$6),2,FALSE),0)</f>
        <v>0.66875000000000007</v>
      </c>
      <c r="DT36" s="396">
        <f t="shared" ca="1" si="151"/>
        <v>0</v>
      </c>
      <c r="DU36" s="390">
        <f t="shared" ca="1" si="164"/>
        <v>0.68263888888888891</v>
      </c>
      <c r="DV36" s="396">
        <f t="shared" ca="1" si="152"/>
        <v>0</v>
      </c>
      <c r="DW36" s="459"/>
      <c r="DX36" s="459"/>
      <c r="DY36" s="459"/>
      <c r="DZ36" s="459"/>
      <c r="EA36" s="459"/>
      <c r="EB36" s="459"/>
      <c r="EC36" s="459"/>
      <c r="ED36" s="459"/>
      <c r="EE36" s="459"/>
      <c r="EF36" s="459"/>
      <c r="EG36" s="459"/>
      <c r="EH36" s="459"/>
      <c r="EI36" s="459"/>
      <c r="EJ36" s="459"/>
      <c r="EK36" s="459"/>
      <c r="EL36" s="459"/>
      <c r="EM36" s="459"/>
      <c r="EN36" s="459"/>
      <c r="EO36" s="459"/>
      <c r="EP36" s="459"/>
      <c r="EQ36" s="459"/>
      <c r="ER36" s="459"/>
      <c r="ES36" s="459"/>
      <c r="ET36" s="459"/>
      <c r="EU36" s="390" t="e">
        <f t="shared" ca="1" si="153"/>
        <v>#VALUE!</v>
      </c>
      <c r="EV36" s="391">
        <f t="shared" ca="1" si="154"/>
        <v>0</v>
      </c>
      <c r="EW36" s="392" t="e">
        <f ca="1">IF(AND(EV36&lt;&gt;0,EU36&lt;&gt;0),вПМ(EV36,EU36),"")</f>
        <v>#VALUE!</v>
      </c>
      <c r="EX36" s="391">
        <f ca="1">IF(EV36&lt;&gt;0,вРазн(EV36,EU36), 0)</f>
        <v>0</v>
      </c>
      <c r="EY36" s="396">
        <f t="shared" ca="1" si="155"/>
        <v>900</v>
      </c>
      <c r="EZ36" s="390">
        <f t="shared" ca="1" si="81"/>
        <v>0</v>
      </c>
      <c r="FA36" s="391">
        <f t="shared" ca="1" si="156"/>
        <v>0</v>
      </c>
      <c r="FB36" s="391">
        <f t="shared" ca="1" si="157"/>
        <v>0</v>
      </c>
      <c r="FC36" s="401">
        <f t="shared" ca="1" si="158"/>
        <v>76.7</v>
      </c>
      <c r="FD36" s="401">
        <f t="shared" ca="1" si="159"/>
        <v>0</v>
      </c>
      <c r="FE36" s="401">
        <f t="shared" ca="1" si="160"/>
        <v>0</v>
      </c>
      <c r="FF36" s="392">
        <f t="shared" ca="1" si="161"/>
        <v>0</v>
      </c>
      <c r="FG36" s="392">
        <f t="shared" ca="1" si="162"/>
        <v>0</v>
      </c>
      <c r="FH36" s="462">
        <f t="shared" ca="1" si="163"/>
        <v>230.10000000000002</v>
      </c>
      <c r="FI36" s="403"/>
    </row>
    <row r="37" spans="1:165" s="20" customFormat="1" x14ac:dyDescent="0.25">
      <c r="A37" s="253">
        <f>стартоваяВедомость!B37</f>
        <v>32</v>
      </c>
      <c r="B37" s="241" t="str">
        <f t="shared" ca="1" si="1"/>
        <v>Toyota GAIA</v>
      </c>
      <c r="C37" s="241" t="str">
        <f t="shared" ca="1" si="2"/>
        <v>Попов Степан</v>
      </c>
      <c r="D37" s="241" t="str">
        <f t="shared" ca="1" si="3"/>
        <v>Луковцев Прохор</v>
      </c>
      <c r="E37" s="241" t="str">
        <f t="shared" ca="1" si="4"/>
        <v>Смоленск</v>
      </c>
      <c r="F37" s="241" t="str">
        <f t="shared" ca="1" si="5"/>
        <v>Light, Аэропорт</v>
      </c>
      <c r="G37" s="487">
        <f t="shared" ca="1" si="90"/>
        <v>8135.4</v>
      </c>
      <c r="H37" s="487">
        <f t="shared" ca="1" si="91"/>
        <v>3480</v>
      </c>
      <c r="I37" s="487">
        <f t="shared" ca="1" si="92"/>
        <v>3935.4</v>
      </c>
      <c r="J37" s="487">
        <f t="shared" ca="1" si="93"/>
        <v>720</v>
      </c>
      <c r="K37" s="242">
        <f t="shared" ca="1" si="9"/>
        <v>0.43611111111111106</v>
      </c>
      <c r="L37" s="122">
        <f t="shared" ca="1" si="94"/>
        <v>0.43611111111111112</v>
      </c>
      <c r="M37" s="243" t="str">
        <f ca="1">IF(L37&lt;&gt;0,вПМ(L37,K37),"")</f>
        <v/>
      </c>
      <c r="N37" s="122">
        <f ca="1">IF(L37&lt;&gt;0,вРазн(L37,K37), 0)</f>
        <v>0</v>
      </c>
      <c r="O37" s="301">
        <f t="shared" ca="1" si="95"/>
        <v>0</v>
      </c>
      <c r="P37" s="300">
        <f t="shared" ca="1" si="12"/>
        <v>4.86111119389534E-2</v>
      </c>
      <c r="Q37" s="294"/>
      <c r="R37" s="242">
        <f t="shared" ca="1" si="96"/>
        <v>0.48472222305006452</v>
      </c>
      <c r="S37" s="122">
        <f t="shared" ca="1" si="97"/>
        <v>0.48472222222222222</v>
      </c>
      <c r="T37" s="243" t="str">
        <f ca="1">IF(S37&lt;&gt;0,вПМ(S37,R37),"")</f>
        <v/>
      </c>
      <c r="U37" s="122">
        <f ca="1">IF(S37&lt;&gt;0,вРазн(S37,R37), 0)</f>
        <v>0</v>
      </c>
      <c r="V37" s="301">
        <f t="shared" ca="1" si="98"/>
        <v>0</v>
      </c>
      <c r="W37" s="300">
        <f t="shared" ca="1" si="16"/>
        <v>4.86111119389534E-2</v>
      </c>
      <c r="X37" s="122"/>
      <c r="Y37" s="294">
        <f t="shared" ca="1" si="99"/>
        <v>0</v>
      </c>
      <c r="Z37" s="242">
        <f t="shared" ca="1" si="100"/>
        <v>0.53611111193895344</v>
      </c>
      <c r="AA37" s="122">
        <f t="shared" ca="1" si="101"/>
        <v>0.55486111111111114</v>
      </c>
      <c r="AB37" s="243" t="str">
        <f ca="1">IF(AA37&lt;&gt;0,вПМ(AA37,Z37),"")</f>
        <v>+</v>
      </c>
      <c r="AC37" s="122">
        <f ca="1">IF(AA37&lt;&gt;0,вРазн(AA37,Z37), 0)</f>
        <v>1.8750011920928955E-2</v>
      </c>
      <c r="AD37" s="301">
        <f t="shared" ca="1" si="102"/>
        <v>600</v>
      </c>
      <c r="AE37" s="300">
        <f t="shared" ca="1" si="21"/>
        <v>2.43055559694767E-2</v>
      </c>
      <c r="AF37" s="122"/>
      <c r="AG37" s="294">
        <f t="shared" ca="1" si="103"/>
        <v>0</v>
      </c>
      <c r="AH37" s="242">
        <f t="shared" ca="1" si="104"/>
        <v>0.57916666708058784</v>
      </c>
      <c r="AI37" s="122">
        <f t="shared" ca="1" si="105"/>
        <v>0.57986111111111105</v>
      </c>
      <c r="AJ37" s="243" t="str">
        <f ca="1">IF(AI37&lt;&gt;0,вПМ(AI37,AH37),"")</f>
        <v>+</v>
      </c>
      <c r="AK37" s="122">
        <f ca="1">IF(AI37&lt;&gt;0,вРазн(AI37,AH37), 0)</f>
        <v>6.9445371627807617E-4</v>
      </c>
      <c r="AL37" s="301">
        <f t="shared" ca="1" si="106"/>
        <v>60</v>
      </c>
      <c r="AM37" s="300">
        <f t="shared" ca="1" si="26"/>
        <v>2.43055559694767E-2</v>
      </c>
      <c r="AN37" s="122"/>
      <c r="AO37" s="294">
        <f t="shared" ca="1" si="107"/>
        <v>0</v>
      </c>
      <c r="AP37" s="242">
        <f t="shared" ca="1" si="108"/>
        <v>0.60416666708058775</v>
      </c>
      <c r="AQ37" s="122">
        <f t="shared" ca="1" si="109"/>
        <v>0.60416666666666663</v>
      </c>
      <c r="AR37" s="243" t="str">
        <f ca="1">IF(AQ37&lt;&gt;0,вПМ(AQ37,AP37),"")</f>
        <v/>
      </c>
      <c r="AS37" s="122">
        <f ca="1">IF(AQ37&lt;&gt;0,вРазн(AQ37,AP37), 0)</f>
        <v>0</v>
      </c>
      <c r="AT37" s="301">
        <f t="shared" ca="1" si="110"/>
        <v>0</v>
      </c>
      <c r="AU37" s="300">
        <f t="shared" ca="1" si="31"/>
        <v>3.125E-2</v>
      </c>
      <c r="AV37" s="122"/>
      <c r="AW37" s="294">
        <f t="shared" ca="1" si="111"/>
        <v>0</v>
      </c>
      <c r="AX37" s="242">
        <f t="shared" ca="1" si="112"/>
        <v>0.63750000000000007</v>
      </c>
      <c r="AY37" s="122">
        <f t="shared" ca="1" si="113"/>
        <v>0</v>
      </c>
      <c r="AZ37" s="243" t="str">
        <f ca="1">IF(AY37&lt;&gt;0,вПМ(AY37,AX37),"")</f>
        <v/>
      </c>
      <c r="BA37" s="122">
        <f ca="1">IF(AY37&lt;&gt;0,вРазн(AY37,AX37), 0)</f>
        <v>0</v>
      </c>
      <c r="BB37" s="301">
        <f t="shared" ca="1" si="114"/>
        <v>900</v>
      </c>
      <c r="BC37" s="300">
        <f t="shared" ca="1" si="36"/>
        <v>4.1666667908430099E-2</v>
      </c>
      <c r="BD37" s="122"/>
      <c r="BE37" s="294">
        <f t="shared" ca="1" si="115"/>
        <v>0</v>
      </c>
      <c r="BF37" s="242">
        <f t="shared" ca="1" si="116"/>
        <v>0.67916666790843017</v>
      </c>
      <c r="BG37" s="122">
        <f t="shared" ca="1" si="117"/>
        <v>0.65972222222222221</v>
      </c>
      <c r="BH37" s="243" t="str">
        <f ca="1">IF(BG37&lt;&gt;0,вПМ(BG37,BF37),"")</f>
        <v>-</v>
      </c>
      <c r="BI37" s="122">
        <f ca="1">IF(BG37&lt;&gt;0,вРазн(BG37,BF37), 0)</f>
        <v>1.9444465637207031E-2</v>
      </c>
      <c r="BJ37" s="301">
        <f t="shared" ca="1" si="118"/>
        <v>1680</v>
      </c>
      <c r="BK37" s="300">
        <f t="shared" ca="1" si="41"/>
        <v>2.777777798473835E-2</v>
      </c>
      <c r="BL37" s="122"/>
      <c r="BM37" s="294">
        <f t="shared" ca="1" si="119"/>
        <v>0</v>
      </c>
      <c r="BN37" s="242">
        <f t="shared" ca="1" si="120"/>
        <v>0.68750000020696056</v>
      </c>
      <c r="BO37" s="122">
        <f t="shared" ca="1" si="121"/>
        <v>0.69027777777777777</v>
      </c>
      <c r="BP37" s="243" t="str">
        <f ca="1">IF(BO37&lt;&gt;0,вПМ(BO37,BN37),"")</f>
        <v>+</v>
      </c>
      <c r="BQ37" s="122">
        <f ca="1">IF(BO37&lt;&gt;0,вРазн(BO37,BN37), 0)</f>
        <v>2.7777552604675293E-3</v>
      </c>
      <c r="BR37" s="244">
        <f t="shared" ca="1" si="122"/>
        <v>240</v>
      </c>
      <c r="BS37" s="242">
        <f t="shared" ca="1" si="46"/>
        <v>0</v>
      </c>
      <c r="BT37" s="122">
        <f t="shared" ca="1" si="123"/>
        <v>0</v>
      </c>
      <c r="BU37" s="122">
        <f t="shared" ca="1" si="124"/>
        <v>0</v>
      </c>
      <c r="BV37" s="248">
        <f t="shared" ca="1" si="125"/>
        <v>90.8</v>
      </c>
      <c r="BW37" s="248">
        <f t="shared" ca="1" si="126"/>
        <v>0</v>
      </c>
      <c r="BX37" s="243">
        <f t="shared" ca="1" si="127"/>
        <v>0</v>
      </c>
      <c r="BY37" s="243">
        <f t="shared" ca="1" si="128"/>
        <v>0</v>
      </c>
      <c r="BZ37" s="243">
        <f t="shared" ca="1" si="129"/>
        <v>0</v>
      </c>
      <c r="CA37" s="463">
        <f t="shared" ca="1" si="130"/>
        <v>272.39999999999998</v>
      </c>
      <c r="CB37" s="242">
        <f t="shared" ca="1" si="52"/>
        <v>0.48749999999999999</v>
      </c>
      <c r="CC37" s="122">
        <f t="shared" ca="1" si="131"/>
        <v>0.48749999999999999</v>
      </c>
      <c r="CD37" s="122">
        <f ca="1">IF(OR(CB37=0,CC37=0),0,вРазн(CC37,CB37))</f>
        <v>0</v>
      </c>
      <c r="CE37" s="122"/>
      <c r="CF37" s="122"/>
      <c r="CG37" s="247">
        <f t="shared" ca="1" si="132"/>
        <v>0.49528935185185186</v>
      </c>
      <c r="CH37" s="245">
        <f t="shared" ca="1" si="54"/>
        <v>0.49601851851851847</v>
      </c>
      <c r="CI37" s="240" t="str">
        <f ca="1">IF(CH37&lt;&gt;0,вПМ(CH37,CG37,"s"),"")</f>
        <v>+</v>
      </c>
      <c r="CJ37" s="245">
        <f ca="1">IF(CH37&lt;&gt;0,вРазн(CH37,CG37,"s"), 0)</f>
        <v>7.2917342185974121E-4</v>
      </c>
      <c r="CK37" s="463">
        <f t="shared" ca="1" si="133"/>
        <v>63</v>
      </c>
      <c r="CL37" s="247">
        <f t="shared" ca="1" si="134"/>
        <v>0.51027777777777772</v>
      </c>
      <c r="CM37" s="245">
        <f t="shared" ca="1" si="57"/>
        <v>0</v>
      </c>
      <c r="CN37" s="243" t="str">
        <f ca="1">IF(AND(CM37&lt;&gt;0,CL37&lt;&gt;0),вПМ(CM37,CL37,"s"),"")</f>
        <v/>
      </c>
      <c r="CO37" s="245">
        <f ca="1">IF(AND(CM37&lt;&gt;0,CL37&lt;&gt;0),вРазн(CM37,CL37,"s"), 0)</f>
        <v>0</v>
      </c>
      <c r="CP37" s="463">
        <f t="shared" ca="1" si="135"/>
        <v>900</v>
      </c>
      <c r="CQ37" s="242">
        <f t="shared" ca="1" si="59"/>
        <v>0.60625000000000007</v>
      </c>
      <c r="CR37" s="122">
        <f t="shared" ca="1" si="136"/>
        <v>0.60625000000000007</v>
      </c>
      <c r="CS37" s="122">
        <f ca="1">IF(OR(CQ37=0,CR37=0),0,вРазн(CR37,CQ37))</f>
        <v>0</v>
      </c>
      <c r="CT37" s="122"/>
      <c r="CU37" s="122"/>
      <c r="CV37" s="247">
        <f t="shared" ca="1" si="137"/>
        <v>0.61320601851851864</v>
      </c>
      <c r="CW37" s="245">
        <f t="shared" ca="1" si="61"/>
        <v>0</v>
      </c>
      <c r="CX37" s="240" t="str">
        <f ca="1">IF(CW37&lt;&gt;0,вПМ(CW37,CV37,"s"),"")</f>
        <v/>
      </c>
      <c r="CY37" s="245">
        <f ca="1">IF(CW37&lt;&gt;0,вРазн(CW37,CV37,"s"), 0)</f>
        <v>0</v>
      </c>
      <c r="CZ37" s="463">
        <f t="shared" ca="1" si="138"/>
        <v>1800</v>
      </c>
      <c r="DA37" s="247">
        <f t="shared" ca="1" si="139"/>
        <v>0</v>
      </c>
      <c r="DB37" s="245">
        <f t="shared" ca="1" si="64"/>
        <v>0</v>
      </c>
      <c r="DC37" s="243" t="str">
        <f ca="1">IF(AND(DB37&lt;&gt;0,DA37&lt;&gt;0),вПМ(DB37,DA37,"s"),"")</f>
        <v/>
      </c>
      <c r="DD37" s="245">
        <f ca="1">IF(AND(DB37&lt;&gt;0,DA37&lt;&gt;0),вРазн(DB37,DA37,"s"), 0)</f>
        <v>0</v>
      </c>
      <c r="DE37" s="463">
        <f t="shared" ca="1" si="140"/>
        <v>0</v>
      </c>
      <c r="DF37" s="242">
        <f t="shared" ca="1" si="66"/>
        <v>0</v>
      </c>
      <c r="DG37" s="122">
        <f t="shared" ca="1" si="141"/>
        <v>0</v>
      </c>
      <c r="DH37" s="122">
        <f t="shared" ca="1" si="142"/>
        <v>0</v>
      </c>
      <c r="DI37" s="248">
        <f t="shared" ca="1" si="143"/>
        <v>0</v>
      </c>
      <c r="DJ37" s="248">
        <f t="shared" ca="1" si="144"/>
        <v>0</v>
      </c>
      <c r="DK37" s="243">
        <f t="shared" ca="1" si="145"/>
        <v>0</v>
      </c>
      <c r="DL37" s="243">
        <f t="shared" ca="1" si="146"/>
        <v>0</v>
      </c>
      <c r="DM37" s="243">
        <f t="shared" ca="1" si="147"/>
        <v>0</v>
      </c>
      <c r="DN37" s="463">
        <f t="shared" ca="1" si="148"/>
        <v>900</v>
      </c>
      <c r="DO37" s="249">
        <f t="shared" ca="1" si="72"/>
        <v>0</v>
      </c>
      <c r="DP37" s="246">
        <f t="shared" ca="1" si="149"/>
        <v>0</v>
      </c>
      <c r="DQ37" s="249">
        <f t="shared" ca="1" si="72"/>
        <v>0</v>
      </c>
      <c r="DR37" s="246">
        <f t="shared" ca="1" si="150"/>
        <v>720</v>
      </c>
      <c r="DS37" s="242">
        <f t="shared" ca="1" si="164"/>
        <v>0.67152777777777783</v>
      </c>
      <c r="DT37" s="244">
        <f t="shared" ca="1" si="151"/>
        <v>0</v>
      </c>
      <c r="DU37" s="242">
        <f t="shared" ca="1" si="164"/>
        <v>0.68402777777777779</v>
      </c>
      <c r="DV37" s="244">
        <f t="shared" ca="1" si="152"/>
        <v>0</v>
      </c>
      <c r="DW37" s="459"/>
      <c r="DX37" s="459"/>
      <c r="DY37" s="459"/>
      <c r="DZ37" s="459"/>
      <c r="EA37" s="459"/>
      <c r="EB37" s="459"/>
      <c r="EC37" s="459"/>
      <c r="ED37" s="459"/>
      <c r="EE37" s="459"/>
      <c r="EF37" s="459"/>
      <c r="EG37" s="459"/>
      <c r="EH37" s="459"/>
      <c r="EI37" s="459"/>
      <c r="EJ37" s="459"/>
      <c r="EK37" s="459"/>
      <c r="EL37" s="459"/>
      <c r="EM37" s="459"/>
      <c r="EN37" s="459"/>
      <c r="EO37" s="459"/>
      <c r="EP37" s="459"/>
      <c r="EQ37" s="459"/>
      <c r="ER37" s="459"/>
      <c r="ES37" s="459"/>
      <c r="ET37" s="459"/>
      <c r="EU37" s="242" t="e">
        <f t="shared" ca="1" si="153"/>
        <v>#VALUE!</v>
      </c>
      <c r="EV37" s="122">
        <f t="shared" ca="1" si="154"/>
        <v>0</v>
      </c>
      <c r="EW37" s="243" t="e">
        <f ca="1">IF(AND(EV37&lt;&gt;0,EU37&lt;&gt;0),вПМ(EV37,EU37),"")</f>
        <v>#VALUE!</v>
      </c>
      <c r="EX37" s="122">
        <f ca="1">IF(EV37&lt;&gt;0,вРазн(EV37,EU37), 0)</f>
        <v>0</v>
      </c>
      <c r="EY37" s="244">
        <f t="shared" ca="1" si="155"/>
        <v>900</v>
      </c>
      <c r="EZ37" s="242">
        <f t="shared" ca="1" si="81"/>
        <v>0</v>
      </c>
      <c r="FA37" s="122">
        <f t="shared" ca="1" si="156"/>
        <v>0</v>
      </c>
      <c r="FB37" s="122">
        <f t="shared" ca="1" si="157"/>
        <v>0</v>
      </c>
      <c r="FC37" s="248">
        <f t="shared" ca="1" si="158"/>
        <v>90.8</v>
      </c>
      <c r="FD37" s="248">
        <f t="shared" ca="1" si="159"/>
        <v>0</v>
      </c>
      <c r="FE37" s="248">
        <f t="shared" ca="1" si="160"/>
        <v>0</v>
      </c>
      <c r="FF37" s="243">
        <f t="shared" ca="1" si="161"/>
        <v>0</v>
      </c>
      <c r="FG37" s="243">
        <f t="shared" ca="1" si="162"/>
        <v>0</v>
      </c>
      <c r="FH37" s="463">
        <f t="shared" ca="1" si="163"/>
        <v>272.39999999999998</v>
      </c>
    </row>
    <row r="38" spans="1:165" s="236" customFormat="1" x14ac:dyDescent="0.25">
      <c r="A38" s="388">
        <f>стартоваяВедомость!B38</f>
        <v>33</v>
      </c>
      <c r="B38" s="389" t="str">
        <f t="shared" ca="1" si="1"/>
        <v>Renault Duster</v>
      </c>
      <c r="C38" s="389" t="str">
        <f t="shared" ca="1" si="2"/>
        <v>Синявский Александр</v>
      </c>
      <c r="D38" s="389" t="str">
        <f t="shared" ca="1" si="3"/>
        <v>Попов Вадим</v>
      </c>
      <c r="E38" s="389" t="str">
        <f t="shared" ca="1" si="4"/>
        <v>МОСКВА</v>
      </c>
      <c r="F38" s="389" t="str">
        <f t="shared" ca="1" si="5"/>
        <v>Pro, Кубок</v>
      </c>
      <c r="G38" s="486">
        <f t="shared" ca="1" si="90"/>
        <v>1063.4000000000001</v>
      </c>
      <c r="H38" s="486">
        <f t="shared" ca="1" si="91"/>
        <v>0</v>
      </c>
      <c r="I38" s="486">
        <f t="shared" ca="1" si="92"/>
        <v>703.4</v>
      </c>
      <c r="J38" s="486">
        <f t="shared" ca="1" si="93"/>
        <v>360</v>
      </c>
      <c r="K38" s="390">
        <f t="shared" ca="1" si="9"/>
        <v>0.4368055555555555</v>
      </c>
      <c r="L38" s="391">
        <f t="shared" ca="1" si="94"/>
        <v>0.4368055555555555</v>
      </c>
      <c r="M38" s="392" t="str">
        <f ca="1">IF(L38&lt;&gt;0,вПМ(L38,K38),"")</f>
        <v/>
      </c>
      <c r="N38" s="391">
        <f ca="1">IF(L38&lt;&gt;0,вРазн(L38,K38), 0)</f>
        <v>0</v>
      </c>
      <c r="O38" s="393">
        <f t="shared" ca="1" si="95"/>
        <v>0</v>
      </c>
      <c r="P38" s="394">
        <f t="shared" ca="1" si="12"/>
        <v>4.86111119389534E-2</v>
      </c>
      <c r="Q38" s="395"/>
      <c r="R38" s="390">
        <f t="shared" ca="1" si="96"/>
        <v>0.4854166674945089</v>
      </c>
      <c r="S38" s="391">
        <f t="shared" ca="1" si="97"/>
        <v>0.48541666666666666</v>
      </c>
      <c r="T38" s="392" t="str">
        <f ca="1">IF(S38&lt;&gt;0,вПМ(S38,R38),"")</f>
        <v/>
      </c>
      <c r="U38" s="391">
        <f ca="1">IF(S38&lt;&gt;0,вРазн(S38,R38), 0)</f>
        <v>0</v>
      </c>
      <c r="V38" s="393">
        <f t="shared" ca="1" si="98"/>
        <v>0</v>
      </c>
      <c r="W38" s="394">
        <f t="shared" ca="1" si="16"/>
        <v>4.86111119389534E-2</v>
      </c>
      <c r="X38" s="391"/>
      <c r="Y38" s="395">
        <f t="shared" ca="1" si="99"/>
        <v>0</v>
      </c>
      <c r="Z38" s="390">
        <f t="shared" ca="1" si="100"/>
        <v>0.53680555638339778</v>
      </c>
      <c r="AA38" s="391">
        <f t="shared" ca="1" si="101"/>
        <v>0.53680555555555554</v>
      </c>
      <c r="AB38" s="392" t="str">
        <f ca="1">IF(AA38&lt;&gt;0,вПМ(AA38,Z38),"")</f>
        <v/>
      </c>
      <c r="AC38" s="391">
        <f ca="1">IF(AA38&lt;&gt;0,вРазн(AA38,Z38), 0)</f>
        <v>0</v>
      </c>
      <c r="AD38" s="393">
        <f t="shared" ca="1" si="102"/>
        <v>0</v>
      </c>
      <c r="AE38" s="394">
        <f t="shared" ca="1" si="21"/>
        <v>2.43055559694767E-2</v>
      </c>
      <c r="AF38" s="391"/>
      <c r="AG38" s="395">
        <f t="shared" ca="1" si="103"/>
        <v>0</v>
      </c>
      <c r="AH38" s="390">
        <f t="shared" ca="1" si="104"/>
        <v>0.56111111152503224</v>
      </c>
      <c r="AI38" s="391">
        <f t="shared" ca="1" si="105"/>
        <v>0.56111111111111112</v>
      </c>
      <c r="AJ38" s="392" t="str">
        <f ca="1">IF(AI38&lt;&gt;0,вПМ(AI38,AH38),"")</f>
        <v/>
      </c>
      <c r="AK38" s="391">
        <f ca="1">IF(AI38&lt;&gt;0,вРазн(AI38,AH38), 0)</f>
        <v>0</v>
      </c>
      <c r="AL38" s="393">
        <f t="shared" ca="1" si="106"/>
        <v>0</v>
      </c>
      <c r="AM38" s="394">
        <f t="shared" ca="1" si="26"/>
        <v>2.43055559694767E-2</v>
      </c>
      <c r="AN38" s="391"/>
      <c r="AO38" s="395">
        <f t="shared" ca="1" si="107"/>
        <v>0</v>
      </c>
      <c r="AP38" s="390">
        <f t="shared" ca="1" si="108"/>
        <v>0.58541666708058782</v>
      </c>
      <c r="AQ38" s="391">
        <f t="shared" ca="1" si="109"/>
        <v>0.5854166666666667</v>
      </c>
      <c r="AR38" s="392" t="str">
        <f ca="1">IF(AQ38&lt;&gt;0,вПМ(AQ38,AP38),"")</f>
        <v/>
      </c>
      <c r="AS38" s="391">
        <f ca="1">IF(AQ38&lt;&gt;0,вРазн(AQ38,AP38), 0)</f>
        <v>0</v>
      </c>
      <c r="AT38" s="393">
        <f t="shared" ca="1" si="110"/>
        <v>0</v>
      </c>
      <c r="AU38" s="394">
        <f t="shared" ca="1" si="31"/>
        <v>3.125E-2</v>
      </c>
      <c r="AV38" s="391"/>
      <c r="AW38" s="395">
        <f t="shared" ca="1" si="111"/>
        <v>0</v>
      </c>
      <c r="AX38" s="390">
        <f t="shared" ca="1" si="112"/>
        <v>0.61944444444444446</v>
      </c>
      <c r="AY38" s="391">
        <f t="shared" ca="1" si="113"/>
        <v>0.61944444444444446</v>
      </c>
      <c r="AZ38" s="392" t="str">
        <f ca="1">IF(AY38&lt;&gt;0,вПМ(AY38,AX38),"")</f>
        <v/>
      </c>
      <c r="BA38" s="391">
        <f ca="1">IF(AY38&lt;&gt;0,вРазн(AY38,AX38), 0)</f>
        <v>0</v>
      </c>
      <c r="BB38" s="393">
        <f t="shared" ca="1" si="114"/>
        <v>0</v>
      </c>
      <c r="BC38" s="394">
        <f t="shared" ca="1" si="36"/>
        <v>4.1666667908430099E-2</v>
      </c>
      <c r="BD38" s="391"/>
      <c r="BE38" s="395">
        <f t="shared" ca="1" si="115"/>
        <v>0</v>
      </c>
      <c r="BF38" s="390">
        <f t="shared" ca="1" si="116"/>
        <v>0.66111111235287456</v>
      </c>
      <c r="BG38" s="391">
        <f t="shared" ca="1" si="117"/>
        <v>0.66111111111111109</v>
      </c>
      <c r="BH38" s="392" t="str">
        <f ca="1">IF(BG38&lt;&gt;0,вПМ(BG38,BF38),"")</f>
        <v/>
      </c>
      <c r="BI38" s="391">
        <f ca="1">IF(BG38&lt;&gt;0,вРазн(BG38,BF38), 0)</f>
        <v>0</v>
      </c>
      <c r="BJ38" s="393">
        <f t="shared" ca="1" si="118"/>
        <v>0</v>
      </c>
      <c r="BK38" s="394">
        <f t="shared" ca="1" si="41"/>
        <v>2.777777798473835E-2</v>
      </c>
      <c r="BL38" s="391"/>
      <c r="BM38" s="395">
        <f t="shared" ca="1" si="119"/>
        <v>0</v>
      </c>
      <c r="BN38" s="390">
        <f t="shared" ca="1" si="120"/>
        <v>0.68888888909584944</v>
      </c>
      <c r="BO38" s="391">
        <f t="shared" ca="1" si="121"/>
        <v>0.68680555555555556</v>
      </c>
      <c r="BP38" s="392" t="str">
        <f ca="1">IF(BO38&lt;&gt;0,вПМ(BO38,BN38),"")</f>
        <v>-</v>
      </c>
      <c r="BQ38" s="391">
        <f ca="1">IF(BO38&lt;&gt;0,вРазн(BO38,BN38), 0)</f>
        <v>2.0833611488342285E-3</v>
      </c>
      <c r="BR38" s="396">
        <f t="shared" ca="1" si="122"/>
        <v>0</v>
      </c>
      <c r="BS38" s="390">
        <f t="shared" ca="1" si="46"/>
        <v>0</v>
      </c>
      <c r="BT38" s="391">
        <f t="shared" ca="1" si="123"/>
        <v>0</v>
      </c>
      <c r="BU38" s="391">
        <f t="shared" ca="1" si="124"/>
        <v>0</v>
      </c>
      <c r="BV38" s="401">
        <f t="shared" ca="1" si="125"/>
        <v>48.4</v>
      </c>
      <c r="BW38" s="401">
        <f t="shared" ca="1" si="126"/>
        <v>1</v>
      </c>
      <c r="BX38" s="392">
        <f t="shared" ca="1" si="127"/>
        <v>0</v>
      </c>
      <c r="BY38" s="392">
        <f t="shared" ca="1" si="128"/>
        <v>0</v>
      </c>
      <c r="BZ38" s="392">
        <f t="shared" ca="1" si="129"/>
        <v>0</v>
      </c>
      <c r="CA38" s="462">
        <f t="shared" ca="1" si="130"/>
        <v>160.19999999999999</v>
      </c>
      <c r="CB38" s="390">
        <f t="shared" ca="1" si="52"/>
        <v>0.48819444444444443</v>
      </c>
      <c r="CC38" s="391">
        <f t="shared" ca="1" si="131"/>
        <v>0.48819444444444443</v>
      </c>
      <c r="CD38" s="391">
        <f ca="1">IF(OR(CB38=0,CC38=0),0,вРазн(CC38,CB38))</f>
        <v>0</v>
      </c>
      <c r="CE38" s="391"/>
      <c r="CF38" s="391"/>
      <c r="CG38" s="397">
        <f t="shared" ca="1" si="132"/>
        <v>0.4959837962962963</v>
      </c>
      <c r="CH38" s="398">
        <f t="shared" ca="1" si="54"/>
        <v>0.49604166666666666</v>
      </c>
      <c r="CI38" s="399" t="str">
        <f ca="1">IF(CH38&lt;&gt;0,вПМ(CH38,CG38,"s"),"")</f>
        <v>+</v>
      </c>
      <c r="CJ38" s="398">
        <f ca="1">IF(CH38&lt;&gt;0,вРазн(CH38,CG38,"s"), 0)</f>
        <v>5.7846307754516602E-5</v>
      </c>
      <c r="CK38" s="462">
        <f t="shared" ca="1" si="133"/>
        <v>5</v>
      </c>
      <c r="CL38" s="397">
        <f t="shared" ca="1" si="134"/>
        <v>0.51030092592592591</v>
      </c>
      <c r="CM38" s="398">
        <f t="shared" ca="1" si="57"/>
        <v>0.51015046296296296</v>
      </c>
      <c r="CN38" s="392" t="str">
        <f ca="1">IF(AND(CM38&lt;&gt;0,CL38&lt;&gt;0),вПМ(CM38,CL38,"s"),"")</f>
        <v>-</v>
      </c>
      <c r="CO38" s="398">
        <f ca="1">IF(AND(CM38&lt;&gt;0,CL38&lt;&gt;0),вРазн(CM38,CL38,"s"), 0)</f>
        <v>1.5044212341308594E-4</v>
      </c>
      <c r="CP38" s="462">
        <f t="shared" ca="1" si="135"/>
        <v>13</v>
      </c>
      <c r="CQ38" s="390">
        <f t="shared" ca="1" si="59"/>
        <v>0.58819444444444446</v>
      </c>
      <c r="CR38" s="391">
        <f t="shared" ca="1" si="136"/>
        <v>0.58819444444444446</v>
      </c>
      <c r="CS38" s="391">
        <f ca="1">IF(OR(CQ38=0,CR38=0),0,вРазн(CR38,CQ38))</f>
        <v>0</v>
      </c>
      <c r="CT38" s="391"/>
      <c r="CU38" s="391"/>
      <c r="CV38" s="397">
        <f t="shared" ca="1" si="137"/>
        <v>0.59515046296296303</v>
      </c>
      <c r="CW38" s="398">
        <f t="shared" ca="1" si="61"/>
        <v>0.59537037037037044</v>
      </c>
      <c r="CX38" s="399" t="str">
        <f ca="1">IF(CW38&lt;&gt;0,вПМ(CW38,CV38,"s"),"")</f>
        <v>+</v>
      </c>
      <c r="CY38" s="398">
        <f ca="1">IF(CW38&lt;&gt;0,вРазн(CW38,CV38,"s"), 0)</f>
        <v>2.1988153457641602E-4</v>
      </c>
      <c r="CZ38" s="462">
        <f t="shared" ca="1" si="138"/>
        <v>19</v>
      </c>
      <c r="DA38" s="397">
        <f t="shared" ca="1" si="139"/>
        <v>0.59585648148148151</v>
      </c>
      <c r="DB38" s="398">
        <f t="shared" ca="1" si="64"/>
        <v>0.59581018518518525</v>
      </c>
      <c r="DC38" s="392" t="str">
        <f ca="1">IF(AND(DB38&lt;&gt;0,DA38&lt;&gt;0),вПМ(DB38,DA38,"s"),"")</f>
        <v>-</v>
      </c>
      <c r="DD38" s="398">
        <f ca="1">IF(AND(DB38&lt;&gt;0,DA38&lt;&gt;0),вРазн(DB38,DA38,"s"), 0)</f>
        <v>4.6312808990478516E-5</v>
      </c>
      <c r="DE38" s="462">
        <f t="shared" ca="1" si="140"/>
        <v>4</v>
      </c>
      <c r="DF38" s="390">
        <f t="shared" ca="1" si="66"/>
        <v>0</v>
      </c>
      <c r="DG38" s="391">
        <f t="shared" ca="1" si="141"/>
        <v>0</v>
      </c>
      <c r="DH38" s="391">
        <f t="shared" ca="1" si="142"/>
        <v>0</v>
      </c>
      <c r="DI38" s="401">
        <f t="shared" ca="1" si="143"/>
        <v>47.4</v>
      </c>
      <c r="DJ38" s="401">
        <f t="shared" ca="1" si="144"/>
        <v>0</v>
      </c>
      <c r="DK38" s="392">
        <f t="shared" ca="1" si="145"/>
        <v>0</v>
      </c>
      <c r="DL38" s="392" t="str">
        <f t="shared" ca="1" si="146"/>
        <v>да</v>
      </c>
      <c r="DM38" s="392" t="str">
        <f t="shared" ca="1" si="147"/>
        <v>да</v>
      </c>
      <c r="DN38" s="462">
        <f t="shared" ca="1" si="148"/>
        <v>502.2</v>
      </c>
      <c r="DO38" s="402">
        <f t="shared" ca="1" si="72"/>
        <v>0</v>
      </c>
      <c r="DP38" s="400">
        <f t="shared" ca="1" si="149"/>
        <v>0</v>
      </c>
      <c r="DQ38" s="402">
        <f t="shared" ca="1" si="72"/>
        <v>0</v>
      </c>
      <c r="DR38" s="400">
        <f t="shared" ca="1" si="150"/>
        <v>360</v>
      </c>
      <c r="DS38" s="390">
        <f t="shared" ca="1" si="164"/>
        <v>0.66805555555555562</v>
      </c>
      <c r="DT38" s="396">
        <f t="shared" ca="1" si="151"/>
        <v>0</v>
      </c>
      <c r="DU38" s="390">
        <f t="shared" ca="1" si="164"/>
        <v>0.68125000000000002</v>
      </c>
      <c r="DV38" s="396">
        <f t="shared" ca="1" si="152"/>
        <v>0</v>
      </c>
      <c r="DW38" s="459"/>
      <c r="DX38" s="459"/>
      <c r="DY38" s="459"/>
      <c r="DZ38" s="459"/>
      <c r="EA38" s="459"/>
      <c r="EB38" s="459"/>
      <c r="EC38" s="459"/>
      <c r="ED38" s="459"/>
      <c r="EE38" s="459"/>
      <c r="EF38" s="459"/>
      <c r="EG38" s="459"/>
      <c r="EH38" s="459"/>
      <c r="EI38" s="459"/>
      <c r="EJ38" s="459"/>
      <c r="EK38" s="459"/>
      <c r="EL38" s="459"/>
      <c r="EM38" s="459"/>
      <c r="EN38" s="459"/>
      <c r="EO38" s="459"/>
      <c r="EP38" s="459"/>
      <c r="EQ38" s="459"/>
      <c r="ER38" s="459"/>
      <c r="ES38" s="459"/>
      <c r="ET38" s="459"/>
      <c r="EU38" s="390" t="e">
        <f t="shared" ca="1" si="153"/>
        <v>#VALUE!</v>
      </c>
      <c r="EV38" s="391">
        <f t="shared" ca="1" si="154"/>
        <v>0</v>
      </c>
      <c r="EW38" s="392" t="e">
        <f ca="1">IF(AND(EV38&lt;&gt;0,EU38&lt;&gt;0),вПМ(EV38,EU38),"")</f>
        <v>#VALUE!</v>
      </c>
      <c r="EX38" s="391">
        <f ca="1">IF(EV38&lt;&gt;0,вРазн(EV38,EU38), 0)</f>
        <v>0</v>
      </c>
      <c r="EY38" s="396">
        <f t="shared" ca="1" si="155"/>
        <v>900</v>
      </c>
      <c r="EZ38" s="390">
        <f t="shared" ca="1" si="81"/>
        <v>0</v>
      </c>
      <c r="FA38" s="391">
        <f t="shared" ca="1" si="156"/>
        <v>0</v>
      </c>
      <c r="FB38" s="391">
        <f t="shared" ca="1" si="157"/>
        <v>0</v>
      </c>
      <c r="FC38" s="401">
        <f t="shared" ca="1" si="158"/>
        <v>48.4</v>
      </c>
      <c r="FD38" s="401">
        <f t="shared" ca="1" si="159"/>
        <v>1</v>
      </c>
      <c r="FE38" s="401">
        <f t="shared" ca="1" si="160"/>
        <v>0</v>
      </c>
      <c r="FF38" s="392">
        <f t="shared" ca="1" si="161"/>
        <v>0</v>
      </c>
      <c r="FG38" s="392">
        <f t="shared" ca="1" si="162"/>
        <v>0</v>
      </c>
      <c r="FH38" s="462">
        <f t="shared" ca="1" si="163"/>
        <v>160.19999999999999</v>
      </c>
      <c r="FI38" s="403"/>
    </row>
    <row r="39" spans="1:165" s="20" customFormat="1" x14ac:dyDescent="0.25">
      <c r="A39" s="253">
        <f>стартоваяВедомость!B39</f>
        <v>34</v>
      </c>
      <c r="B39" s="241" t="str">
        <f t="shared" ca="1" si="1"/>
        <v>Skoda Octavia</v>
      </c>
      <c r="C39" s="241" t="str">
        <f t="shared" ca="1" si="2"/>
        <v>Андрейченков Станислав</v>
      </c>
      <c r="D39" s="241" t="str">
        <f t="shared" ca="1" si="3"/>
        <v>Андрейченкова Мария</v>
      </c>
      <c r="E39" s="241" t="str">
        <f t="shared" ca="1" si="4"/>
        <v>Смоленск</v>
      </c>
      <c r="F39" s="241" t="str">
        <f t="shared" ca="1" si="5"/>
        <v>Light, Аэропорт</v>
      </c>
      <c r="G39" s="487">
        <f t="shared" ca="1" si="90"/>
        <v>2971.9</v>
      </c>
      <c r="H39" s="487">
        <f t="shared" ca="1" si="91"/>
        <v>1200</v>
      </c>
      <c r="I39" s="487">
        <f t="shared" ca="1" si="92"/>
        <v>931.9</v>
      </c>
      <c r="J39" s="487">
        <f t="shared" ca="1" si="93"/>
        <v>840</v>
      </c>
      <c r="K39" s="242">
        <f t="shared" ca="1" si="9"/>
        <v>0.43749999999999994</v>
      </c>
      <c r="L39" s="122">
        <f t="shared" ca="1" si="94"/>
        <v>0.4375</v>
      </c>
      <c r="M39" s="243" t="str">
        <f ca="1">IF(L39&lt;&gt;0,вПМ(L39,K39),"")</f>
        <v/>
      </c>
      <c r="N39" s="122">
        <f ca="1">IF(L39&lt;&gt;0,вРазн(L39,K39), 0)</f>
        <v>0</v>
      </c>
      <c r="O39" s="301">
        <f t="shared" ca="1" si="95"/>
        <v>0</v>
      </c>
      <c r="P39" s="300">
        <f t="shared" ca="1" si="12"/>
        <v>4.86111119389534E-2</v>
      </c>
      <c r="Q39" s="294"/>
      <c r="R39" s="242">
        <f t="shared" ca="1" si="96"/>
        <v>0.4861111119389534</v>
      </c>
      <c r="S39" s="122">
        <f t="shared" ca="1" si="97"/>
        <v>0.48541666666666666</v>
      </c>
      <c r="T39" s="243" t="str">
        <f ca="1">IF(S39&lt;&gt;0,вПМ(S39,R39),"")</f>
        <v/>
      </c>
      <c r="U39" s="122">
        <f ca="1">IF(S39&lt;&gt;0,вРазн(S39,R39), 0)</f>
        <v>6.9442391395568848E-4</v>
      </c>
      <c r="V39" s="301">
        <f t="shared" ca="1" si="98"/>
        <v>60</v>
      </c>
      <c r="W39" s="300">
        <f t="shared" ca="1" si="16"/>
        <v>4.86111119389534E-2</v>
      </c>
      <c r="X39" s="122"/>
      <c r="Y39" s="294">
        <f t="shared" ca="1" si="99"/>
        <v>0</v>
      </c>
      <c r="Z39" s="242">
        <f t="shared" ca="1" si="100"/>
        <v>0.53750000082784233</v>
      </c>
      <c r="AA39" s="122">
        <f t="shared" ca="1" si="101"/>
        <v>0.53749999999999998</v>
      </c>
      <c r="AB39" s="243" t="str">
        <f ca="1">IF(AA39&lt;&gt;0,вПМ(AA39,Z39),"")</f>
        <v/>
      </c>
      <c r="AC39" s="122">
        <f ca="1">IF(AA39&lt;&gt;0,вРазн(AA39,Z39), 0)</f>
        <v>0</v>
      </c>
      <c r="AD39" s="301">
        <f t="shared" ca="1" si="102"/>
        <v>0</v>
      </c>
      <c r="AE39" s="300">
        <f t="shared" ca="1" si="21"/>
        <v>2.43055559694767E-2</v>
      </c>
      <c r="AF39" s="122"/>
      <c r="AG39" s="294">
        <f t="shared" ca="1" si="103"/>
        <v>0</v>
      </c>
      <c r="AH39" s="242">
        <f t="shared" ca="1" si="104"/>
        <v>0.56180555596947668</v>
      </c>
      <c r="AI39" s="122">
        <f t="shared" ca="1" si="105"/>
        <v>0.56180555555555556</v>
      </c>
      <c r="AJ39" s="243" t="str">
        <f ca="1">IF(AI39&lt;&gt;0,вПМ(AI39,AH39),"")</f>
        <v/>
      </c>
      <c r="AK39" s="122">
        <f ca="1">IF(AI39&lt;&gt;0,вРазн(AI39,AH39), 0)</f>
        <v>0</v>
      </c>
      <c r="AL39" s="301">
        <f t="shared" ca="1" si="106"/>
        <v>0</v>
      </c>
      <c r="AM39" s="300">
        <f t="shared" ca="1" si="26"/>
        <v>2.43055559694767E-2</v>
      </c>
      <c r="AN39" s="122"/>
      <c r="AO39" s="294">
        <f t="shared" ca="1" si="107"/>
        <v>0</v>
      </c>
      <c r="AP39" s="242">
        <f t="shared" ca="1" si="108"/>
        <v>0.58611111152503226</v>
      </c>
      <c r="AQ39" s="122">
        <f t="shared" ca="1" si="109"/>
        <v>0.58611111111111114</v>
      </c>
      <c r="AR39" s="243" t="str">
        <f ca="1">IF(AQ39&lt;&gt;0,вПМ(AQ39,AP39),"")</f>
        <v/>
      </c>
      <c r="AS39" s="122">
        <f ca="1">IF(AQ39&lt;&gt;0,вРазн(AQ39,AP39), 0)</f>
        <v>0</v>
      </c>
      <c r="AT39" s="301">
        <f t="shared" ca="1" si="110"/>
        <v>0</v>
      </c>
      <c r="AU39" s="300">
        <f t="shared" ca="1" si="31"/>
        <v>3.125E-2</v>
      </c>
      <c r="AV39" s="122"/>
      <c r="AW39" s="294">
        <f t="shared" ca="1" si="111"/>
        <v>0</v>
      </c>
      <c r="AX39" s="242">
        <f t="shared" ca="1" si="112"/>
        <v>0.62152777777777779</v>
      </c>
      <c r="AY39" s="122">
        <f t="shared" ca="1" si="113"/>
        <v>0.62152777777777779</v>
      </c>
      <c r="AZ39" s="243" t="str">
        <f ca="1">IF(AY39&lt;&gt;0,вПМ(AY39,AX39),"")</f>
        <v/>
      </c>
      <c r="BA39" s="122">
        <f ca="1">IF(AY39&lt;&gt;0,вРазн(AY39,AX39), 0)</f>
        <v>0</v>
      </c>
      <c r="BB39" s="301">
        <f t="shared" ca="1" si="114"/>
        <v>0</v>
      </c>
      <c r="BC39" s="300">
        <f t="shared" ca="1" si="36"/>
        <v>4.1666667908430099E-2</v>
      </c>
      <c r="BD39" s="122"/>
      <c r="BE39" s="294">
        <f t="shared" ca="1" si="115"/>
        <v>0</v>
      </c>
      <c r="BF39" s="242">
        <f t="shared" ca="1" si="116"/>
        <v>0.66319444568620789</v>
      </c>
      <c r="BG39" s="122">
        <f t="shared" ca="1" si="117"/>
        <v>0.66319444444444442</v>
      </c>
      <c r="BH39" s="243" t="str">
        <f ca="1">IF(BG39&lt;&gt;0,вПМ(BG39,BF39),"")</f>
        <v/>
      </c>
      <c r="BI39" s="122">
        <f ca="1">IF(BG39&lt;&gt;0,вРазн(BG39,BF39), 0)</f>
        <v>0</v>
      </c>
      <c r="BJ39" s="301">
        <f t="shared" ca="1" si="118"/>
        <v>0</v>
      </c>
      <c r="BK39" s="300">
        <f t="shared" ca="1" si="41"/>
        <v>2.777777798473835E-2</v>
      </c>
      <c r="BL39" s="122"/>
      <c r="BM39" s="294">
        <f t="shared" ca="1" si="119"/>
        <v>0</v>
      </c>
      <c r="BN39" s="242">
        <f t="shared" ca="1" si="120"/>
        <v>0.69097222242918277</v>
      </c>
      <c r="BO39" s="122">
        <f t="shared" ca="1" si="121"/>
        <v>0.69374999999999998</v>
      </c>
      <c r="BP39" s="243" t="str">
        <f ca="1">IF(BO39&lt;&gt;0,вПМ(BO39,BN39),"")</f>
        <v>+</v>
      </c>
      <c r="BQ39" s="122">
        <f ca="1">IF(BO39&lt;&gt;0,вРазн(BO39,BN39), 0)</f>
        <v>2.7778148651123047E-3</v>
      </c>
      <c r="BR39" s="244">
        <f t="shared" ca="1" si="122"/>
        <v>240</v>
      </c>
      <c r="BS39" s="242">
        <f t="shared" ca="1" si="46"/>
        <v>0</v>
      </c>
      <c r="BT39" s="122">
        <f t="shared" ca="1" si="123"/>
        <v>0</v>
      </c>
      <c r="BU39" s="122">
        <f t="shared" ca="1" si="124"/>
        <v>0</v>
      </c>
      <c r="BV39" s="248">
        <f t="shared" ca="1" si="125"/>
        <v>112</v>
      </c>
      <c r="BW39" s="248">
        <f t="shared" ca="1" si="126"/>
        <v>0</v>
      </c>
      <c r="BX39" s="243">
        <f t="shared" ca="1" si="127"/>
        <v>0</v>
      </c>
      <c r="BY39" s="243">
        <f t="shared" ca="1" si="128"/>
        <v>0</v>
      </c>
      <c r="BZ39" s="243">
        <f t="shared" ca="1" si="129"/>
        <v>0</v>
      </c>
      <c r="CA39" s="463">
        <f t="shared" ca="1" si="130"/>
        <v>336</v>
      </c>
      <c r="CB39" s="242">
        <f t="shared" ca="1" si="52"/>
        <v>0.48888888888888887</v>
      </c>
      <c r="CC39" s="122">
        <f t="shared" ca="1" si="131"/>
        <v>0.48888888888888887</v>
      </c>
      <c r="CD39" s="122">
        <f ca="1">IF(OR(CB39=0,CC39=0),0,вРазн(CC39,CB39))</f>
        <v>0</v>
      </c>
      <c r="CE39" s="122"/>
      <c r="CF39" s="122"/>
      <c r="CG39" s="247">
        <f t="shared" ca="1" si="132"/>
        <v>0.49667824074074074</v>
      </c>
      <c r="CH39" s="245">
        <f t="shared" ca="1" si="54"/>
        <v>0.49869212962962961</v>
      </c>
      <c r="CI39" s="240" t="str">
        <f ca="1">IF(CH39&lt;&gt;0,вПМ(CH39,CG39,"s"),"")</f>
        <v>+</v>
      </c>
      <c r="CJ39" s="245">
        <f ca="1">IF(CH39&lt;&gt;0,вРазн(CH39,CG39,"s"), 0)</f>
        <v>2.0138919353485107E-3</v>
      </c>
      <c r="CK39" s="463">
        <f t="shared" ca="1" si="133"/>
        <v>174</v>
      </c>
      <c r="CL39" s="247">
        <f t="shared" ca="1" si="134"/>
        <v>0.51295138888888892</v>
      </c>
      <c r="CM39" s="245">
        <f t="shared" ca="1" si="57"/>
        <v>0.51214120370370375</v>
      </c>
      <c r="CN39" s="243" t="str">
        <f ca="1">IF(AND(CM39&lt;&gt;0,CL39&lt;&gt;0),вПМ(CM39,CL39,"s"),"")</f>
        <v>-</v>
      </c>
      <c r="CO39" s="245">
        <f ca="1">IF(AND(CM39&lt;&gt;0,CL39&lt;&gt;0),вРазн(CM39,CL39,"s"), 0)</f>
        <v>8.1014633178710938E-4</v>
      </c>
      <c r="CP39" s="463">
        <f t="shared" ca="1" si="135"/>
        <v>70</v>
      </c>
      <c r="CQ39" s="242">
        <f t="shared" ca="1" si="59"/>
        <v>0.59027777777777779</v>
      </c>
      <c r="CR39" s="122">
        <f t="shared" ca="1" si="136"/>
        <v>0.59027777777777779</v>
      </c>
      <c r="CS39" s="122">
        <f ca="1">IF(OR(CQ39=0,CR39=0),0,вРазн(CR39,CQ39))</f>
        <v>0</v>
      </c>
      <c r="CT39" s="122"/>
      <c r="CU39" s="122"/>
      <c r="CV39" s="247">
        <f t="shared" ca="1" si="137"/>
        <v>0.59723379629629636</v>
      </c>
      <c r="CW39" s="245">
        <f t="shared" ca="1" si="61"/>
        <v>0.59745370370370365</v>
      </c>
      <c r="CX39" s="240" t="str">
        <f ca="1">IF(CW39&lt;&gt;0,вПМ(CW39,CV39,"s"),"")</f>
        <v>+</v>
      </c>
      <c r="CY39" s="245">
        <f ca="1">IF(CW39&lt;&gt;0,вРазн(CW39,CV39,"s"), 0)</f>
        <v>2.1994113922119141E-4</v>
      </c>
      <c r="CZ39" s="463">
        <f t="shared" ca="1" si="138"/>
        <v>19</v>
      </c>
      <c r="DA39" s="247">
        <f t="shared" ca="1" si="139"/>
        <v>0.59793981481481473</v>
      </c>
      <c r="DB39" s="245">
        <f t="shared" ca="1" si="64"/>
        <v>0.5978472222222222</v>
      </c>
      <c r="DC39" s="243" t="str">
        <f ca="1">IF(AND(DB39&lt;&gt;0,DA39&lt;&gt;0),вПМ(DB39,DA39,"s"),"")</f>
        <v>-</v>
      </c>
      <c r="DD39" s="245">
        <f ca="1">IF(AND(DB39&lt;&gt;0,DA39&lt;&gt;0),вРазн(DB39,DA39,"s"), 0)</f>
        <v>9.2566013336181641E-5</v>
      </c>
      <c r="DE39" s="463">
        <f t="shared" ca="1" si="140"/>
        <v>8</v>
      </c>
      <c r="DF39" s="242">
        <f t="shared" ca="1" si="66"/>
        <v>0</v>
      </c>
      <c r="DG39" s="122">
        <f t="shared" ca="1" si="141"/>
        <v>0</v>
      </c>
      <c r="DH39" s="122">
        <f t="shared" ca="1" si="142"/>
        <v>0</v>
      </c>
      <c r="DI39" s="248">
        <f t="shared" ca="1" si="143"/>
        <v>88.3</v>
      </c>
      <c r="DJ39" s="248">
        <f t="shared" ca="1" si="144"/>
        <v>0</v>
      </c>
      <c r="DK39" s="243">
        <f t="shared" ca="1" si="145"/>
        <v>0</v>
      </c>
      <c r="DL39" s="243" t="str">
        <f t="shared" ca="1" si="146"/>
        <v>да</v>
      </c>
      <c r="DM39" s="243">
        <f t="shared" ca="1" si="147"/>
        <v>0</v>
      </c>
      <c r="DN39" s="463">
        <f t="shared" ca="1" si="148"/>
        <v>324.89999999999998</v>
      </c>
      <c r="DO39" s="249">
        <f t="shared" ca="1" si="72"/>
        <v>0</v>
      </c>
      <c r="DP39" s="246">
        <f t="shared" ca="1" si="149"/>
        <v>0</v>
      </c>
      <c r="DQ39" s="249">
        <f t="shared" ca="1" si="72"/>
        <v>0</v>
      </c>
      <c r="DR39" s="246">
        <f t="shared" ca="1" si="150"/>
        <v>840</v>
      </c>
      <c r="DS39" s="242">
        <f t="shared" ca="1" si="164"/>
        <v>0.67013888888888884</v>
      </c>
      <c r="DT39" s="244">
        <f t="shared" ca="1" si="151"/>
        <v>0</v>
      </c>
      <c r="DU39" s="242">
        <f t="shared" ca="1" si="164"/>
        <v>0</v>
      </c>
      <c r="DV39" s="244">
        <f t="shared" ca="1" si="152"/>
        <v>900</v>
      </c>
      <c r="DW39" s="459"/>
      <c r="DX39" s="459"/>
      <c r="DY39" s="459"/>
      <c r="DZ39" s="459"/>
      <c r="EA39" s="459"/>
      <c r="EB39" s="459"/>
      <c r="EC39" s="459"/>
      <c r="ED39" s="459"/>
      <c r="EE39" s="459"/>
      <c r="EF39" s="459"/>
      <c r="EG39" s="459"/>
      <c r="EH39" s="459"/>
      <c r="EI39" s="459"/>
      <c r="EJ39" s="459"/>
      <c r="EK39" s="459"/>
      <c r="EL39" s="459"/>
      <c r="EM39" s="459"/>
      <c r="EN39" s="459"/>
      <c r="EO39" s="459"/>
      <c r="EP39" s="459"/>
      <c r="EQ39" s="459"/>
      <c r="ER39" s="459"/>
      <c r="ES39" s="459"/>
      <c r="ET39" s="459"/>
      <c r="EU39" s="242" t="e">
        <f t="shared" ca="1" si="153"/>
        <v>#VALUE!</v>
      </c>
      <c r="EV39" s="122">
        <f t="shared" ca="1" si="154"/>
        <v>0</v>
      </c>
      <c r="EW39" s="243" t="e">
        <f ca="1">IF(AND(EV39&lt;&gt;0,EU39&lt;&gt;0),вПМ(EV39,EU39),"")</f>
        <v>#VALUE!</v>
      </c>
      <c r="EX39" s="122">
        <f ca="1">IF(EV39&lt;&gt;0,вРазн(EV39,EU39), 0)</f>
        <v>0</v>
      </c>
      <c r="EY39" s="244">
        <f t="shared" ca="1" si="155"/>
        <v>900</v>
      </c>
      <c r="EZ39" s="242">
        <f t="shared" ca="1" si="81"/>
        <v>0</v>
      </c>
      <c r="FA39" s="122">
        <f t="shared" ca="1" si="156"/>
        <v>0</v>
      </c>
      <c r="FB39" s="122">
        <f t="shared" ca="1" si="157"/>
        <v>0</v>
      </c>
      <c r="FC39" s="248">
        <f t="shared" ca="1" si="158"/>
        <v>112</v>
      </c>
      <c r="FD39" s="248">
        <f t="shared" ca="1" si="159"/>
        <v>0</v>
      </c>
      <c r="FE39" s="248">
        <f t="shared" ca="1" si="160"/>
        <v>0</v>
      </c>
      <c r="FF39" s="243">
        <f t="shared" ca="1" si="161"/>
        <v>0</v>
      </c>
      <c r="FG39" s="243">
        <f t="shared" ca="1" si="162"/>
        <v>0</v>
      </c>
      <c r="FH39" s="463">
        <f t="shared" ca="1" si="163"/>
        <v>336</v>
      </c>
    </row>
    <row r="40" spans="1:165" s="236" customFormat="1" x14ac:dyDescent="0.25">
      <c r="A40" s="388">
        <f>стартоваяВедомость!B40</f>
        <v>35</v>
      </c>
      <c r="B40" s="389" t="str">
        <f t="shared" ca="1" si="1"/>
        <v>Mitsubishi Lancer</v>
      </c>
      <c r="C40" s="389" t="str">
        <f t="shared" ca="1" si="2"/>
        <v>Воробьев никита</v>
      </c>
      <c r="D40" s="389" t="str">
        <f t="shared" ca="1" si="3"/>
        <v>Масленников Дмитрий</v>
      </c>
      <c r="E40" s="389" t="str">
        <f t="shared" ca="1" si="4"/>
        <v>Смоленск</v>
      </c>
      <c r="F40" s="389" t="str">
        <f t="shared" ca="1" si="5"/>
        <v>Light, Аэропорт</v>
      </c>
      <c r="G40" s="486">
        <f t="shared" ca="1" si="90"/>
        <v>3511.6</v>
      </c>
      <c r="H40" s="486">
        <f t="shared" ca="1" si="91"/>
        <v>1380</v>
      </c>
      <c r="I40" s="486">
        <f t="shared" ca="1" si="92"/>
        <v>1411.6</v>
      </c>
      <c r="J40" s="486">
        <f t="shared" ca="1" si="93"/>
        <v>720</v>
      </c>
      <c r="K40" s="390">
        <f t="shared" ca="1" si="9"/>
        <v>0.43819444444444439</v>
      </c>
      <c r="L40" s="391">
        <f t="shared" ca="1" si="94"/>
        <v>0.4381944444444445</v>
      </c>
      <c r="M40" s="392" t="str">
        <f ca="1">IF(L40&lt;&gt;0,вПМ(L40,K40),"")</f>
        <v/>
      </c>
      <c r="N40" s="391">
        <f ca="1">IF(L40&lt;&gt;0,вРазн(L40,K40), 0)</f>
        <v>0</v>
      </c>
      <c r="O40" s="393">
        <f t="shared" ca="1" si="95"/>
        <v>0</v>
      </c>
      <c r="P40" s="394">
        <f t="shared" ca="1" si="12"/>
        <v>4.86111119389534E-2</v>
      </c>
      <c r="Q40" s="395"/>
      <c r="R40" s="390">
        <f t="shared" ca="1" si="96"/>
        <v>0.4868055563833979</v>
      </c>
      <c r="S40" s="391">
        <f t="shared" ca="1" si="97"/>
        <v>0.4861111111111111</v>
      </c>
      <c r="T40" s="392" t="str">
        <f ca="1">IF(S40&lt;&gt;0,вПМ(S40,R40),"")</f>
        <v>-</v>
      </c>
      <c r="U40" s="391">
        <f ca="1">IF(S40&lt;&gt;0,вРазн(S40,R40), 0)</f>
        <v>6.9445371627807617E-4</v>
      </c>
      <c r="V40" s="393">
        <f t="shared" ca="1" si="98"/>
        <v>60</v>
      </c>
      <c r="W40" s="394">
        <f t="shared" ca="1" si="16"/>
        <v>4.86111119389534E-2</v>
      </c>
      <c r="X40" s="391"/>
      <c r="Y40" s="395">
        <f t="shared" ca="1" si="99"/>
        <v>0</v>
      </c>
      <c r="Z40" s="390">
        <f t="shared" ca="1" si="100"/>
        <v>0.53819444527228666</v>
      </c>
      <c r="AA40" s="391">
        <f t="shared" ca="1" si="101"/>
        <v>0.53819444444444442</v>
      </c>
      <c r="AB40" s="392" t="str">
        <f ca="1">IF(AA40&lt;&gt;0,вПМ(AA40,Z40),"")</f>
        <v/>
      </c>
      <c r="AC40" s="391">
        <f ca="1">IF(AA40&lt;&gt;0,вРазн(AA40,Z40), 0)</f>
        <v>0</v>
      </c>
      <c r="AD40" s="393">
        <f t="shared" ca="1" si="102"/>
        <v>0</v>
      </c>
      <c r="AE40" s="394">
        <f t="shared" ca="1" si="21"/>
        <v>2.43055559694767E-2</v>
      </c>
      <c r="AF40" s="391"/>
      <c r="AG40" s="395">
        <f t="shared" ca="1" si="103"/>
        <v>0</v>
      </c>
      <c r="AH40" s="390">
        <f t="shared" ca="1" si="104"/>
        <v>0.56250000041392112</v>
      </c>
      <c r="AI40" s="391">
        <f t="shared" ca="1" si="105"/>
        <v>0.56319444444444444</v>
      </c>
      <c r="AJ40" s="392" t="str">
        <f ca="1">IF(AI40&lt;&gt;0,вПМ(AI40,AH40),"")</f>
        <v>+</v>
      </c>
      <c r="AK40" s="391">
        <f ca="1">IF(AI40&lt;&gt;0,вРазн(AI40,AH40), 0)</f>
        <v>6.9445371627807617E-4</v>
      </c>
      <c r="AL40" s="393">
        <f t="shared" ca="1" si="106"/>
        <v>60</v>
      </c>
      <c r="AM40" s="394">
        <f t="shared" ca="1" si="26"/>
        <v>2.43055559694767E-2</v>
      </c>
      <c r="AN40" s="391"/>
      <c r="AO40" s="395">
        <f t="shared" ca="1" si="107"/>
        <v>0</v>
      </c>
      <c r="AP40" s="390">
        <f t="shared" ca="1" si="108"/>
        <v>0.58750000041392114</v>
      </c>
      <c r="AQ40" s="391">
        <f t="shared" ca="1" si="109"/>
        <v>0.58611111111111114</v>
      </c>
      <c r="AR40" s="392" t="str">
        <f ca="1">IF(AQ40&lt;&gt;0,вПМ(AQ40,AP40),"")</f>
        <v>-</v>
      </c>
      <c r="AS40" s="391">
        <f ca="1">IF(AQ40&lt;&gt;0,вРазн(AQ40,AP40), 0)</f>
        <v>1.388847827911377E-3</v>
      </c>
      <c r="AT40" s="393">
        <f t="shared" ca="1" si="110"/>
        <v>120</v>
      </c>
      <c r="AU40" s="394">
        <f t="shared" ca="1" si="31"/>
        <v>3.125E-2</v>
      </c>
      <c r="AV40" s="391"/>
      <c r="AW40" s="395">
        <f t="shared" ca="1" si="111"/>
        <v>0</v>
      </c>
      <c r="AX40" s="390">
        <f t="shared" ca="1" si="112"/>
        <v>0.62222222222222223</v>
      </c>
      <c r="AY40" s="391">
        <f t="shared" ca="1" si="113"/>
        <v>0.62152777777777779</v>
      </c>
      <c r="AZ40" s="392" t="str">
        <f ca="1">IF(AY40&lt;&gt;0,вПМ(AY40,AX40),"")</f>
        <v>-</v>
      </c>
      <c r="BA40" s="391">
        <f ca="1">IF(AY40&lt;&gt;0,вРазн(AY40,AX40), 0)</f>
        <v>6.9445371627807617E-4</v>
      </c>
      <c r="BB40" s="393">
        <f t="shared" ca="1" si="114"/>
        <v>60</v>
      </c>
      <c r="BC40" s="394">
        <f t="shared" ca="1" si="36"/>
        <v>4.1666667908430099E-2</v>
      </c>
      <c r="BD40" s="391"/>
      <c r="BE40" s="395">
        <f t="shared" ca="1" si="115"/>
        <v>0</v>
      </c>
      <c r="BF40" s="390">
        <f t="shared" ca="1" si="116"/>
        <v>0.66319444568620789</v>
      </c>
      <c r="BG40" s="391">
        <f t="shared" ca="1" si="117"/>
        <v>0.66111111111111109</v>
      </c>
      <c r="BH40" s="392" t="str">
        <f ca="1">IF(BG40&lt;&gt;0,вПМ(BG40,BF40),"")</f>
        <v>-</v>
      </c>
      <c r="BI40" s="391">
        <f ca="1">IF(BG40&lt;&gt;0,вРазн(BG40,BF40), 0)</f>
        <v>2.0833015441894531E-3</v>
      </c>
      <c r="BJ40" s="393">
        <f t="shared" ca="1" si="118"/>
        <v>180</v>
      </c>
      <c r="BK40" s="394">
        <f t="shared" ca="1" si="41"/>
        <v>2.777777798473835E-2</v>
      </c>
      <c r="BL40" s="391"/>
      <c r="BM40" s="395">
        <f t="shared" ca="1" si="119"/>
        <v>0</v>
      </c>
      <c r="BN40" s="390">
        <f t="shared" ca="1" si="120"/>
        <v>0.68888888909584944</v>
      </c>
      <c r="BO40" s="391">
        <f t="shared" ca="1" si="121"/>
        <v>0.68125000000000002</v>
      </c>
      <c r="BP40" s="392" t="str">
        <f ca="1">IF(BO40&lt;&gt;0,вПМ(BO40,BN40),"")</f>
        <v>-</v>
      </c>
      <c r="BQ40" s="391">
        <f ca="1">IF(BO40&lt;&gt;0,вРазн(BO40,BN40), 0)</f>
        <v>7.6389312744140625E-3</v>
      </c>
      <c r="BR40" s="396">
        <f t="shared" ca="1" si="122"/>
        <v>0</v>
      </c>
      <c r="BS40" s="390">
        <f t="shared" ca="1" si="46"/>
        <v>0</v>
      </c>
      <c r="BT40" s="391">
        <f t="shared" ca="1" si="123"/>
        <v>0</v>
      </c>
      <c r="BU40" s="391">
        <f t="shared" ca="1" si="124"/>
        <v>0</v>
      </c>
      <c r="BV40" s="401">
        <f t="shared" ca="1" si="125"/>
        <v>93.3</v>
      </c>
      <c r="BW40" s="401">
        <f t="shared" ca="1" si="126"/>
        <v>0</v>
      </c>
      <c r="BX40" s="392">
        <f t="shared" ca="1" si="127"/>
        <v>0</v>
      </c>
      <c r="BY40" s="392">
        <f t="shared" ca="1" si="128"/>
        <v>0</v>
      </c>
      <c r="BZ40" s="392" t="str">
        <f t="shared" ca="1" si="129"/>
        <v>да</v>
      </c>
      <c r="CA40" s="462">
        <f t="shared" ca="1" si="130"/>
        <v>579.9</v>
      </c>
      <c r="CB40" s="390">
        <f t="shared" ca="1" si="52"/>
        <v>0.48958333333333331</v>
      </c>
      <c r="CC40" s="391">
        <f t="shared" ca="1" si="131"/>
        <v>0.48958333333333331</v>
      </c>
      <c r="CD40" s="391">
        <f ca="1">IF(OR(CB40=0,CC40=0),0,вРазн(CC40,CB40))</f>
        <v>0</v>
      </c>
      <c r="CE40" s="391"/>
      <c r="CF40" s="391"/>
      <c r="CG40" s="397">
        <f t="shared" ca="1" si="132"/>
        <v>0.49737268518518518</v>
      </c>
      <c r="CH40" s="398">
        <f t="shared" ca="1" si="54"/>
        <v>0.49777777777777782</v>
      </c>
      <c r="CI40" s="399" t="str">
        <f ca="1">IF(CH40&lt;&gt;0,вПМ(CH40,CG40,"s"),"")</f>
        <v>+</v>
      </c>
      <c r="CJ40" s="398">
        <f ca="1">IF(CH40&lt;&gt;0,вРазн(CH40,CG40,"s"), 0)</f>
        <v>4.0510296821594238E-4</v>
      </c>
      <c r="CK40" s="462">
        <f t="shared" ca="1" si="133"/>
        <v>35</v>
      </c>
      <c r="CL40" s="397">
        <f t="shared" ca="1" si="134"/>
        <v>0.51203703703703707</v>
      </c>
      <c r="CM40" s="398">
        <f t="shared" ca="1" si="57"/>
        <v>0.50859953703703698</v>
      </c>
      <c r="CN40" s="392" t="str">
        <f ca="1">IF(AND(CM40&lt;&gt;0,CL40&lt;&gt;0),вПМ(CM40,CL40,"s"),"")</f>
        <v>-</v>
      </c>
      <c r="CO40" s="398">
        <f ca="1">IF(AND(CM40&lt;&gt;0,CL40&lt;&gt;0),вРазн(CM40,CL40,"s"), 0)</f>
        <v>3.4375190734863281E-3</v>
      </c>
      <c r="CP40" s="462">
        <f t="shared" ca="1" si="135"/>
        <v>297</v>
      </c>
      <c r="CQ40" s="390">
        <f t="shared" ca="1" si="59"/>
        <v>0.59097222222222223</v>
      </c>
      <c r="CR40" s="391">
        <f t="shared" ca="1" si="136"/>
        <v>0.59097222222222223</v>
      </c>
      <c r="CS40" s="391">
        <f ca="1">IF(OR(CQ40=0,CR40=0),0,вРазн(CR40,CQ40))</f>
        <v>0</v>
      </c>
      <c r="CT40" s="391"/>
      <c r="CU40" s="391"/>
      <c r="CV40" s="397">
        <f t="shared" ca="1" si="137"/>
        <v>0.5979282407407408</v>
      </c>
      <c r="CW40" s="398">
        <f t="shared" ca="1" si="61"/>
        <v>0.59777777777777785</v>
      </c>
      <c r="CX40" s="399" t="str">
        <f ca="1">IF(CW40&lt;&gt;0,вПМ(CW40,CV40,"s"),"")</f>
        <v>-</v>
      </c>
      <c r="CY40" s="398">
        <f ca="1">IF(CW40&lt;&gt;0,вРазн(CW40,CV40,"s"), 0)</f>
        <v>1.5044212341308594E-4</v>
      </c>
      <c r="CZ40" s="462">
        <f t="shared" ca="1" si="138"/>
        <v>13</v>
      </c>
      <c r="DA40" s="397">
        <f t="shared" ca="1" si="139"/>
        <v>0.59826388888888893</v>
      </c>
      <c r="DB40" s="398">
        <f t="shared" ca="1" si="64"/>
        <v>0.59814814814814821</v>
      </c>
      <c r="DC40" s="392" t="str">
        <f ca="1">IF(AND(DB40&lt;&gt;0,DA40&lt;&gt;0),вПМ(DB40,DA40,"s"),"")</f>
        <v>-</v>
      </c>
      <c r="DD40" s="398">
        <f ca="1">IF(AND(DB40&lt;&gt;0,DA40&lt;&gt;0),вРазн(DB40,DA40,"s"), 0)</f>
        <v>1.156926155090332E-4</v>
      </c>
      <c r="DE40" s="462">
        <f t="shared" ca="1" si="140"/>
        <v>10</v>
      </c>
      <c r="DF40" s="390">
        <f t="shared" ca="1" si="66"/>
        <v>0</v>
      </c>
      <c r="DG40" s="391">
        <f t="shared" ca="1" si="141"/>
        <v>0</v>
      </c>
      <c r="DH40" s="391">
        <f t="shared" ca="1" si="142"/>
        <v>0</v>
      </c>
      <c r="DI40" s="401">
        <f t="shared" ca="1" si="143"/>
        <v>38.9</v>
      </c>
      <c r="DJ40" s="401">
        <f t="shared" ca="1" si="144"/>
        <v>0</v>
      </c>
      <c r="DK40" s="392">
        <f t="shared" ca="1" si="145"/>
        <v>0</v>
      </c>
      <c r="DL40" s="392" t="str">
        <f t="shared" ca="1" si="146"/>
        <v>да</v>
      </c>
      <c r="DM40" s="392" t="str">
        <f t="shared" ca="1" si="147"/>
        <v>да</v>
      </c>
      <c r="DN40" s="462">
        <f t="shared" ca="1" si="148"/>
        <v>476.7</v>
      </c>
      <c r="DO40" s="402">
        <f t="shared" ca="1" si="72"/>
        <v>0</v>
      </c>
      <c r="DP40" s="400">
        <f t="shared" ca="1" si="149"/>
        <v>0</v>
      </c>
      <c r="DQ40" s="402">
        <f t="shared" ca="1" si="72"/>
        <v>0</v>
      </c>
      <c r="DR40" s="400">
        <f t="shared" ca="1" si="150"/>
        <v>720</v>
      </c>
      <c r="DS40" s="390">
        <f t="shared" ca="1" si="164"/>
        <v>0.66875000000000007</v>
      </c>
      <c r="DT40" s="396">
        <f t="shared" ca="1" si="151"/>
        <v>0</v>
      </c>
      <c r="DU40" s="390">
        <f t="shared" ca="1" si="164"/>
        <v>0</v>
      </c>
      <c r="DV40" s="396">
        <f t="shared" ca="1" si="152"/>
        <v>900</v>
      </c>
      <c r="DW40" s="459"/>
      <c r="DX40" s="459"/>
      <c r="DY40" s="459"/>
      <c r="DZ40" s="459"/>
      <c r="EA40" s="459"/>
      <c r="EB40" s="459"/>
      <c r="EC40" s="459"/>
      <c r="ED40" s="459"/>
      <c r="EE40" s="459"/>
      <c r="EF40" s="459"/>
      <c r="EG40" s="459"/>
      <c r="EH40" s="459"/>
      <c r="EI40" s="459"/>
      <c r="EJ40" s="459"/>
      <c r="EK40" s="459"/>
      <c r="EL40" s="459"/>
      <c r="EM40" s="459"/>
      <c r="EN40" s="459"/>
      <c r="EO40" s="459"/>
      <c r="EP40" s="459"/>
      <c r="EQ40" s="459"/>
      <c r="ER40" s="459"/>
      <c r="ES40" s="459"/>
      <c r="ET40" s="459"/>
      <c r="EU40" s="390" t="e">
        <f t="shared" ca="1" si="153"/>
        <v>#VALUE!</v>
      </c>
      <c r="EV40" s="391">
        <f t="shared" ca="1" si="154"/>
        <v>0</v>
      </c>
      <c r="EW40" s="392" t="e">
        <f ca="1">IF(AND(EV40&lt;&gt;0,EU40&lt;&gt;0),вПМ(EV40,EU40),"")</f>
        <v>#VALUE!</v>
      </c>
      <c r="EX40" s="391">
        <f ca="1">IF(EV40&lt;&gt;0,вРазн(EV40,EU40), 0)</f>
        <v>0</v>
      </c>
      <c r="EY40" s="396">
        <f t="shared" ca="1" si="155"/>
        <v>900</v>
      </c>
      <c r="EZ40" s="390">
        <f t="shared" ca="1" si="81"/>
        <v>0</v>
      </c>
      <c r="FA40" s="391">
        <f t="shared" ca="1" si="156"/>
        <v>0</v>
      </c>
      <c r="FB40" s="391">
        <f t="shared" ca="1" si="157"/>
        <v>0</v>
      </c>
      <c r="FC40" s="401">
        <f t="shared" ca="1" si="158"/>
        <v>93.3</v>
      </c>
      <c r="FD40" s="401">
        <f t="shared" ca="1" si="159"/>
        <v>0</v>
      </c>
      <c r="FE40" s="401">
        <f t="shared" ca="1" si="160"/>
        <v>0</v>
      </c>
      <c r="FF40" s="392">
        <f t="shared" ca="1" si="161"/>
        <v>0</v>
      </c>
      <c r="FG40" s="392" t="str">
        <f t="shared" ca="1" si="162"/>
        <v>да</v>
      </c>
      <c r="FH40" s="462">
        <f t="shared" ca="1" si="163"/>
        <v>339.9</v>
      </c>
      <c r="FI40" s="403"/>
    </row>
    <row r="41" spans="1:165" s="20" customFormat="1" x14ac:dyDescent="0.25">
      <c r="A41" s="253">
        <f>стартоваяВедомость!B41</f>
        <v>37</v>
      </c>
      <c r="B41" s="241" t="str">
        <f t="shared" ca="1" si="1"/>
        <v>Skoda Rapid</v>
      </c>
      <c r="C41" s="241" t="str">
        <f t="shared" ca="1" si="2"/>
        <v xml:space="preserve">Пасенков Тимур </v>
      </c>
      <c r="D41" s="241" t="str">
        <f t="shared" ca="1" si="3"/>
        <v xml:space="preserve">Баранов максим </v>
      </c>
      <c r="E41" s="241" t="str">
        <f t="shared" ca="1" si="4"/>
        <v>Смоленск</v>
      </c>
      <c r="F41" s="241" t="str">
        <f t="shared" ca="1" si="5"/>
        <v>Light, Кубок</v>
      </c>
      <c r="G41" s="487">
        <f t="shared" ca="1" si="90"/>
        <v>1936.5</v>
      </c>
      <c r="H41" s="487">
        <f t="shared" ca="1" si="91"/>
        <v>300</v>
      </c>
      <c r="I41" s="487">
        <f t="shared" ca="1" si="92"/>
        <v>1036.5</v>
      </c>
      <c r="J41" s="487">
        <f t="shared" ca="1" si="93"/>
        <v>600</v>
      </c>
      <c r="K41" s="242">
        <f t="shared" ca="1" si="9"/>
        <v>0.43888888888888883</v>
      </c>
      <c r="L41" s="122">
        <f t="shared" ca="1" si="94"/>
        <v>0.43888888888888888</v>
      </c>
      <c r="M41" s="243" t="str">
        <f ca="1">IF(L41&lt;&gt;0,вПМ(L41,K41),"")</f>
        <v/>
      </c>
      <c r="N41" s="122">
        <f ca="1">IF(L41&lt;&gt;0,вРазн(L41,K41), 0)</f>
        <v>0</v>
      </c>
      <c r="O41" s="301">
        <f t="shared" ca="1" si="95"/>
        <v>0</v>
      </c>
      <c r="P41" s="300">
        <f t="shared" ca="1" si="12"/>
        <v>4.86111119389534E-2</v>
      </c>
      <c r="Q41" s="294"/>
      <c r="R41" s="242">
        <f t="shared" ca="1" si="96"/>
        <v>0.48750000082784228</v>
      </c>
      <c r="S41" s="122">
        <f t="shared" ca="1" si="97"/>
        <v>0.48749999999999999</v>
      </c>
      <c r="T41" s="243" t="str">
        <f ca="1">IF(S41&lt;&gt;0,вПМ(S41,R41),"")</f>
        <v/>
      </c>
      <c r="U41" s="122">
        <f ca="1">IF(S41&lt;&gt;0,вРазн(S41,R41), 0)</f>
        <v>0</v>
      </c>
      <c r="V41" s="301">
        <f t="shared" ca="1" si="98"/>
        <v>0</v>
      </c>
      <c r="W41" s="300">
        <f t="shared" ca="1" si="16"/>
        <v>4.86111119389534E-2</v>
      </c>
      <c r="X41" s="122"/>
      <c r="Y41" s="294">
        <f t="shared" ca="1" si="99"/>
        <v>0</v>
      </c>
      <c r="Z41" s="242">
        <f t="shared" ca="1" si="100"/>
        <v>0.53958333416117554</v>
      </c>
      <c r="AA41" s="122">
        <f t="shared" ca="1" si="101"/>
        <v>0.5395833333333333</v>
      </c>
      <c r="AB41" s="243" t="str">
        <f ca="1">IF(AA41&lt;&gt;0,вПМ(AA41,Z41),"")</f>
        <v/>
      </c>
      <c r="AC41" s="122">
        <f ca="1">IF(AA41&lt;&gt;0,вРазн(AA41,Z41), 0)</f>
        <v>0</v>
      </c>
      <c r="AD41" s="301">
        <f t="shared" ca="1" si="102"/>
        <v>0</v>
      </c>
      <c r="AE41" s="300">
        <f t="shared" ca="1" si="21"/>
        <v>2.43055559694767E-2</v>
      </c>
      <c r="AF41" s="122"/>
      <c r="AG41" s="294">
        <f t="shared" ca="1" si="103"/>
        <v>0</v>
      </c>
      <c r="AH41" s="242">
        <f t="shared" ca="1" si="104"/>
        <v>0.56388888930281</v>
      </c>
      <c r="AI41" s="122">
        <f t="shared" ca="1" si="105"/>
        <v>0.56388888888888888</v>
      </c>
      <c r="AJ41" s="243" t="str">
        <f ca="1">IF(AI41&lt;&gt;0,вПМ(AI41,AH41),"")</f>
        <v/>
      </c>
      <c r="AK41" s="122">
        <f ca="1">IF(AI41&lt;&gt;0,вРазн(AI41,AH41), 0)</f>
        <v>0</v>
      </c>
      <c r="AL41" s="301">
        <f t="shared" ca="1" si="106"/>
        <v>0</v>
      </c>
      <c r="AM41" s="300">
        <f t="shared" ca="1" si="26"/>
        <v>2.43055559694767E-2</v>
      </c>
      <c r="AN41" s="122"/>
      <c r="AO41" s="294">
        <f t="shared" ca="1" si="107"/>
        <v>0</v>
      </c>
      <c r="AP41" s="242">
        <f t="shared" ca="1" si="108"/>
        <v>0.58819444485836558</v>
      </c>
      <c r="AQ41" s="122">
        <f t="shared" ca="1" si="109"/>
        <v>0.58819444444444446</v>
      </c>
      <c r="AR41" s="243" t="str">
        <f ca="1">IF(AQ41&lt;&gt;0,вПМ(AQ41,AP41),"")</f>
        <v/>
      </c>
      <c r="AS41" s="122">
        <f ca="1">IF(AQ41&lt;&gt;0,вРазн(AQ41,AP41), 0)</f>
        <v>0</v>
      </c>
      <c r="AT41" s="301">
        <f t="shared" ca="1" si="110"/>
        <v>0</v>
      </c>
      <c r="AU41" s="300">
        <f t="shared" ca="1" si="31"/>
        <v>3.125E-2</v>
      </c>
      <c r="AV41" s="122"/>
      <c r="AW41" s="294">
        <f t="shared" ca="1" si="111"/>
        <v>0</v>
      </c>
      <c r="AX41" s="242">
        <f t="shared" ca="1" si="112"/>
        <v>0.62430555555555556</v>
      </c>
      <c r="AY41" s="122">
        <f t="shared" ca="1" si="113"/>
        <v>0.62430555555555556</v>
      </c>
      <c r="AZ41" s="243" t="str">
        <f ca="1">IF(AY41&lt;&gt;0,вПМ(AY41,AX41),"")</f>
        <v/>
      </c>
      <c r="BA41" s="122">
        <f ca="1">IF(AY41&lt;&gt;0,вРазн(AY41,AX41), 0)</f>
        <v>0</v>
      </c>
      <c r="BB41" s="301">
        <f t="shared" ca="1" si="114"/>
        <v>0</v>
      </c>
      <c r="BC41" s="300">
        <f t="shared" ca="1" si="36"/>
        <v>4.1666667908430099E-2</v>
      </c>
      <c r="BD41" s="122"/>
      <c r="BE41" s="294">
        <f t="shared" ca="1" si="115"/>
        <v>0</v>
      </c>
      <c r="BF41" s="242">
        <f t="shared" ca="1" si="116"/>
        <v>0.66597222346398566</v>
      </c>
      <c r="BG41" s="122">
        <f t="shared" ca="1" si="117"/>
        <v>0.66597222222222219</v>
      </c>
      <c r="BH41" s="243" t="str">
        <f ca="1">IF(BG41&lt;&gt;0,вПМ(BG41,BF41),"")</f>
        <v/>
      </c>
      <c r="BI41" s="122">
        <f ca="1">IF(BG41&lt;&gt;0,вРазн(BG41,BF41), 0)</f>
        <v>0</v>
      </c>
      <c r="BJ41" s="301">
        <f t="shared" ca="1" si="118"/>
        <v>0</v>
      </c>
      <c r="BK41" s="300">
        <f t="shared" ca="1" si="41"/>
        <v>2.777777798473835E-2</v>
      </c>
      <c r="BL41" s="122"/>
      <c r="BM41" s="294">
        <f t="shared" ca="1" si="119"/>
        <v>0</v>
      </c>
      <c r="BN41" s="242">
        <f t="shared" ca="1" si="120"/>
        <v>0.69375000020696054</v>
      </c>
      <c r="BO41" s="122">
        <f t="shared" ca="1" si="121"/>
        <v>0.6972222222222223</v>
      </c>
      <c r="BP41" s="243" t="str">
        <f ca="1">IF(BO41&lt;&gt;0,вПМ(BO41,BN41),"")</f>
        <v>+</v>
      </c>
      <c r="BQ41" s="122">
        <f ca="1">IF(BO41&lt;&gt;0,вРазн(BO41,BN41), 0)</f>
        <v>3.4722089767456055E-3</v>
      </c>
      <c r="BR41" s="244">
        <f t="shared" ca="1" si="122"/>
        <v>300</v>
      </c>
      <c r="BS41" s="242">
        <f t="shared" ca="1" si="46"/>
        <v>0</v>
      </c>
      <c r="BT41" s="122">
        <f t="shared" ca="1" si="123"/>
        <v>0</v>
      </c>
      <c r="BU41" s="122">
        <f t="shared" ca="1" si="124"/>
        <v>0</v>
      </c>
      <c r="BV41" s="248">
        <f t="shared" ca="1" si="125"/>
        <v>69</v>
      </c>
      <c r="BW41" s="248">
        <f t="shared" ca="1" si="126"/>
        <v>0</v>
      </c>
      <c r="BX41" s="243">
        <f t="shared" ca="1" si="127"/>
        <v>0</v>
      </c>
      <c r="BY41" s="243" t="str">
        <f t="shared" ca="1" si="128"/>
        <v>да</v>
      </c>
      <c r="BZ41" s="243">
        <f t="shared" ca="1" si="129"/>
        <v>0</v>
      </c>
      <c r="CA41" s="463">
        <f t="shared" ca="1" si="130"/>
        <v>267</v>
      </c>
      <c r="CB41" s="242">
        <f t="shared" ca="1" si="52"/>
        <v>0.4909722222222222</v>
      </c>
      <c r="CC41" s="122">
        <f t="shared" ca="1" si="131"/>
        <v>0.4909722222222222</v>
      </c>
      <c r="CD41" s="122">
        <f ca="1">IF(OR(CB41=0,CC41=0),0,вРазн(CC41,CB41))</f>
        <v>0</v>
      </c>
      <c r="CE41" s="122"/>
      <c r="CF41" s="122"/>
      <c r="CG41" s="247">
        <f t="shared" ca="1" si="132"/>
        <v>0.49876157407407407</v>
      </c>
      <c r="CH41" s="245">
        <f t="shared" ca="1" si="54"/>
        <v>0.50069444444444444</v>
      </c>
      <c r="CI41" s="240" t="str">
        <f ca="1">IF(CH41&lt;&gt;0,вПМ(CH41,CG41,"s"),"")</f>
        <v>+</v>
      </c>
      <c r="CJ41" s="245">
        <f ca="1">IF(CH41&lt;&gt;0,вРазн(CH41,CG41,"s"), 0)</f>
        <v>1.9328892230987549E-3</v>
      </c>
      <c r="CK41" s="463">
        <f t="shared" ca="1" si="133"/>
        <v>167</v>
      </c>
      <c r="CL41" s="247">
        <f t="shared" ca="1" si="134"/>
        <v>0.51495370370370375</v>
      </c>
      <c r="CM41" s="245">
        <f t="shared" ca="1" si="57"/>
        <v>0.51487268518518514</v>
      </c>
      <c r="CN41" s="243" t="str">
        <f ca="1">IF(AND(CM41&lt;&gt;0,CL41&lt;&gt;0),вПМ(CM41,CL41,"s"),"")</f>
        <v>-</v>
      </c>
      <c r="CO41" s="245">
        <f ca="1">IF(AND(CM41&lt;&gt;0,CL41&lt;&gt;0),вРазн(CM41,CL41,"s"), 0)</f>
        <v>8.106231689453125E-5</v>
      </c>
      <c r="CP41" s="463">
        <f t="shared" ca="1" si="135"/>
        <v>7</v>
      </c>
      <c r="CQ41" s="242">
        <f t="shared" ca="1" si="59"/>
        <v>0.59305555555555556</v>
      </c>
      <c r="CR41" s="122">
        <f t="shared" ca="1" si="136"/>
        <v>0.59305555555555556</v>
      </c>
      <c r="CS41" s="122">
        <f ca="1">IF(OR(CQ41=0,CR41=0),0,вРазн(CR41,CQ41))</f>
        <v>0</v>
      </c>
      <c r="CT41" s="122"/>
      <c r="CU41" s="122"/>
      <c r="CV41" s="247">
        <f t="shared" ca="1" si="137"/>
        <v>0.60001157407407413</v>
      </c>
      <c r="CW41" s="245">
        <f t="shared" ca="1" si="61"/>
        <v>0.60122685185185187</v>
      </c>
      <c r="CX41" s="240" t="str">
        <f ca="1">IF(CW41&lt;&gt;0,вПМ(CW41,CV41,"s"),"")</f>
        <v>+</v>
      </c>
      <c r="CY41" s="245">
        <f ca="1">IF(CW41&lt;&gt;0,вРазн(CW41,CV41,"s"), 0)</f>
        <v>1.2152791023254395E-3</v>
      </c>
      <c r="CZ41" s="463">
        <f t="shared" ca="1" si="138"/>
        <v>105</v>
      </c>
      <c r="DA41" s="247">
        <f t="shared" ca="1" si="139"/>
        <v>0.60171296296296295</v>
      </c>
      <c r="DB41" s="245">
        <f t="shared" ca="1" si="64"/>
        <v>0.60174768518518518</v>
      </c>
      <c r="DC41" s="243" t="str">
        <f ca="1">IF(AND(DB41&lt;&gt;0,DA41&lt;&gt;0),вПМ(DB41,DA41,"s"),"")</f>
        <v>+</v>
      </c>
      <c r="DD41" s="245">
        <f ca="1">IF(AND(DB41&lt;&gt;0,DA41&lt;&gt;0),вРазн(DB41,DA41,"s"), 0)</f>
        <v>3.4749507904052734E-5</v>
      </c>
      <c r="DE41" s="463">
        <f t="shared" ca="1" si="140"/>
        <v>3</v>
      </c>
      <c r="DF41" s="242">
        <f t="shared" ca="1" si="66"/>
        <v>0</v>
      </c>
      <c r="DG41" s="122">
        <f t="shared" ca="1" si="141"/>
        <v>0</v>
      </c>
      <c r="DH41" s="122">
        <f t="shared" ca="1" si="142"/>
        <v>0</v>
      </c>
      <c r="DI41" s="248">
        <f t="shared" ca="1" si="143"/>
        <v>42.5</v>
      </c>
      <c r="DJ41" s="248">
        <f t="shared" ca="1" si="144"/>
        <v>0</v>
      </c>
      <c r="DK41" s="243">
        <f t="shared" ca="1" si="145"/>
        <v>0</v>
      </c>
      <c r="DL41" s="243" t="str">
        <f t="shared" ca="1" si="146"/>
        <v>да</v>
      </c>
      <c r="DM41" s="243" t="str">
        <f t="shared" ca="1" si="147"/>
        <v>да</v>
      </c>
      <c r="DN41" s="463">
        <f t="shared" ca="1" si="148"/>
        <v>487.5</v>
      </c>
      <c r="DO41" s="249">
        <f t="shared" ca="1" si="72"/>
        <v>0</v>
      </c>
      <c r="DP41" s="246">
        <f t="shared" ca="1" si="149"/>
        <v>0</v>
      </c>
      <c r="DQ41" s="249">
        <f t="shared" ca="1" si="72"/>
        <v>0</v>
      </c>
      <c r="DR41" s="246">
        <f t="shared" ca="1" si="150"/>
        <v>600</v>
      </c>
      <c r="DS41" s="242">
        <f t="shared" ca="1" si="164"/>
        <v>0.6743055555555556</v>
      </c>
      <c r="DT41" s="244">
        <f t="shared" ca="1" si="151"/>
        <v>0</v>
      </c>
      <c r="DU41" s="242">
        <f t="shared" ca="1" si="164"/>
        <v>0.69305555555555554</v>
      </c>
      <c r="DV41" s="244">
        <f t="shared" ca="1" si="152"/>
        <v>0</v>
      </c>
      <c r="DW41" s="459"/>
      <c r="DX41" s="459"/>
      <c r="DY41" s="459"/>
      <c r="DZ41" s="459"/>
      <c r="EA41" s="459"/>
      <c r="EB41" s="459"/>
      <c r="EC41" s="459"/>
      <c r="ED41" s="459"/>
      <c r="EE41" s="459"/>
      <c r="EF41" s="459"/>
      <c r="EG41" s="459"/>
      <c r="EH41" s="459"/>
      <c r="EI41" s="459"/>
      <c r="EJ41" s="459"/>
      <c r="EK41" s="459"/>
      <c r="EL41" s="459"/>
      <c r="EM41" s="459"/>
      <c r="EN41" s="459"/>
      <c r="EO41" s="459"/>
      <c r="EP41" s="459"/>
      <c r="EQ41" s="459"/>
      <c r="ER41" s="459"/>
      <c r="ES41" s="459"/>
      <c r="ET41" s="459"/>
      <c r="EU41" s="242" t="e">
        <f t="shared" ca="1" si="153"/>
        <v>#VALUE!</v>
      </c>
      <c r="EV41" s="122">
        <f t="shared" ca="1" si="154"/>
        <v>0</v>
      </c>
      <c r="EW41" s="243" t="e">
        <f ca="1">IF(AND(EV41&lt;&gt;0,EU41&lt;&gt;0),вПМ(EV41,EU41),"")</f>
        <v>#VALUE!</v>
      </c>
      <c r="EX41" s="122">
        <f ca="1">IF(EV41&lt;&gt;0,вРазн(EV41,EU41), 0)</f>
        <v>0</v>
      </c>
      <c r="EY41" s="244">
        <f t="shared" ca="1" si="155"/>
        <v>900</v>
      </c>
      <c r="EZ41" s="242">
        <f t="shared" ca="1" si="81"/>
        <v>0</v>
      </c>
      <c r="FA41" s="122">
        <f t="shared" ca="1" si="156"/>
        <v>0</v>
      </c>
      <c r="FB41" s="122">
        <f t="shared" ca="1" si="157"/>
        <v>0</v>
      </c>
      <c r="FC41" s="248">
        <f t="shared" ca="1" si="158"/>
        <v>69</v>
      </c>
      <c r="FD41" s="248">
        <f t="shared" ca="1" si="159"/>
        <v>0</v>
      </c>
      <c r="FE41" s="248">
        <f t="shared" ca="1" si="160"/>
        <v>0</v>
      </c>
      <c r="FF41" s="243" t="str">
        <f t="shared" ca="1" si="161"/>
        <v>да</v>
      </c>
      <c r="FG41" s="243">
        <f t="shared" ca="1" si="162"/>
        <v>0</v>
      </c>
      <c r="FH41" s="463">
        <f t="shared" ca="1" si="163"/>
        <v>237</v>
      </c>
    </row>
    <row r="42" spans="1:165" s="236" customFormat="1" x14ac:dyDescent="0.25">
      <c r="A42" s="388">
        <f>стартоваяВедомость!B42</f>
        <v>38</v>
      </c>
      <c r="B42" s="389" t="str">
        <f t="shared" ca="1" si="1"/>
        <v>Peugeot 308</v>
      </c>
      <c r="C42" s="389" t="str">
        <f t="shared" ca="1" si="2"/>
        <v>Семочкина Оксана</v>
      </c>
      <c r="D42" s="389" t="str">
        <f t="shared" ca="1" si="3"/>
        <v>Кащеев Сергей</v>
      </c>
      <c r="E42" s="389" t="str">
        <f t="shared" ca="1" si="4"/>
        <v>Смоленск</v>
      </c>
      <c r="F42" s="389" t="str">
        <f t="shared" ca="1" si="5"/>
        <v>Light, Аэропорт</v>
      </c>
      <c r="G42" s="486">
        <f t="shared" ca="1" si="90"/>
        <v>972.1</v>
      </c>
      <c r="H42" s="486">
        <f t="shared" ca="1" si="91"/>
        <v>60</v>
      </c>
      <c r="I42" s="486">
        <f t="shared" ca="1" si="92"/>
        <v>432.1</v>
      </c>
      <c r="J42" s="486">
        <f t="shared" ca="1" si="93"/>
        <v>480</v>
      </c>
      <c r="K42" s="390">
        <f t="shared" ca="1" si="9"/>
        <v>0.43958333333333327</v>
      </c>
      <c r="L42" s="391">
        <f t="shared" ca="1" si="94"/>
        <v>0.43888888888888888</v>
      </c>
      <c r="M42" s="392" t="str">
        <f ca="1">IF(L42&lt;&gt;0,вПМ(L42,K42),"")</f>
        <v>-</v>
      </c>
      <c r="N42" s="391">
        <f ca="1">IF(L42&lt;&gt;0,вРазн(L42,K42), 0)</f>
        <v>6.9445371627807617E-4</v>
      </c>
      <c r="O42" s="393">
        <f t="shared" ca="1" si="95"/>
        <v>60</v>
      </c>
      <c r="P42" s="394">
        <f t="shared" ca="1" si="12"/>
        <v>4.86111119389534E-2</v>
      </c>
      <c r="Q42" s="395"/>
      <c r="R42" s="390">
        <f t="shared" ca="1" si="96"/>
        <v>0.48750000082784228</v>
      </c>
      <c r="S42" s="391">
        <f t="shared" ca="1" si="97"/>
        <v>0.48749999999999999</v>
      </c>
      <c r="T42" s="392" t="str">
        <f ca="1">IF(S42&lt;&gt;0,вПМ(S42,R42),"")</f>
        <v/>
      </c>
      <c r="U42" s="391">
        <f ca="1">IF(S42&lt;&gt;0,вРазн(S42,R42), 0)</f>
        <v>0</v>
      </c>
      <c r="V42" s="393">
        <f t="shared" ca="1" si="98"/>
        <v>0</v>
      </c>
      <c r="W42" s="394">
        <f t="shared" ca="1" si="16"/>
        <v>4.86111119389534E-2</v>
      </c>
      <c r="X42" s="391"/>
      <c r="Y42" s="395">
        <f t="shared" ca="1" si="99"/>
        <v>0</v>
      </c>
      <c r="Z42" s="390">
        <f t="shared" ca="1" si="100"/>
        <v>0.53888888971673121</v>
      </c>
      <c r="AA42" s="391">
        <f t="shared" ca="1" si="101"/>
        <v>0.53888888888888886</v>
      </c>
      <c r="AB42" s="392" t="str">
        <f ca="1">IF(AA42&lt;&gt;0,вПМ(AA42,Z42),"")</f>
        <v/>
      </c>
      <c r="AC42" s="391">
        <f ca="1">IF(AA42&lt;&gt;0,вРазн(AA42,Z42), 0)</f>
        <v>0</v>
      </c>
      <c r="AD42" s="393">
        <f t="shared" ca="1" si="102"/>
        <v>0</v>
      </c>
      <c r="AE42" s="394">
        <f t="shared" ca="1" si="21"/>
        <v>2.43055559694767E-2</v>
      </c>
      <c r="AF42" s="391"/>
      <c r="AG42" s="395">
        <f t="shared" ca="1" si="103"/>
        <v>0</v>
      </c>
      <c r="AH42" s="390">
        <f t="shared" ca="1" si="104"/>
        <v>0.56319444485836556</v>
      </c>
      <c r="AI42" s="391">
        <f t="shared" ca="1" si="105"/>
        <v>0.56319444444444444</v>
      </c>
      <c r="AJ42" s="392" t="str">
        <f ca="1">IF(AI42&lt;&gt;0,вПМ(AI42,AH42),"")</f>
        <v/>
      </c>
      <c r="AK42" s="391">
        <f ca="1">IF(AI42&lt;&gt;0,вРазн(AI42,AH42), 0)</f>
        <v>0</v>
      </c>
      <c r="AL42" s="393">
        <f t="shared" ca="1" si="106"/>
        <v>0</v>
      </c>
      <c r="AM42" s="394">
        <f t="shared" ca="1" si="26"/>
        <v>2.43055559694767E-2</v>
      </c>
      <c r="AN42" s="391"/>
      <c r="AO42" s="395">
        <f t="shared" ca="1" si="107"/>
        <v>0</v>
      </c>
      <c r="AP42" s="390">
        <f t="shared" ca="1" si="108"/>
        <v>0.58750000041392114</v>
      </c>
      <c r="AQ42" s="391">
        <f t="shared" ca="1" si="109"/>
        <v>0.58750000000000002</v>
      </c>
      <c r="AR42" s="392" t="str">
        <f ca="1">IF(AQ42&lt;&gt;0,вПМ(AQ42,AP42),"")</f>
        <v/>
      </c>
      <c r="AS42" s="391">
        <f ca="1">IF(AQ42&lt;&gt;0,вРазн(AQ42,AP42), 0)</f>
        <v>0</v>
      </c>
      <c r="AT42" s="393">
        <f t="shared" ca="1" si="110"/>
        <v>0</v>
      </c>
      <c r="AU42" s="394">
        <f t="shared" ca="1" si="31"/>
        <v>3.125E-2</v>
      </c>
      <c r="AV42" s="391"/>
      <c r="AW42" s="395">
        <f t="shared" ca="1" si="111"/>
        <v>0</v>
      </c>
      <c r="AX42" s="390">
        <f t="shared" ca="1" si="112"/>
        <v>0.62361111111111112</v>
      </c>
      <c r="AY42" s="391">
        <f t="shared" ca="1" si="113"/>
        <v>0.62361111111111112</v>
      </c>
      <c r="AZ42" s="392" t="str">
        <f ca="1">IF(AY42&lt;&gt;0,вПМ(AY42,AX42),"")</f>
        <v/>
      </c>
      <c r="BA42" s="391">
        <f ca="1">IF(AY42&lt;&gt;0,вРазн(AY42,AX42), 0)</f>
        <v>0</v>
      </c>
      <c r="BB42" s="393">
        <f t="shared" ca="1" si="114"/>
        <v>0</v>
      </c>
      <c r="BC42" s="394">
        <f t="shared" ca="1" si="36"/>
        <v>4.1666667908430099E-2</v>
      </c>
      <c r="BD42" s="391"/>
      <c r="BE42" s="395">
        <f t="shared" ca="1" si="115"/>
        <v>0</v>
      </c>
      <c r="BF42" s="390">
        <f t="shared" ca="1" si="116"/>
        <v>0.66527777901954122</v>
      </c>
      <c r="BG42" s="391">
        <f t="shared" ca="1" si="117"/>
        <v>0.66527777777777775</v>
      </c>
      <c r="BH42" s="392" t="str">
        <f ca="1">IF(BG42&lt;&gt;0,вПМ(BG42,BF42),"")</f>
        <v/>
      </c>
      <c r="BI42" s="391">
        <f ca="1">IF(BG42&lt;&gt;0,вРазн(BG42,BF42), 0)</f>
        <v>0</v>
      </c>
      <c r="BJ42" s="393">
        <f t="shared" ca="1" si="118"/>
        <v>0</v>
      </c>
      <c r="BK42" s="394">
        <f t="shared" ca="1" si="41"/>
        <v>2.777777798473835E-2</v>
      </c>
      <c r="BL42" s="391"/>
      <c r="BM42" s="395">
        <f t="shared" ca="1" si="119"/>
        <v>0</v>
      </c>
      <c r="BN42" s="390">
        <f t="shared" ca="1" si="120"/>
        <v>0.6930555557625161</v>
      </c>
      <c r="BO42" s="391">
        <f t="shared" ca="1" si="121"/>
        <v>0.69305555555555554</v>
      </c>
      <c r="BP42" s="392" t="str">
        <f ca="1">IF(BO42&lt;&gt;0,вПМ(BO42,BN42),"")</f>
        <v/>
      </c>
      <c r="BQ42" s="391">
        <f ca="1">IF(BO42&lt;&gt;0,вРазн(BO42,BN42), 0)</f>
        <v>0</v>
      </c>
      <c r="BR42" s="396">
        <f t="shared" ca="1" si="122"/>
        <v>0</v>
      </c>
      <c r="BS42" s="390">
        <f t="shared" ca="1" si="46"/>
        <v>0</v>
      </c>
      <c r="BT42" s="391">
        <f t="shared" ca="1" si="123"/>
        <v>0</v>
      </c>
      <c r="BU42" s="391">
        <f t="shared" ca="1" si="124"/>
        <v>0</v>
      </c>
      <c r="BV42" s="401">
        <f t="shared" ca="1" si="125"/>
        <v>63.1</v>
      </c>
      <c r="BW42" s="401">
        <f t="shared" ca="1" si="126"/>
        <v>0</v>
      </c>
      <c r="BX42" s="392">
        <f t="shared" ca="1" si="127"/>
        <v>0</v>
      </c>
      <c r="BY42" s="392">
        <f t="shared" ca="1" si="128"/>
        <v>0</v>
      </c>
      <c r="BZ42" s="392">
        <f t="shared" ca="1" si="129"/>
        <v>0</v>
      </c>
      <c r="CA42" s="462">
        <f t="shared" ca="1" si="130"/>
        <v>189.3</v>
      </c>
      <c r="CB42" s="390">
        <f t="shared" ca="1" si="52"/>
        <v>0.49027777777777781</v>
      </c>
      <c r="CC42" s="391">
        <f t="shared" ca="1" si="131"/>
        <v>0.49027777777777781</v>
      </c>
      <c r="CD42" s="391">
        <f ca="1">IF(OR(CB42=0,CC42=0),0,вРазн(CC42,CB42))</f>
        <v>0</v>
      </c>
      <c r="CE42" s="391"/>
      <c r="CF42" s="391"/>
      <c r="CG42" s="397">
        <f t="shared" ca="1" si="132"/>
        <v>0.49806712962962968</v>
      </c>
      <c r="CH42" s="398">
        <f t="shared" ca="1" si="54"/>
        <v>0.49774305555555554</v>
      </c>
      <c r="CI42" s="399" t="str">
        <f ca="1">IF(CH42&lt;&gt;0,вПМ(CH42,CG42,"s"),"")</f>
        <v>-</v>
      </c>
      <c r="CJ42" s="398">
        <f ca="1">IF(CH42&lt;&gt;0,вРазн(CH42,CG42,"s"), 0)</f>
        <v>3.2407045364379883E-4</v>
      </c>
      <c r="CK42" s="462">
        <f t="shared" ca="1" si="133"/>
        <v>28</v>
      </c>
      <c r="CL42" s="397">
        <f t="shared" ca="1" si="134"/>
        <v>0.51200231481481484</v>
      </c>
      <c r="CM42" s="398">
        <f t="shared" ca="1" si="57"/>
        <v>0.5119907407407408</v>
      </c>
      <c r="CN42" s="392" t="str">
        <f ca="1">IF(AND(CM42&lt;&gt;0,CL42&lt;&gt;0),вПМ(CM42,CL42,"s"),"")</f>
        <v>-</v>
      </c>
      <c r="CO42" s="398">
        <f ca="1">IF(AND(CM42&lt;&gt;0,CL42&lt;&gt;0),вРазн(CM42,CL42,"s"), 0)</f>
        <v>1.1563301086425781E-5</v>
      </c>
      <c r="CP42" s="462">
        <f t="shared" ca="1" si="135"/>
        <v>1</v>
      </c>
      <c r="CQ42" s="390">
        <f t="shared" ca="1" si="59"/>
        <v>0.59236111111111112</v>
      </c>
      <c r="CR42" s="391">
        <f t="shared" ca="1" si="136"/>
        <v>0.59236111111111112</v>
      </c>
      <c r="CS42" s="391">
        <f ca="1">IF(OR(CQ42=0,CR42=0),0,вРазн(CR42,CQ42))</f>
        <v>0</v>
      </c>
      <c r="CT42" s="391"/>
      <c r="CU42" s="391"/>
      <c r="CV42" s="397">
        <f t="shared" ca="1" si="137"/>
        <v>0.59931712962962969</v>
      </c>
      <c r="CW42" s="398">
        <f t="shared" ca="1" si="61"/>
        <v>0.59986111111111107</v>
      </c>
      <c r="CX42" s="399" t="str">
        <f ca="1">IF(CW42&lt;&gt;0,вПМ(CW42,CV42,"s"),"")</f>
        <v>+</v>
      </c>
      <c r="CY42" s="398">
        <f ca="1">IF(CW42&lt;&gt;0,вРазн(CW42,CV42,"s"), 0)</f>
        <v>5.4395198822021484E-4</v>
      </c>
      <c r="CZ42" s="462">
        <f t="shared" ca="1" si="138"/>
        <v>47</v>
      </c>
      <c r="DA42" s="397">
        <f t="shared" ca="1" si="139"/>
        <v>0.60034722222222214</v>
      </c>
      <c r="DB42" s="398">
        <f t="shared" ca="1" si="64"/>
        <v>0.60034722222222225</v>
      </c>
      <c r="DC42" s="392" t="str">
        <f ca="1">IF(AND(DB42&lt;&gt;0,DA42&lt;&gt;0),вПМ(DB42,DA42,"s"),"")</f>
        <v/>
      </c>
      <c r="DD42" s="398">
        <f ca="1">IF(AND(DB42&lt;&gt;0,DA42&lt;&gt;0),вРазн(DB42,DA42,"s"), 0)</f>
        <v>0</v>
      </c>
      <c r="DE42" s="462">
        <f t="shared" ca="1" si="140"/>
        <v>0</v>
      </c>
      <c r="DF42" s="390">
        <f t="shared" ca="1" si="66"/>
        <v>0</v>
      </c>
      <c r="DG42" s="391">
        <f t="shared" ca="1" si="141"/>
        <v>0</v>
      </c>
      <c r="DH42" s="391">
        <f t="shared" ca="1" si="142"/>
        <v>0</v>
      </c>
      <c r="DI42" s="401">
        <f t="shared" ca="1" si="143"/>
        <v>55.6</v>
      </c>
      <c r="DJ42" s="401">
        <f t="shared" ca="1" si="144"/>
        <v>0</v>
      </c>
      <c r="DK42" s="392">
        <f t="shared" ca="1" si="145"/>
        <v>0</v>
      </c>
      <c r="DL42" s="392">
        <f t="shared" ca="1" si="146"/>
        <v>0</v>
      </c>
      <c r="DM42" s="392">
        <f t="shared" ca="1" si="147"/>
        <v>0</v>
      </c>
      <c r="DN42" s="462">
        <f t="shared" ca="1" si="148"/>
        <v>166.8</v>
      </c>
      <c r="DO42" s="402">
        <f t="shared" ca="1" si="72"/>
        <v>0</v>
      </c>
      <c r="DP42" s="400">
        <f t="shared" ca="1" si="149"/>
        <v>0</v>
      </c>
      <c r="DQ42" s="402">
        <f t="shared" ca="1" si="72"/>
        <v>0</v>
      </c>
      <c r="DR42" s="400">
        <f t="shared" ca="1" si="150"/>
        <v>480</v>
      </c>
      <c r="DS42" s="390">
        <f t="shared" ca="1" si="164"/>
        <v>0.67291666666666661</v>
      </c>
      <c r="DT42" s="396">
        <f t="shared" ca="1" si="151"/>
        <v>0</v>
      </c>
      <c r="DU42" s="390">
        <f t="shared" ca="1" si="164"/>
        <v>0.68819444444444444</v>
      </c>
      <c r="DV42" s="396">
        <f t="shared" ca="1" si="152"/>
        <v>0</v>
      </c>
      <c r="DW42" s="459"/>
      <c r="DX42" s="459"/>
      <c r="DY42" s="459"/>
      <c r="DZ42" s="459"/>
      <c r="EA42" s="459"/>
      <c r="EB42" s="459"/>
      <c r="EC42" s="459"/>
      <c r="ED42" s="459"/>
      <c r="EE42" s="459"/>
      <c r="EF42" s="459"/>
      <c r="EG42" s="459"/>
      <c r="EH42" s="459"/>
      <c r="EI42" s="459"/>
      <c r="EJ42" s="459"/>
      <c r="EK42" s="459"/>
      <c r="EL42" s="459"/>
      <c r="EM42" s="459"/>
      <c r="EN42" s="459"/>
      <c r="EO42" s="459"/>
      <c r="EP42" s="459"/>
      <c r="EQ42" s="459"/>
      <c r="ER42" s="459"/>
      <c r="ES42" s="459"/>
      <c r="ET42" s="459"/>
      <c r="EU42" s="390" t="e">
        <f t="shared" ca="1" si="153"/>
        <v>#VALUE!</v>
      </c>
      <c r="EV42" s="391">
        <f t="shared" ca="1" si="154"/>
        <v>0</v>
      </c>
      <c r="EW42" s="392" t="e">
        <f ca="1">IF(AND(EV42&lt;&gt;0,EU42&lt;&gt;0),вПМ(EV42,EU42),"")</f>
        <v>#VALUE!</v>
      </c>
      <c r="EX42" s="391">
        <f ca="1">IF(EV42&lt;&gt;0,вРазн(EV42,EU42), 0)</f>
        <v>0</v>
      </c>
      <c r="EY42" s="396">
        <f t="shared" ca="1" si="155"/>
        <v>900</v>
      </c>
      <c r="EZ42" s="390">
        <f t="shared" ca="1" si="81"/>
        <v>0</v>
      </c>
      <c r="FA42" s="391">
        <f t="shared" ca="1" si="156"/>
        <v>0</v>
      </c>
      <c r="FB42" s="391">
        <f t="shared" ca="1" si="157"/>
        <v>0</v>
      </c>
      <c r="FC42" s="401">
        <f t="shared" ca="1" si="158"/>
        <v>63.1</v>
      </c>
      <c r="FD42" s="401">
        <f t="shared" ca="1" si="159"/>
        <v>0</v>
      </c>
      <c r="FE42" s="401">
        <f t="shared" ca="1" si="160"/>
        <v>0</v>
      </c>
      <c r="FF42" s="392">
        <f t="shared" ca="1" si="161"/>
        <v>0</v>
      </c>
      <c r="FG42" s="392">
        <f t="shared" ca="1" si="162"/>
        <v>0</v>
      </c>
      <c r="FH42" s="462">
        <f t="shared" ca="1" si="163"/>
        <v>189.3</v>
      </c>
      <c r="FI42" s="403"/>
    </row>
    <row r="43" spans="1:165" s="20" customFormat="1" x14ac:dyDescent="0.25">
      <c r="A43" s="253">
        <f>стартоваяВедомость!B43</f>
        <v>39</v>
      </c>
      <c r="B43" s="241" t="str">
        <f t="shared" ca="1" si="1"/>
        <v>Ford Focus 2</v>
      </c>
      <c r="C43" s="241" t="str">
        <f t="shared" ca="1" si="2"/>
        <v xml:space="preserve">Черненков Иван </v>
      </c>
      <c r="D43" s="241" t="str">
        <f t="shared" ca="1" si="3"/>
        <v xml:space="preserve">Голешов Александр </v>
      </c>
      <c r="E43" s="241" t="str">
        <f t="shared" ca="1" si="4"/>
        <v xml:space="preserve">Смоленск </v>
      </c>
      <c r="F43" s="241" t="str">
        <f t="shared" ca="1" si="5"/>
        <v>Light, Аэропорт</v>
      </c>
      <c r="G43" s="487">
        <f t="shared" ca="1" si="90"/>
        <v>4326.8</v>
      </c>
      <c r="H43" s="487">
        <f t="shared" ca="1" si="91"/>
        <v>1860</v>
      </c>
      <c r="I43" s="487">
        <f t="shared" ca="1" si="92"/>
        <v>1506.8</v>
      </c>
      <c r="J43" s="487">
        <f t="shared" ca="1" si="93"/>
        <v>960</v>
      </c>
      <c r="K43" s="242">
        <f t="shared" ca="1" si="9"/>
        <v>0.44027777777777771</v>
      </c>
      <c r="L43" s="122">
        <f t="shared" ca="1" si="94"/>
        <v>0.44027777777777777</v>
      </c>
      <c r="M43" s="243" t="str">
        <f ca="1">IF(L43&lt;&gt;0,вПМ(L43,K43),"")</f>
        <v/>
      </c>
      <c r="N43" s="122">
        <f ca="1">IF(L43&lt;&gt;0,вРазн(L43,K43), 0)</f>
        <v>0</v>
      </c>
      <c r="O43" s="301">
        <f t="shared" ca="1" si="95"/>
        <v>0</v>
      </c>
      <c r="P43" s="300">
        <f t="shared" ca="1" si="12"/>
        <v>4.86111119389534E-2</v>
      </c>
      <c r="Q43" s="294"/>
      <c r="R43" s="242">
        <f t="shared" ca="1" si="96"/>
        <v>0.48888888971673117</v>
      </c>
      <c r="S43" s="122">
        <f t="shared" ca="1" si="97"/>
        <v>0.48819444444444443</v>
      </c>
      <c r="T43" s="243" t="str">
        <f ca="1">IF(S43&lt;&gt;0,вПМ(S43,R43),"")</f>
        <v>-</v>
      </c>
      <c r="U43" s="122">
        <f ca="1">IF(S43&lt;&gt;0,вРазн(S43,R43), 0)</f>
        <v>6.9445371627807617E-4</v>
      </c>
      <c r="V43" s="301">
        <f t="shared" ca="1" si="98"/>
        <v>60</v>
      </c>
      <c r="W43" s="300">
        <f t="shared" ca="1" si="16"/>
        <v>4.86111119389534E-2</v>
      </c>
      <c r="X43" s="122"/>
      <c r="Y43" s="294">
        <f t="shared" ca="1" si="99"/>
        <v>0</v>
      </c>
      <c r="Z43" s="242">
        <f t="shared" ca="1" si="100"/>
        <v>0.5402777786056201</v>
      </c>
      <c r="AA43" s="122">
        <f t="shared" ca="1" si="101"/>
        <v>0.54027777777777775</v>
      </c>
      <c r="AB43" s="243" t="str">
        <f ca="1">IF(AA43&lt;&gt;0,вПМ(AA43,Z43),"")</f>
        <v/>
      </c>
      <c r="AC43" s="122">
        <f ca="1">IF(AA43&lt;&gt;0,вРазн(AA43,Z43), 0)</f>
        <v>0</v>
      </c>
      <c r="AD43" s="301">
        <f t="shared" ca="1" si="102"/>
        <v>0</v>
      </c>
      <c r="AE43" s="300">
        <f t="shared" ca="1" si="21"/>
        <v>2.43055559694767E-2</v>
      </c>
      <c r="AF43" s="122"/>
      <c r="AG43" s="294">
        <f t="shared" ca="1" si="103"/>
        <v>0</v>
      </c>
      <c r="AH43" s="242">
        <f t="shared" ca="1" si="104"/>
        <v>0.56458333374725445</v>
      </c>
      <c r="AI43" s="122">
        <f t="shared" ca="1" si="105"/>
        <v>0.56458333333333333</v>
      </c>
      <c r="AJ43" s="243" t="str">
        <f ca="1">IF(AI43&lt;&gt;0,вПМ(AI43,AH43),"")</f>
        <v/>
      </c>
      <c r="AK43" s="122">
        <f ca="1">IF(AI43&lt;&gt;0,вРазн(AI43,AH43), 0)</f>
        <v>0</v>
      </c>
      <c r="AL43" s="301">
        <f t="shared" ca="1" si="106"/>
        <v>0</v>
      </c>
      <c r="AM43" s="300">
        <f t="shared" ca="1" si="26"/>
        <v>2.43055559694767E-2</v>
      </c>
      <c r="AN43" s="122"/>
      <c r="AO43" s="294">
        <f t="shared" ca="1" si="107"/>
        <v>0</v>
      </c>
      <c r="AP43" s="242">
        <f t="shared" ca="1" si="108"/>
        <v>0.58888888930281003</v>
      </c>
      <c r="AQ43" s="122">
        <f t="shared" ca="1" si="109"/>
        <v>0.58888888888888891</v>
      </c>
      <c r="AR43" s="243" t="str">
        <f ca="1">IF(AQ43&lt;&gt;0,вПМ(AQ43,AP43),"")</f>
        <v/>
      </c>
      <c r="AS43" s="122">
        <f ca="1">IF(AQ43&lt;&gt;0,вРазн(AQ43,AP43), 0)</f>
        <v>0</v>
      </c>
      <c r="AT43" s="301">
        <f t="shared" ca="1" si="110"/>
        <v>0</v>
      </c>
      <c r="AU43" s="300">
        <f t="shared" ca="1" si="31"/>
        <v>3.125E-2</v>
      </c>
      <c r="AV43" s="122"/>
      <c r="AW43" s="294">
        <f t="shared" ca="1" si="111"/>
        <v>0</v>
      </c>
      <c r="AX43" s="242">
        <f t="shared" ca="1" si="112"/>
        <v>0.625</v>
      </c>
      <c r="AY43" s="122">
        <f t="shared" ca="1" si="113"/>
        <v>0.625</v>
      </c>
      <c r="AZ43" s="243" t="str">
        <f ca="1">IF(AY43&lt;&gt;0,вПМ(AY43,AX43),"")</f>
        <v/>
      </c>
      <c r="BA43" s="122">
        <f ca="1">IF(AY43&lt;&gt;0,вРазн(AY43,AX43), 0)</f>
        <v>0</v>
      </c>
      <c r="BB43" s="301">
        <f t="shared" ca="1" si="114"/>
        <v>0</v>
      </c>
      <c r="BC43" s="300">
        <f t="shared" ca="1" si="36"/>
        <v>4.1666667908430099E-2</v>
      </c>
      <c r="BD43" s="122"/>
      <c r="BE43" s="294">
        <f t="shared" ca="1" si="115"/>
        <v>0</v>
      </c>
      <c r="BF43" s="242">
        <f t="shared" ca="1" si="116"/>
        <v>0.6666666679084301</v>
      </c>
      <c r="BG43" s="122">
        <f t="shared" ca="1" si="117"/>
        <v>0.66666666666666663</v>
      </c>
      <c r="BH43" s="243" t="str">
        <f ca="1">IF(BG43&lt;&gt;0,вПМ(BG43,BF43),"")</f>
        <v/>
      </c>
      <c r="BI43" s="122">
        <f ca="1">IF(BG43&lt;&gt;0,вРазн(BG43,BF43), 0)</f>
        <v>0</v>
      </c>
      <c r="BJ43" s="301">
        <f t="shared" ca="1" si="118"/>
        <v>0</v>
      </c>
      <c r="BK43" s="300">
        <f t="shared" ca="1" si="41"/>
        <v>2.777777798473835E-2</v>
      </c>
      <c r="BL43" s="122"/>
      <c r="BM43" s="294">
        <f t="shared" ca="1" si="119"/>
        <v>0</v>
      </c>
      <c r="BN43" s="242">
        <f t="shared" ca="1" si="120"/>
        <v>0.69444444465140498</v>
      </c>
      <c r="BO43" s="122">
        <f t="shared" ca="1" si="121"/>
        <v>0.69027777777777777</v>
      </c>
      <c r="BP43" s="243" t="str">
        <f ca="1">IF(BO43&lt;&gt;0,вПМ(BO43,BN43),"")</f>
        <v>-</v>
      </c>
      <c r="BQ43" s="122">
        <f ca="1">IF(BO43&lt;&gt;0,вРазн(BO43,BN43), 0)</f>
        <v>4.1666626930236816E-3</v>
      </c>
      <c r="BR43" s="244">
        <f t="shared" ca="1" si="122"/>
        <v>0</v>
      </c>
      <c r="BS43" s="242">
        <f t="shared" ca="1" si="46"/>
        <v>0</v>
      </c>
      <c r="BT43" s="122">
        <f t="shared" ca="1" si="123"/>
        <v>0</v>
      </c>
      <c r="BU43" s="122">
        <f t="shared" ca="1" si="124"/>
        <v>0</v>
      </c>
      <c r="BV43" s="248">
        <f t="shared" ca="1" si="125"/>
        <v>57.1</v>
      </c>
      <c r="BW43" s="248">
        <f t="shared" ca="1" si="126"/>
        <v>0</v>
      </c>
      <c r="BX43" s="243">
        <f t="shared" ca="1" si="127"/>
        <v>0</v>
      </c>
      <c r="BY43" s="243" t="str">
        <f t="shared" ca="1" si="128"/>
        <v>да</v>
      </c>
      <c r="BZ43" s="243">
        <f t="shared" ca="1" si="129"/>
        <v>0</v>
      </c>
      <c r="CA43" s="463">
        <f t="shared" ca="1" si="130"/>
        <v>231.3</v>
      </c>
      <c r="CB43" s="242">
        <f t="shared" ca="1" si="52"/>
        <v>0.4916666666666667</v>
      </c>
      <c r="CC43" s="122">
        <f t="shared" ca="1" si="131"/>
        <v>0.4916666666666667</v>
      </c>
      <c r="CD43" s="122">
        <f ca="1">IF(OR(CB43=0,CC43=0),0,вРазн(CC43,CB43))</f>
        <v>0</v>
      </c>
      <c r="CE43" s="122"/>
      <c r="CF43" s="122"/>
      <c r="CG43" s="247">
        <f t="shared" ca="1" si="132"/>
        <v>0.49945601851851856</v>
      </c>
      <c r="CH43" s="245">
        <f t="shared" ca="1" si="54"/>
        <v>0.50182870370370369</v>
      </c>
      <c r="CI43" s="240" t="str">
        <f ca="1">IF(CH43&lt;&gt;0,вПМ(CH43,CG43,"s"),"")</f>
        <v>+</v>
      </c>
      <c r="CJ43" s="245">
        <f ca="1">IF(CH43&lt;&gt;0,вРазн(CH43,CG43,"s"), 0)</f>
        <v>2.3727118968963623E-3</v>
      </c>
      <c r="CK43" s="463">
        <f t="shared" ca="1" si="133"/>
        <v>205</v>
      </c>
      <c r="CL43" s="247">
        <f t="shared" ca="1" si="134"/>
        <v>0.516087962962963</v>
      </c>
      <c r="CM43" s="245">
        <f t="shared" ca="1" si="57"/>
        <v>0.51928240740740739</v>
      </c>
      <c r="CN43" s="243" t="str">
        <f ca="1">IF(AND(CM43&lt;&gt;0,CL43&lt;&gt;0),вПМ(CM43,CL43,"s"),"")</f>
        <v>+</v>
      </c>
      <c r="CO43" s="245">
        <f ca="1">IF(AND(CM43&lt;&gt;0,CL43&lt;&gt;0),вРазн(CM43,CL43,"s"), 0)</f>
        <v>3.1944513320922852E-3</v>
      </c>
      <c r="CP43" s="463">
        <f t="shared" ca="1" si="135"/>
        <v>276</v>
      </c>
      <c r="CQ43" s="242">
        <f t="shared" ca="1" si="59"/>
        <v>0.59375</v>
      </c>
      <c r="CR43" s="122">
        <f t="shared" ca="1" si="136"/>
        <v>0.59375</v>
      </c>
      <c r="CS43" s="122">
        <f ca="1">IF(OR(CQ43=0,CR43=0),0,вРазн(CR43,CQ43))</f>
        <v>0</v>
      </c>
      <c r="CT43" s="122"/>
      <c r="CU43" s="122"/>
      <c r="CV43" s="247">
        <f t="shared" ca="1" si="137"/>
        <v>0.60070601851851857</v>
      </c>
      <c r="CW43" s="245">
        <f t="shared" ca="1" si="61"/>
        <v>0.60415509259259259</v>
      </c>
      <c r="CX43" s="240" t="str">
        <f ca="1">IF(CW43&lt;&gt;0,вПМ(CW43,CV43,"s"),"")</f>
        <v>+</v>
      </c>
      <c r="CY43" s="245">
        <f ca="1">IF(CW43&lt;&gt;0,вРазн(CW43,CV43,"s"), 0)</f>
        <v>3.4490227699279785E-3</v>
      </c>
      <c r="CZ43" s="463">
        <f t="shared" ca="1" si="138"/>
        <v>298</v>
      </c>
      <c r="DA43" s="247">
        <f t="shared" ca="1" si="139"/>
        <v>0.60464120370370367</v>
      </c>
      <c r="DB43" s="245">
        <f t="shared" ca="1" si="64"/>
        <v>0.60464120370370367</v>
      </c>
      <c r="DC43" s="243" t="str">
        <f ca="1">IF(AND(DB43&lt;&gt;0,DA43&lt;&gt;0),вПМ(DB43,DA43,"s"),"")</f>
        <v/>
      </c>
      <c r="DD43" s="245">
        <f ca="1">IF(AND(DB43&lt;&gt;0,DA43&lt;&gt;0),вРазн(DB43,DA43,"s"), 0)</f>
        <v>0</v>
      </c>
      <c r="DE43" s="463">
        <f t="shared" ca="1" si="140"/>
        <v>0</v>
      </c>
      <c r="DF43" s="242">
        <f t="shared" ca="1" si="66"/>
        <v>0</v>
      </c>
      <c r="DG43" s="122">
        <f t="shared" ca="1" si="141"/>
        <v>0</v>
      </c>
      <c r="DH43" s="122">
        <f t="shared" ca="1" si="142"/>
        <v>0</v>
      </c>
      <c r="DI43" s="248">
        <f t="shared" ca="1" si="143"/>
        <v>45.5</v>
      </c>
      <c r="DJ43" s="248">
        <f t="shared" ca="1" si="144"/>
        <v>0</v>
      </c>
      <c r="DK43" s="243">
        <f t="shared" ca="1" si="145"/>
        <v>0</v>
      </c>
      <c r="DL43" s="243" t="str">
        <f t="shared" ca="1" si="146"/>
        <v>да</v>
      </c>
      <c r="DM43" s="243" t="str">
        <f t="shared" ca="1" si="147"/>
        <v>да</v>
      </c>
      <c r="DN43" s="463">
        <f t="shared" ca="1" si="148"/>
        <v>496.5</v>
      </c>
      <c r="DO43" s="249">
        <f t="shared" ca="1" si="72"/>
        <v>0</v>
      </c>
      <c r="DP43" s="246">
        <f t="shared" ca="1" si="149"/>
        <v>0</v>
      </c>
      <c r="DQ43" s="249">
        <f t="shared" ca="1" si="72"/>
        <v>0</v>
      </c>
      <c r="DR43" s="246">
        <f t="shared" ca="1" si="150"/>
        <v>960</v>
      </c>
      <c r="DS43" s="242">
        <f t="shared" ca="1" si="164"/>
        <v>0</v>
      </c>
      <c r="DT43" s="244">
        <f t="shared" ca="1" si="151"/>
        <v>900</v>
      </c>
      <c r="DU43" s="242">
        <f t="shared" ca="1" si="164"/>
        <v>0</v>
      </c>
      <c r="DV43" s="244">
        <f t="shared" ca="1" si="152"/>
        <v>900</v>
      </c>
      <c r="DW43" s="459"/>
      <c r="DX43" s="459"/>
      <c r="DY43" s="459"/>
      <c r="DZ43" s="459"/>
      <c r="EA43" s="459"/>
      <c r="EB43" s="459"/>
      <c r="EC43" s="459"/>
      <c r="ED43" s="459"/>
      <c r="EE43" s="459"/>
      <c r="EF43" s="459"/>
      <c r="EG43" s="459"/>
      <c r="EH43" s="459"/>
      <c r="EI43" s="459"/>
      <c r="EJ43" s="459"/>
      <c r="EK43" s="459"/>
      <c r="EL43" s="459"/>
      <c r="EM43" s="459"/>
      <c r="EN43" s="459"/>
      <c r="EO43" s="459"/>
      <c r="EP43" s="459"/>
      <c r="EQ43" s="459"/>
      <c r="ER43" s="459"/>
      <c r="ES43" s="459"/>
      <c r="ET43" s="459"/>
      <c r="EU43" s="242" t="e">
        <f t="shared" ca="1" si="153"/>
        <v>#VALUE!</v>
      </c>
      <c r="EV43" s="122">
        <f t="shared" ca="1" si="154"/>
        <v>0</v>
      </c>
      <c r="EW43" s="243" t="e">
        <f ca="1">IF(AND(EV43&lt;&gt;0,EU43&lt;&gt;0),вПМ(EV43,EU43),"")</f>
        <v>#VALUE!</v>
      </c>
      <c r="EX43" s="122">
        <f ca="1">IF(EV43&lt;&gt;0,вРазн(EV43,EU43), 0)</f>
        <v>0</v>
      </c>
      <c r="EY43" s="244">
        <f t="shared" ca="1" si="155"/>
        <v>900</v>
      </c>
      <c r="EZ43" s="242">
        <f t="shared" ca="1" si="81"/>
        <v>0</v>
      </c>
      <c r="FA43" s="122">
        <f t="shared" ca="1" si="156"/>
        <v>0</v>
      </c>
      <c r="FB43" s="122">
        <f t="shared" ca="1" si="157"/>
        <v>0</v>
      </c>
      <c r="FC43" s="248">
        <f t="shared" ca="1" si="158"/>
        <v>57.1</v>
      </c>
      <c r="FD43" s="248">
        <f t="shared" ca="1" si="159"/>
        <v>0</v>
      </c>
      <c r="FE43" s="248">
        <f t="shared" ca="1" si="160"/>
        <v>0</v>
      </c>
      <c r="FF43" s="243" t="str">
        <f t="shared" ca="1" si="161"/>
        <v>да</v>
      </c>
      <c r="FG43" s="243">
        <f t="shared" ca="1" si="162"/>
        <v>0</v>
      </c>
      <c r="FH43" s="463">
        <f t="shared" ca="1" si="163"/>
        <v>201.3</v>
      </c>
    </row>
    <row r="44" spans="1:165" s="236" customFormat="1" x14ac:dyDescent="0.25">
      <c r="A44" s="388">
        <f>стартоваяВедомость!B44</f>
        <v>40</v>
      </c>
      <c r="B44" s="389" t="str">
        <f t="shared" ca="1" si="1"/>
        <v>Toyota Avensis</v>
      </c>
      <c r="C44" s="389" t="str">
        <f t="shared" ca="1" si="2"/>
        <v>Иванова Татьяна</v>
      </c>
      <c r="D44" s="389" t="str">
        <f t="shared" ca="1" si="3"/>
        <v>Кучерявенкова Олеся</v>
      </c>
      <c r="E44" s="389" t="str">
        <f t="shared" ca="1" si="4"/>
        <v>Смоленск</v>
      </c>
      <c r="F44" s="389" t="str">
        <f t="shared" ca="1" si="5"/>
        <v>Light, Аэропорт</v>
      </c>
      <c r="G44" s="486">
        <f t="shared" ca="1" si="90"/>
        <v>3333.4</v>
      </c>
      <c r="H44" s="486">
        <f t="shared" ca="1" si="91"/>
        <v>1320</v>
      </c>
      <c r="I44" s="486">
        <f t="shared" ca="1" si="92"/>
        <v>1173.4000000000001</v>
      </c>
      <c r="J44" s="486">
        <f t="shared" ca="1" si="93"/>
        <v>840</v>
      </c>
      <c r="K44" s="390">
        <f t="shared" ca="1" si="9"/>
        <v>0.44097222222222215</v>
      </c>
      <c r="L44" s="391">
        <f t="shared" ca="1" si="94"/>
        <v>0.44097222222222227</v>
      </c>
      <c r="M44" s="392" t="str">
        <f ca="1">IF(L44&lt;&gt;0,вПМ(L44,K44),"")</f>
        <v/>
      </c>
      <c r="N44" s="391">
        <f ca="1">IF(L44&lt;&gt;0,вРазн(L44,K44), 0)</f>
        <v>0</v>
      </c>
      <c r="O44" s="393">
        <f t="shared" ca="1" si="95"/>
        <v>0</v>
      </c>
      <c r="P44" s="394">
        <f t="shared" ca="1" si="12"/>
        <v>4.86111119389534E-2</v>
      </c>
      <c r="Q44" s="395"/>
      <c r="R44" s="390">
        <f t="shared" ca="1" si="96"/>
        <v>0.48958333416117567</v>
      </c>
      <c r="S44" s="391">
        <f t="shared" ca="1" si="97"/>
        <v>0.48958333333333331</v>
      </c>
      <c r="T44" s="392" t="str">
        <f ca="1">IF(S44&lt;&gt;0,вПМ(S44,R44),"")</f>
        <v/>
      </c>
      <c r="U44" s="391">
        <f ca="1">IF(S44&lt;&gt;0,вРазн(S44,R44), 0)</f>
        <v>0</v>
      </c>
      <c r="V44" s="393">
        <f t="shared" ca="1" si="98"/>
        <v>0</v>
      </c>
      <c r="W44" s="394">
        <f t="shared" ca="1" si="16"/>
        <v>4.86111119389534E-2</v>
      </c>
      <c r="X44" s="391"/>
      <c r="Y44" s="395">
        <f t="shared" ca="1" si="99"/>
        <v>0</v>
      </c>
      <c r="Z44" s="390">
        <f t="shared" ca="1" si="100"/>
        <v>0.54097222305006443</v>
      </c>
      <c r="AA44" s="391">
        <f t="shared" ca="1" si="101"/>
        <v>0.54097222222222219</v>
      </c>
      <c r="AB44" s="392" t="str">
        <f ca="1">IF(AA44&lt;&gt;0,вПМ(AA44,Z44),"")</f>
        <v/>
      </c>
      <c r="AC44" s="391">
        <f ca="1">IF(AA44&lt;&gt;0,вРазн(AA44,Z44), 0)</f>
        <v>0</v>
      </c>
      <c r="AD44" s="393">
        <f t="shared" ca="1" si="102"/>
        <v>0</v>
      </c>
      <c r="AE44" s="394">
        <f t="shared" ca="1" si="21"/>
        <v>2.43055559694767E-2</v>
      </c>
      <c r="AF44" s="391"/>
      <c r="AG44" s="395">
        <f t="shared" ca="1" si="103"/>
        <v>0</v>
      </c>
      <c r="AH44" s="390">
        <f t="shared" ca="1" si="104"/>
        <v>0.56527777819169889</v>
      </c>
      <c r="AI44" s="391">
        <f t="shared" ca="1" si="105"/>
        <v>0.56527777777777777</v>
      </c>
      <c r="AJ44" s="392" t="str">
        <f ca="1">IF(AI44&lt;&gt;0,вПМ(AI44,AH44),"")</f>
        <v/>
      </c>
      <c r="AK44" s="391">
        <f ca="1">IF(AI44&lt;&gt;0,вРазн(AI44,AH44), 0)</f>
        <v>0</v>
      </c>
      <c r="AL44" s="393">
        <f t="shared" ca="1" si="106"/>
        <v>0</v>
      </c>
      <c r="AM44" s="394">
        <f t="shared" ca="1" si="26"/>
        <v>2.43055559694767E-2</v>
      </c>
      <c r="AN44" s="391"/>
      <c r="AO44" s="395">
        <f t="shared" ca="1" si="107"/>
        <v>0</v>
      </c>
      <c r="AP44" s="390">
        <f t="shared" ca="1" si="108"/>
        <v>0.58958333374725447</v>
      </c>
      <c r="AQ44" s="391">
        <f t="shared" ca="1" si="109"/>
        <v>0.58958333333333335</v>
      </c>
      <c r="AR44" s="392" t="str">
        <f ca="1">IF(AQ44&lt;&gt;0,вПМ(AQ44,AP44),"")</f>
        <v/>
      </c>
      <c r="AS44" s="391">
        <f ca="1">IF(AQ44&lt;&gt;0,вРазн(AQ44,AP44), 0)</f>
        <v>0</v>
      </c>
      <c r="AT44" s="393">
        <f t="shared" ca="1" si="110"/>
        <v>0</v>
      </c>
      <c r="AU44" s="394">
        <f t="shared" ca="1" si="31"/>
        <v>3.125E-2</v>
      </c>
      <c r="AV44" s="391"/>
      <c r="AW44" s="395">
        <f t="shared" ca="1" si="111"/>
        <v>0</v>
      </c>
      <c r="AX44" s="390">
        <f t="shared" ca="1" si="112"/>
        <v>0.62569444444444444</v>
      </c>
      <c r="AY44" s="391">
        <f t="shared" ca="1" si="113"/>
        <v>0.62569444444444444</v>
      </c>
      <c r="AZ44" s="392" t="str">
        <f ca="1">IF(AY44&lt;&gt;0,вПМ(AY44,AX44),"")</f>
        <v/>
      </c>
      <c r="BA44" s="391">
        <f ca="1">IF(AY44&lt;&gt;0,вРазн(AY44,AX44), 0)</f>
        <v>0</v>
      </c>
      <c r="BB44" s="393">
        <f t="shared" ca="1" si="114"/>
        <v>0</v>
      </c>
      <c r="BC44" s="394">
        <f t="shared" ca="1" si="36"/>
        <v>4.1666667908430099E-2</v>
      </c>
      <c r="BD44" s="391"/>
      <c r="BE44" s="395">
        <f t="shared" ca="1" si="115"/>
        <v>0</v>
      </c>
      <c r="BF44" s="390">
        <f t="shared" ca="1" si="116"/>
        <v>0.66736111235287454</v>
      </c>
      <c r="BG44" s="391">
        <f t="shared" ca="1" si="117"/>
        <v>0.66736111111111107</v>
      </c>
      <c r="BH44" s="392" t="str">
        <f ca="1">IF(BG44&lt;&gt;0,вПМ(BG44,BF44),"")</f>
        <v/>
      </c>
      <c r="BI44" s="391">
        <f ca="1">IF(BG44&lt;&gt;0,вРазн(BG44,BF44), 0)</f>
        <v>0</v>
      </c>
      <c r="BJ44" s="393">
        <f t="shared" ca="1" si="118"/>
        <v>0</v>
      </c>
      <c r="BK44" s="394">
        <f t="shared" ca="1" si="41"/>
        <v>2.777777798473835E-2</v>
      </c>
      <c r="BL44" s="391"/>
      <c r="BM44" s="395">
        <f t="shared" ca="1" si="119"/>
        <v>0</v>
      </c>
      <c r="BN44" s="390">
        <f t="shared" ca="1" si="120"/>
        <v>0.69513888909584942</v>
      </c>
      <c r="BO44" s="391">
        <f t="shared" ca="1" si="121"/>
        <v>0.70000000000000007</v>
      </c>
      <c r="BP44" s="392" t="str">
        <f ca="1">IF(BO44&lt;&gt;0,вПМ(BO44,BN44),"")</f>
        <v>+</v>
      </c>
      <c r="BQ44" s="391">
        <f ca="1">IF(BO44&lt;&gt;0,вРазн(BO44,BN44), 0)</f>
        <v>4.8611164093017578E-3</v>
      </c>
      <c r="BR44" s="396">
        <f t="shared" ca="1" si="122"/>
        <v>420</v>
      </c>
      <c r="BS44" s="390">
        <f t="shared" ca="1" si="46"/>
        <v>0</v>
      </c>
      <c r="BT44" s="391">
        <f t="shared" ca="1" si="123"/>
        <v>0</v>
      </c>
      <c r="BU44" s="391">
        <f t="shared" ca="1" si="124"/>
        <v>0</v>
      </c>
      <c r="BV44" s="401">
        <f t="shared" ca="1" si="125"/>
        <v>68.2</v>
      </c>
      <c r="BW44" s="401">
        <f t="shared" ca="1" si="126"/>
        <v>0</v>
      </c>
      <c r="BX44" s="392">
        <f t="shared" ca="1" si="127"/>
        <v>0</v>
      </c>
      <c r="BY44" s="392">
        <f t="shared" ca="1" si="128"/>
        <v>0</v>
      </c>
      <c r="BZ44" s="392">
        <f t="shared" ca="1" si="129"/>
        <v>0</v>
      </c>
      <c r="CA44" s="462">
        <f t="shared" ca="1" si="130"/>
        <v>204.60000000000002</v>
      </c>
      <c r="CB44" s="390">
        <f t="shared" ca="1" si="52"/>
        <v>0.49236111111111108</v>
      </c>
      <c r="CC44" s="391">
        <f t="shared" ca="1" si="131"/>
        <v>0.49236111111111108</v>
      </c>
      <c r="CD44" s="391">
        <f ca="1">IF(OR(CB44=0,CC44=0),0,вРазн(CC44,CB44))</f>
        <v>0</v>
      </c>
      <c r="CE44" s="391"/>
      <c r="CF44" s="391"/>
      <c r="CG44" s="397">
        <f t="shared" ca="1" si="132"/>
        <v>0.50015046296296295</v>
      </c>
      <c r="CH44" s="398">
        <f t="shared" ca="1" si="54"/>
        <v>0.50170138888888893</v>
      </c>
      <c r="CI44" s="399" t="str">
        <f ca="1">IF(CH44&lt;&gt;0,вПМ(CH44,CG44,"s"),"")</f>
        <v>+</v>
      </c>
      <c r="CJ44" s="398">
        <f ca="1">IF(CH44&lt;&gt;0,вРазн(CH44,CG44,"s"), 0)</f>
        <v>1.5509724617004395E-3</v>
      </c>
      <c r="CK44" s="462">
        <f t="shared" ca="1" si="133"/>
        <v>134</v>
      </c>
      <c r="CL44" s="397">
        <f t="shared" ca="1" si="134"/>
        <v>0.51596064814814824</v>
      </c>
      <c r="CM44" s="398">
        <f t="shared" ca="1" si="57"/>
        <v>0.51574074074074072</v>
      </c>
      <c r="CN44" s="392" t="str">
        <f ca="1">IF(AND(CM44&lt;&gt;0,CL44&lt;&gt;0),вПМ(CM44,CL44,"s"),"")</f>
        <v>-</v>
      </c>
      <c r="CO44" s="398">
        <f ca="1">IF(AND(CM44&lt;&gt;0,CL44&lt;&gt;0),вРазн(CM44,CL44,"s"), 0)</f>
        <v>2.1988153457641602E-4</v>
      </c>
      <c r="CP44" s="462">
        <f t="shared" ca="1" si="135"/>
        <v>19</v>
      </c>
      <c r="CQ44" s="390">
        <f t="shared" ca="1" si="59"/>
        <v>0.59444444444444444</v>
      </c>
      <c r="CR44" s="391">
        <f t="shared" ca="1" si="136"/>
        <v>0.59444444444444444</v>
      </c>
      <c r="CS44" s="391">
        <f ca="1">IF(OR(CQ44=0,CR44=0),0,вРазн(CR44,CQ44))</f>
        <v>0</v>
      </c>
      <c r="CT44" s="391"/>
      <c r="CU44" s="391"/>
      <c r="CV44" s="397">
        <f t="shared" ca="1" si="137"/>
        <v>0.60140046296296301</v>
      </c>
      <c r="CW44" s="398">
        <f t="shared" ca="1" si="61"/>
        <v>0.60563657407407401</v>
      </c>
      <c r="CX44" s="399" t="str">
        <f ca="1">IF(CW44&lt;&gt;0,вПМ(CW44,CV44,"s"),"")</f>
        <v>+</v>
      </c>
      <c r="CY44" s="398">
        <f ca="1">IF(CW44&lt;&gt;0,вРазн(CW44,CV44,"s"), 0)</f>
        <v>4.2361617088317871E-3</v>
      </c>
      <c r="CZ44" s="462">
        <f t="shared" ca="1" si="138"/>
        <v>366</v>
      </c>
      <c r="DA44" s="397">
        <f t="shared" ca="1" si="139"/>
        <v>0.60612268518518508</v>
      </c>
      <c r="DB44" s="398">
        <f t="shared" ca="1" si="64"/>
        <v>0.60611111111111116</v>
      </c>
      <c r="DC44" s="392" t="str">
        <f ca="1">IF(AND(DB44&lt;&gt;0,DA44&lt;&gt;0),вПМ(DB44,DA44,"s"),"")</f>
        <v>-</v>
      </c>
      <c r="DD44" s="398">
        <f ca="1">IF(AND(DB44&lt;&gt;0,DA44&lt;&gt;0),вРазн(DB44,DA44,"s"), 0)</f>
        <v>1.1563301086425781E-5</v>
      </c>
      <c r="DE44" s="462">
        <f t="shared" ca="1" si="140"/>
        <v>1</v>
      </c>
      <c r="DF44" s="390">
        <f t="shared" ca="1" si="66"/>
        <v>0</v>
      </c>
      <c r="DG44" s="391">
        <f t="shared" ca="1" si="141"/>
        <v>0</v>
      </c>
      <c r="DH44" s="391">
        <f t="shared" ca="1" si="142"/>
        <v>0</v>
      </c>
      <c r="DI44" s="401">
        <f t="shared" ca="1" si="143"/>
        <v>49.6</v>
      </c>
      <c r="DJ44" s="401">
        <f t="shared" ca="1" si="144"/>
        <v>0</v>
      </c>
      <c r="DK44" s="392">
        <f t="shared" ca="1" si="145"/>
        <v>0</v>
      </c>
      <c r="DL44" s="392">
        <f t="shared" ca="1" si="146"/>
        <v>0</v>
      </c>
      <c r="DM44" s="392" t="str">
        <f t="shared" ca="1" si="147"/>
        <v>да</v>
      </c>
      <c r="DN44" s="462">
        <f t="shared" ca="1" si="148"/>
        <v>448.8</v>
      </c>
      <c r="DO44" s="402">
        <f t="shared" ca="1" si="72"/>
        <v>0</v>
      </c>
      <c r="DP44" s="400">
        <f t="shared" ca="1" si="149"/>
        <v>0</v>
      </c>
      <c r="DQ44" s="402">
        <f t="shared" ca="1" si="72"/>
        <v>0</v>
      </c>
      <c r="DR44" s="400">
        <f t="shared" ca="1" si="150"/>
        <v>840</v>
      </c>
      <c r="DS44" s="390">
        <f t="shared" ca="1" si="164"/>
        <v>0.68888888888888899</v>
      </c>
      <c r="DT44" s="396">
        <f t="shared" ca="1" si="151"/>
        <v>0</v>
      </c>
      <c r="DU44" s="390">
        <f t="shared" ca="1" si="164"/>
        <v>0</v>
      </c>
      <c r="DV44" s="396">
        <f t="shared" ca="1" si="152"/>
        <v>900</v>
      </c>
      <c r="DW44" s="459"/>
      <c r="DX44" s="459"/>
      <c r="DY44" s="459"/>
      <c r="DZ44" s="459"/>
      <c r="EA44" s="459"/>
      <c r="EB44" s="459"/>
      <c r="EC44" s="459"/>
      <c r="ED44" s="459"/>
      <c r="EE44" s="459"/>
      <c r="EF44" s="459"/>
      <c r="EG44" s="459"/>
      <c r="EH44" s="459"/>
      <c r="EI44" s="459"/>
      <c r="EJ44" s="459"/>
      <c r="EK44" s="459"/>
      <c r="EL44" s="459"/>
      <c r="EM44" s="459"/>
      <c r="EN44" s="459"/>
      <c r="EO44" s="459"/>
      <c r="EP44" s="459"/>
      <c r="EQ44" s="459"/>
      <c r="ER44" s="459"/>
      <c r="ES44" s="459"/>
      <c r="ET44" s="459"/>
      <c r="EU44" s="390" t="e">
        <f t="shared" ca="1" si="153"/>
        <v>#VALUE!</v>
      </c>
      <c r="EV44" s="391">
        <f t="shared" ca="1" si="154"/>
        <v>0</v>
      </c>
      <c r="EW44" s="392" t="e">
        <f ca="1">IF(AND(EV44&lt;&gt;0,EU44&lt;&gt;0),вПМ(EV44,EU44),"")</f>
        <v>#VALUE!</v>
      </c>
      <c r="EX44" s="391">
        <f ca="1">IF(EV44&lt;&gt;0,вРазн(EV44,EU44), 0)</f>
        <v>0</v>
      </c>
      <c r="EY44" s="396">
        <f t="shared" ca="1" si="155"/>
        <v>900</v>
      </c>
      <c r="EZ44" s="390">
        <f t="shared" ca="1" si="81"/>
        <v>0</v>
      </c>
      <c r="FA44" s="391">
        <f t="shared" ca="1" si="156"/>
        <v>0</v>
      </c>
      <c r="FB44" s="391">
        <f t="shared" ca="1" si="157"/>
        <v>0</v>
      </c>
      <c r="FC44" s="401">
        <f t="shared" ca="1" si="158"/>
        <v>68.2</v>
      </c>
      <c r="FD44" s="401">
        <f t="shared" ca="1" si="159"/>
        <v>0</v>
      </c>
      <c r="FE44" s="401">
        <f t="shared" ca="1" si="160"/>
        <v>0</v>
      </c>
      <c r="FF44" s="392">
        <f t="shared" ca="1" si="161"/>
        <v>0</v>
      </c>
      <c r="FG44" s="392">
        <f t="shared" ca="1" si="162"/>
        <v>0</v>
      </c>
      <c r="FH44" s="462">
        <f t="shared" ca="1" si="163"/>
        <v>204.60000000000002</v>
      </c>
      <c r="FI44" s="403"/>
    </row>
    <row r="45" spans="1:165" s="20" customFormat="1" x14ac:dyDescent="0.25">
      <c r="A45" s="253">
        <f>стартоваяВедомость!B45</f>
        <v>41</v>
      </c>
      <c r="B45" s="241" t="str">
        <f t="shared" ca="1" si="1"/>
        <v>Шевроле Тахо</v>
      </c>
      <c r="C45" s="241" t="str">
        <f t="shared" ca="1" si="2"/>
        <v>Разуваев Олег</v>
      </c>
      <c r="D45" s="241" t="str">
        <f t="shared" ca="1" si="3"/>
        <v>Жаров Евгений</v>
      </c>
      <c r="E45" s="241" t="str">
        <f t="shared" ca="1" si="4"/>
        <v>Смоленск</v>
      </c>
      <c r="F45" s="241" t="str">
        <f t="shared" ca="1" si="5"/>
        <v>Light, Кубок</v>
      </c>
      <c r="G45" s="487">
        <f t="shared" ca="1" si="90"/>
        <v>2597</v>
      </c>
      <c r="H45" s="487">
        <f t="shared" ca="1" si="91"/>
        <v>900</v>
      </c>
      <c r="I45" s="487">
        <f t="shared" ca="1" si="92"/>
        <v>737</v>
      </c>
      <c r="J45" s="487">
        <f t="shared" ca="1" si="93"/>
        <v>960</v>
      </c>
      <c r="K45" s="242">
        <f t="shared" ca="1" si="9"/>
        <v>0.4416666666666666</v>
      </c>
      <c r="L45" s="122">
        <f t="shared" ca="1" si="94"/>
        <v>0.44166666666666665</v>
      </c>
      <c r="M45" s="243" t="str">
        <f ca="1">IF(L45&lt;&gt;0,вПМ(L45,K45),"")</f>
        <v/>
      </c>
      <c r="N45" s="122">
        <f ca="1">IF(L45&lt;&gt;0,вРазн(L45,K45), 0)</f>
        <v>0</v>
      </c>
      <c r="O45" s="301">
        <f t="shared" ca="1" si="95"/>
        <v>0</v>
      </c>
      <c r="P45" s="300">
        <f t="shared" ca="1" si="12"/>
        <v>4.86111119389534E-2</v>
      </c>
      <c r="Q45" s="294"/>
      <c r="R45" s="242">
        <f t="shared" ca="1" si="96"/>
        <v>0.49027777860562005</v>
      </c>
      <c r="S45" s="122">
        <f t="shared" ca="1" si="97"/>
        <v>0.49027777777777781</v>
      </c>
      <c r="T45" s="243" t="str">
        <f ca="1">IF(S45&lt;&gt;0,вПМ(S45,R45),"")</f>
        <v/>
      </c>
      <c r="U45" s="122">
        <f ca="1">IF(S45&lt;&gt;0,вРазн(S45,R45), 0)</f>
        <v>0</v>
      </c>
      <c r="V45" s="301">
        <f t="shared" ca="1" si="98"/>
        <v>0</v>
      </c>
      <c r="W45" s="300">
        <f t="shared" ca="1" si="16"/>
        <v>4.86111119389534E-2</v>
      </c>
      <c r="X45" s="122"/>
      <c r="Y45" s="294">
        <f t="shared" ca="1" si="99"/>
        <v>0</v>
      </c>
      <c r="Z45" s="242">
        <f t="shared" ca="1" si="100"/>
        <v>0.54166666749450898</v>
      </c>
      <c r="AA45" s="122">
        <f t="shared" ca="1" si="101"/>
        <v>0.54166666666666663</v>
      </c>
      <c r="AB45" s="243" t="str">
        <f ca="1">IF(AA45&lt;&gt;0,вПМ(AA45,Z45),"")</f>
        <v/>
      </c>
      <c r="AC45" s="122">
        <f ca="1">IF(AA45&lt;&gt;0,вРазн(AA45,Z45), 0)</f>
        <v>0</v>
      </c>
      <c r="AD45" s="301">
        <f t="shared" ca="1" si="102"/>
        <v>0</v>
      </c>
      <c r="AE45" s="300">
        <f t="shared" ca="1" si="21"/>
        <v>2.43055559694767E-2</v>
      </c>
      <c r="AF45" s="122"/>
      <c r="AG45" s="294">
        <f t="shared" ca="1" si="103"/>
        <v>0</v>
      </c>
      <c r="AH45" s="242">
        <f t="shared" ca="1" si="104"/>
        <v>0.56597222263614333</v>
      </c>
      <c r="AI45" s="122">
        <f t="shared" ca="1" si="105"/>
        <v>0.56597222222222221</v>
      </c>
      <c r="AJ45" s="243" t="str">
        <f ca="1">IF(AI45&lt;&gt;0,вПМ(AI45,AH45),"")</f>
        <v/>
      </c>
      <c r="AK45" s="122">
        <f ca="1">IF(AI45&lt;&gt;0,вРазн(AI45,AH45), 0)</f>
        <v>0</v>
      </c>
      <c r="AL45" s="301">
        <f t="shared" ca="1" si="106"/>
        <v>0</v>
      </c>
      <c r="AM45" s="300">
        <f t="shared" ca="1" si="26"/>
        <v>2.43055559694767E-2</v>
      </c>
      <c r="AN45" s="122"/>
      <c r="AO45" s="294">
        <f t="shared" ca="1" si="107"/>
        <v>0</v>
      </c>
      <c r="AP45" s="242">
        <f t="shared" ca="1" si="108"/>
        <v>0.59027777819169891</v>
      </c>
      <c r="AQ45" s="122">
        <f t="shared" ca="1" si="109"/>
        <v>0.59027777777777779</v>
      </c>
      <c r="AR45" s="243" t="str">
        <f ca="1">IF(AQ45&lt;&gt;0,вПМ(AQ45,AP45),"")</f>
        <v/>
      </c>
      <c r="AS45" s="122">
        <f ca="1">IF(AQ45&lt;&gt;0,вРазн(AQ45,AP45), 0)</f>
        <v>0</v>
      </c>
      <c r="AT45" s="301">
        <f t="shared" ca="1" si="110"/>
        <v>0</v>
      </c>
      <c r="AU45" s="300">
        <f t="shared" ca="1" si="31"/>
        <v>3.125E-2</v>
      </c>
      <c r="AV45" s="122"/>
      <c r="AW45" s="294">
        <f t="shared" ca="1" si="111"/>
        <v>0</v>
      </c>
      <c r="AX45" s="242">
        <f t="shared" ca="1" si="112"/>
        <v>0.62638888888888888</v>
      </c>
      <c r="AY45" s="122">
        <f t="shared" ca="1" si="113"/>
        <v>0.62638888888888888</v>
      </c>
      <c r="AZ45" s="243" t="str">
        <f ca="1">IF(AY45&lt;&gt;0,вПМ(AY45,AX45),"")</f>
        <v/>
      </c>
      <c r="BA45" s="122">
        <f ca="1">IF(AY45&lt;&gt;0,вРазн(AY45,AX45), 0)</f>
        <v>0</v>
      </c>
      <c r="BB45" s="301">
        <f t="shared" ca="1" si="114"/>
        <v>0</v>
      </c>
      <c r="BC45" s="300">
        <f t="shared" ca="1" si="36"/>
        <v>4.1666667908430099E-2</v>
      </c>
      <c r="BD45" s="122"/>
      <c r="BE45" s="294">
        <f t="shared" ca="1" si="115"/>
        <v>0</v>
      </c>
      <c r="BF45" s="242">
        <f t="shared" ca="1" si="116"/>
        <v>0.66805555679731898</v>
      </c>
      <c r="BG45" s="122">
        <f t="shared" ca="1" si="117"/>
        <v>0.66805555555555562</v>
      </c>
      <c r="BH45" s="243" t="str">
        <f ca="1">IF(BG45&lt;&gt;0,вПМ(BG45,BF45),"")</f>
        <v/>
      </c>
      <c r="BI45" s="122">
        <f ca="1">IF(BG45&lt;&gt;0,вРазн(BG45,BF45), 0)</f>
        <v>0</v>
      </c>
      <c r="BJ45" s="301">
        <f t="shared" ca="1" si="118"/>
        <v>0</v>
      </c>
      <c r="BK45" s="300">
        <f t="shared" ca="1" si="41"/>
        <v>2.777777798473835E-2</v>
      </c>
      <c r="BL45" s="122"/>
      <c r="BM45" s="294">
        <f t="shared" ca="1" si="119"/>
        <v>0</v>
      </c>
      <c r="BN45" s="242">
        <f t="shared" ca="1" si="120"/>
        <v>0.69583333354029397</v>
      </c>
      <c r="BO45" s="122">
        <f t="shared" ca="1" si="121"/>
        <v>0.69166666666666676</v>
      </c>
      <c r="BP45" s="243" t="str">
        <f ca="1">IF(BO45&lt;&gt;0,вПМ(BO45,BN45),"")</f>
        <v>-</v>
      </c>
      <c r="BQ45" s="122">
        <f ca="1">IF(BO45&lt;&gt;0,вРазн(BO45,BN45), 0)</f>
        <v>4.1666626930236816E-3</v>
      </c>
      <c r="BR45" s="244">
        <f t="shared" ca="1" si="122"/>
        <v>0</v>
      </c>
      <c r="BS45" s="242">
        <f t="shared" ca="1" si="46"/>
        <v>0</v>
      </c>
      <c r="BT45" s="122">
        <f t="shared" ca="1" si="123"/>
        <v>0</v>
      </c>
      <c r="BU45" s="122">
        <f t="shared" ca="1" si="124"/>
        <v>0</v>
      </c>
      <c r="BV45" s="248">
        <f t="shared" ca="1" si="125"/>
        <v>53.8</v>
      </c>
      <c r="BW45" s="248">
        <f t="shared" ca="1" si="126"/>
        <v>0</v>
      </c>
      <c r="BX45" s="243">
        <f t="shared" ca="1" si="127"/>
        <v>0</v>
      </c>
      <c r="BY45" s="243">
        <f t="shared" ca="1" si="128"/>
        <v>0</v>
      </c>
      <c r="BZ45" s="243">
        <f t="shared" ca="1" si="129"/>
        <v>0</v>
      </c>
      <c r="CA45" s="463">
        <f t="shared" ca="1" si="130"/>
        <v>161.39999999999998</v>
      </c>
      <c r="CB45" s="242">
        <f t="shared" ca="1" si="52"/>
        <v>0.49305555555555558</v>
      </c>
      <c r="CC45" s="122">
        <f t="shared" ca="1" si="131"/>
        <v>0.49305555555555558</v>
      </c>
      <c r="CD45" s="122">
        <f ca="1">IF(OR(CB45=0,CC45=0),0,вРазн(CC45,CB45))</f>
        <v>0</v>
      </c>
      <c r="CE45" s="122"/>
      <c r="CF45" s="122"/>
      <c r="CG45" s="247">
        <f t="shared" ca="1" si="132"/>
        <v>0.50084490740740739</v>
      </c>
      <c r="CH45" s="245">
        <f t="shared" ca="1" si="54"/>
        <v>0.50172453703703701</v>
      </c>
      <c r="CI45" s="240" t="str">
        <f ca="1">IF(CH45&lt;&gt;0,вПМ(CH45,CG45,"s"),"")</f>
        <v>+</v>
      </c>
      <c r="CJ45" s="245">
        <f ca="1">IF(CH45&lt;&gt;0,вРазн(CH45,CG45,"s"), 0)</f>
        <v>8.7964534759521484E-4</v>
      </c>
      <c r="CK45" s="463">
        <f t="shared" ca="1" si="133"/>
        <v>76</v>
      </c>
      <c r="CL45" s="247">
        <f t="shared" ca="1" si="134"/>
        <v>0.51598379629629632</v>
      </c>
      <c r="CM45" s="245">
        <f t="shared" ca="1" si="57"/>
        <v>0.5157870370370371</v>
      </c>
      <c r="CN45" s="243" t="str">
        <f ca="1">IF(AND(CM45&lt;&gt;0,CL45&lt;&gt;0),вПМ(CM45,CL45,"s"),"")</f>
        <v>-</v>
      </c>
      <c r="CO45" s="245">
        <f ca="1">IF(AND(CM45&lt;&gt;0,CL45&lt;&gt;0),вРазн(CM45,CL45,"s"), 0)</f>
        <v>1.9675493240356445E-4</v>
      </c>
      <c r="CP45" s="463">
        <f t="shared" ca="1" si="135"/>
        <v>17</v>
      </c>
      <c r="CQ45" s="242">
        <f t="shared" ca="1" si="59"/>
        <v>0.59513888888888888</v>
      </c>
      <c r="CR45" s="122">
        <f t="shared" ca="1" si="136"/>
        <v>0.59513888888888888</v>
      </c>
      <c r="CS45" s="122">
        <f ca="1">IF(OR(CQ45=0,CR45=0),0,вРазн(CR45,CQ45))</f>
        <v>0</v>
      </c>
      <c r="CT45" s="122"/>
      <c r="CU45" s="122"/>
      <c r="CV45" s="247">
        <f t="shared" ca="1" si="137"/>
        <v>0.60209490740740745</v>
      </c>
      <c r="CW45" s="245">
        <f t="shared" ca="1" si="61"/>
        <v>0.60166666666666668</v>
      </c>
      <c r="CX45" s="240" t="str">
        <f ca="1">IF(CW45&lt;&gt;0,вПМ(CW45,CV45,"s"),"")</f>
        <v>-</v>
      </c>
      <c r="CY45" s="245">
        <f ca="1">IF(CW45&lt;&gt;0,вРазн(CW45,CV45,"s"), 0)</f>
        <v>4.2819976806640625E-4</v>
      </c>
      <c r="CZ45" s="463">
        <f t="shared" ca="1" si="138"/>
        <v>37</v>
      </c>
      <c r="DA45" s="247">
        <f t="shared" ca="1" si="139"/>
        <v>0.60215277777777776</v>
      </c>
      <c r="DB45" s="245">
        <f t="shared" ca="1" si="64"/>
        <v>0.60207175925925926</v>
      </c>
      <c r="DC45" s="243" t="str">
        <f ca="1">IF(AND(DB45&lt;&gt;0,DA45&lt;&gt;0),вПМ(DB45,DA45,"s"),"")</f>
        <v>-</v>
      </c>
      <c r="DD45" s="245">
        <f ca="1">IF(AND(DB45&lt;&gt;0,DA45&lt;&gt;0),вРазн(DB45,DA45,"s"), 0)</f>
        <v>8.1002712249755859E-5</v>
      </c>
      <c r="DE45" s="463">
        <f t="shared" ca="1" si="140"/>
        <v>7</v>
      </c>
      <c r="DF45" s="242">
        <f t="shared" ca="1" si="66"/>
        <v>0</v>
      </c>
      <c r="DG45" s="122">
        <f t="shared" ca="1" si="141"/>
        <v>0</v>
      </c>
      <c r="DH45" s="122">
        <f t="shared" ca="1" si="142"/>
        <v>0</v>
      </c>
      <c r="DI45" s="248">
        <f t="shared" ca="1" si="143"/>
        <v>46.2</v>
      </c>
      <c r="DJ45" s="248">
        <f t="shared" ca="1" si="144"/>
        <v>0</v>
      </c>
      <c r="DK45" s="243">
        <f t="shared" ca="1" si="145"/>
        <v>0</v>
      </c>
      <c r="DL45" s="243">
        <f t="shared" ca="1" si="146"/>
        <v>0</v>
      </c>
      <c r="DM45" s="243" t="str">
        <f t="shared" ca="1" si="147"/>
        <v>да</v>
      </c>
      <c r="DN45" s="463">
        <f t="shared" ca="1" si="148"/>
        <v>438.6</v>
      </c>
      <c r="DO45" s="249">
        <f t="shared" ca="1" si="72"/>
        <v>0</v>
      </c>
      <c r="DP45" s="246">
        <f t="shared" ca="1" si="149"/>
        <v>0</v>
      </c>
      <c r="DQ45" s="249">
        <f t="shared" ca="1" si="72"/>
        <v>0</v>
      </c>
      <c r="DR45" s="246">
        <f t="shared" ca="1" si="150"/>
        <v>960</v>
      </c>
      <c r="DS45" s="242">
        <f t="shared" ca="1" si="164"/>
        <v>0.67499999999999993</v>
      </c>
      <c r="DT45" s="244">
        <f t="shared" ca="1" si="151"/>
        <v>0</v>
      </c>
      <c r="DU45" s="242">
        <f t="shared" ca="1" si="164"/>
        <v>0</v>
      </c>
      <c r="DV45" s="244">
        <f t="shared" ca="1" si="152"/>
        <v>900</v>
      </c>
      <c r="DW45" s="459"/>
      <c r="DX45" s="459"/>
      <c r="DY45" s="459"/>
      <c r="DZ45" s="459"/>
      <c r="EA45" s="459"/>
      <c r="EB45" s="459"/>
      <c r="EC45" s="459"/>
      <c r="ED45" s="459"/>
      <c r="EE45" s="459"/>
      <c r="EF45" s="459"/>
      <c r="EG45" s="459"/>
      <c r="EH45" s="459"/>
      <c r="EI45" s="459"/>
      <c r="EJ45" s="459"/>
      <c r="EK45" s="459"/>
      <c r="EL45" s="459"/>
      <c r="EM45" s="459"/>
      <c r="EN45" s="459"/>
      <c r="EO45" s="459"/>
      <c r="EP45" s="459"/>
      <c r="EQ45" s="459"/>
      <c r="ER45" s="459"/>
      <c r="ES45" s="459"/>
      <c r="ET45" s="459"/>
      <c r="EU45" s="242" t="e">
        <f t="shared" ca="1" si="153"/>
        <v>#VALUE!</v>
      </c>
      <c r="EV45" s="122">
        <f t="shared" ca="1" si="154"/>
        <v>0</v>
      </c>
      <c r="EW45" s="243" t="e">
        <f ca="1">IF(AND(EV45&lt;&gt;0,EU45&lt;&gt;0),вПМ(EV45,EU45),"")</f>
        <v>#VALUE!</v>
      </c>
      <c r="EX45" s="122">
        <f ca="1">IF(EV45&lt;&gt;0,вРазн(EV45,EU45), 0)</f>
        <v>0</v>
      </c>
      <c r="EY45" s="244">
        <f t="shared" ca="1" si="155"/>
        <v>900</v>
      </c>
      <c r="EZ45" s="242">
        <f t="shared" ca="1" si="81"/>
        <v>0</v>
      </c>
      <c r="FA45" s="122">
        <f t="shared" ca="1" si="156"/>
        <v>0</v>
      </c>
      <c r="FB45" s="122">
        <f t="shared" ca="1" si="157"/>
        <v>0</v>
      </c>
      <c r="FC45" s="248">
        <f t="shared" ca="1" si="158"/>
        <v>53.8</v>
      </c>
      <c r="FD45" s="248">
        <f t="shared" ca="1" si="159"/>
        <v>0</v>
      </c>
      <c r="FE45" s="248">
        <f t="shared" ca="1" si="160"/>
        <v>0</v>
      </c>
      <c r="FF45" s="243">
        <f t="shared" ca="1" si="161"/>
        <v>0</v>
      </c>
      <c r="FG45" s="243">
        <f t="shared" ca="1" si="162"/>
        <v>0</v>
      </c>
      <c r="FH45" s="463">
        <f t="shared" ca="1" si="163"/>
        <v>161.39999999999998</v>
      </c>
    </row>
    <row r="46" spans="1:165" s="236" customFormat="1" x14ac:dyDescent="0.25">
      <c r="A46" s="388">
        <f>стартоваяВедомость!B46</f>
        <v>42</v>
      </c>
      <c r="B46" s="389" t="str">
        <f t="shared" ca="1" si="1"/>
        <v>Volkswagen Bora</v>
      </c>
      <c r="C46" s="389" t="str">
        <f t="shared" ca="1" si="2"/>
        <v>Жуласов Владимир</v>
      </c>
      <c r="D46" s="389" t="str">
        <f t="shared" ca="1" si="3"/>
        <v>Сивков Артём</v>
      </c>
      <c r="E46" s="389" t="str">
        <f t="shared" ca="1" si="4"/>
        <v>Смоленск</v>
      </c>
      <c r="F46" s="389" t="str">
        <f t="shared" ca="1" si="5"/>
        <v>Light, Аэропорт</v>
      </c>
      <c r="G46" s="486">
        <f t="shared" ca="1" si="90"/>
        <v>2168.8000000000002</v>
      </c>
      <c r="H46" s="486">
        <f t="shared" ca="1" si="91"/>
        <v>960</v>
      </c>
      <c r="I46" s="486">
        <f t="shared" ca="1" si="92"/>
        <v>968.8</v>
      </c>
      <c r="J46" s="486">
        <f t="shared" ca="1" si="93"/>
        <v>240</v>
      </c>
      <c r="K46" s="390">
        <f t="shared" ca="1" si="9"/>
        <v>0.44236111111111104</v>
      </c>
      <c r="L46" s="391">
        <f t="shared" ca="1" si="94"/>
        <v>0.44236111111111115</v>
      </c>
      <c r="M46" s="392" t="str">
        <f ca="1">IF(L46&lt;&gt;0,вПМ(L46,K46),"")</f>
        <v/>
      </c>
      <c r="N46" s="391">
        <f ca="1">IF(L46&lt;&gt;0,вРазн(L46,K46), 0)</f>
        <v>0</v>
      </c>
      <c r="O46" s="393">
        <f t="shared" ca="1" si="95"/>
        <v>0</v>
      </c>
      <c r="P46" s="394">
        <f t="shared" ca="1" si="12"/>
        <v>4.86111119389534E-2</v>
      </c>
      <c r="Q46" s="395"/>
      <c r="R46" s="390">
        <f t="shared" ca="1" si="96"/>
        <v>0.49097222305006455</v>
      </c>
      <c r="S46" s="391">
        <f t="shared" ca="1" si="97"/>
        <v>0.49027777777777781</v>
      </c>
      <c r="T46" s="392" t="str">
        <f ca="1">IF(S46&lt;&gt;0,вПМ(S46,R46),"")</f>
        <v>-</v>
      </c>
      <c r="U46" s="391">
        <f ca="1">IF(S46&lt;&gt;0,вРазн(S46,R46), 0)</f>
        <v>6.9445371627807617E-4</v>
      </c>
      <c r="V46" s="393">
        <f t="shared" ca="1" si="98"/>
        <v>60</v>
      </c>
      <c r="W46" s="394">
        <f t="shared" ca="1" si="16"/>
        <v>4.86111119389534E-2</v>
      </c>
      <c r="X46" s="391"/>
      <c r="Y46" s="395">
        <f t="shared" ca="1" si="99"/>
        <v>0</v>
      </c>
      <c r="Z46" s="390">
        <f t="shared" ca="1" si="100"/>
        <v>0.54236111193895331</v>
      </c>
      <c r="AA46" s="391">
        <f t="shared" ca="1" si="101"/>
        <v>0.54236111111111118</v>
      </c>
      <c r="AB46" s="392" t="str">
        <f ca="1">IF(AA46&lt;&gt;0,вПМ(AA46,Z46),"")</f>
        <v/>
      </c>
      <c r="AC46" s="391">
        <f ca="1">IF(AA46&lt;&gt;0,вРазн(AA46,Z46), 0)</f>
        <v>0</v>
      </c>
      <c r="AD46" s="393">
        <f t="shared" ca="1" si="102"/>
        <v>0</v>
      </c>
      <c r="AE46" s="394">
        <f t="shared" ca="1" si="21"/>
        <v>2.43055559694767E-2</v>
      </c>
      <c r="AF46" s="391"/>
      <c r="AG46" s="395">
        <f t="shared" ca="1" si="103"/>
        <v>0</v>
      </c>
      <c r="AH46" s="390">
        <f t="shared" ca="1" si="104"/>
        <v>0.56666666708058788</v>
      </c>
      <c r="AI46" s="391">
        <f t="shared" ca="1" si="105"/>
        <v>0.56666666666666665</v>
      </c>
      <c r="AJ46" s="392" t="str">
        <f ca="1">IF(AI46&lt;&gt;0,вПМ(AI46,AH46),"")</f>
        <v/>
      </c>
      <c r="AK46" s="391">
        <f ca="1">IF(AI46&lt;&gt;0,вРазн(AI46,AH46), 0)</f>
        <v>0</v>
      </c>
      <c r="AL46" s="393">
        <f t="shared" ca="1" si="106"/>
        <v>0</v>
      </c>
      <c r="AM46" s="394">
        <f t="shared" ca="1" si="26"/>
        <v>2.43055559694767E-2</v>
      </c>
      <c r="AN46" s="391"/>
      <c r="AO46" s="395">
        <f t="shared" ca="1" si="107"/>
        <v>0</v>
      </c>
      <c r="AP46" s="390">
        <f t="shared" ca="1" si="108"/>
        <v>0.59097222263614335</v>
      </c>
      <c r="AQ46" s="391">
        <f t="shared" ca="1" si="109"/>
        <v>0.59097222222222223</v>
      </c>
      <c r="AR46" s="392" t="str">
        <f ca="1">IF(AQ46&lt;&gt;0,вПМ(AQ46,AP46),"")</f>
        <v/>
      </c>
      <c r="AS46" s="391">
        <f ca="1">IF(AQ46&lt;&gt;0,вРазн(AQ46,AP46), 0)</f>
        <v>0</v>
      </c>
      <c r="AT46" s="393">
        <f t="shared" ca="1" si="110"/>
        <v>0</v>
      </c>
      <c r="AU46" s="394">
        <f t="shared" ca="1" si="31"/>
        <v>3.125E-2</v>
      </c>
      <c r="AV46" s="391"/>
      <c r="AW46" s="395">
        <f t="shared" ca="1" si="111"/>
        <v>0</v>
      </c>
      <c r="AX46" s="390">
        <f t="shared" ca="1" si="112"/>
        <v>0.62708333333333333</v>
      </c>
      <c r="AY46" s="391">
        <f t="shared" ca="1" si="113"/>
        <v>0.62708333333333333</v>
      </c>
      <c r="AZ46" s="392" t="str">
        <f ca="1">IF(AY46&lt;&gt;0,вПМ(AY46,AX46),"")</f>
        <v/>
      </c>
      <c r="BA46" s="391">
        <f ca="1">IF(AY46&lt;&gt;0,вРазн(AY46,AX46), 0)</f>
        <v>0</v>
      </c>
      <c r="BB46" s="393">
        <f t="shared" ca="1" si="114"/>
        <v>0</v>
      </c>
      <c r="BC46" s="394">
        <f t="shared" ca="1" si="36"/>
        <v>4.1666667908430099E-2</v>
      </c>
      <c r="BD46" s="391"/>
      <c r="BE46" s="395">
        <f t="shared" ca="1" si="115"/>
        <v>0</v>
      </c>
      <c r="BF46" s="390">
        <f t="shared" ca="1" si="116"/>
        <v>0.66875000124176343</v>
      </c>
      <c r="BG46" s="391">
        <f t="shared" ca="1" si="117"/>
        <v>0.66875000000000007</v>
      </c>
      <c r="BH46" s="392" t="str">
        <f ca="1">IF(BG46&lt;&gt;0,вПМ(BG46,BF46),"")</f>
        <v/>
      </c>
      <c r="BI46" s="391">
        <f ca="1">IF(BG46&lt;&gt;0,вРазн(BG46,BF46), 0)</f>
        <v>0</v>
      </c>
      <c r="BJ46" s="393">
        <f t="shared" ca="1" si="118"/>
        <v>0</v>
      </c>
      <c r="BK46" s="394">
        <f t="shared" ca="1" si="41"/>
        <v>2.777777798473835E-2</v>
      </c>
      <c r="BL46" s="391"/>
      <c r="BM46" s="395">
        <f t="shared" ca="1" si="119"/>
        <v>0</v>
      </c>
      <c r="BN46" s="390">
        <f t="shared" ca="1" si="120"/>
        <v>0.69652777798473842</v>
      </c>
      <c r="BO46" s="391">
        <f t="shared" ca="1" si="121"/>
        <v>0.69305555555555554</v>
      </c>
      <c r="BP46" s="392" t="str">
        <f ca="1">IF(BO46&lt;&gt;0,вПМ(BO46,BN46),"")</f>
        <v>-</v>
      </c>
      <c r="BQ46" s="391">
        <f ca="1">IF(BO46&lt;&gt;0,вРазн(BO46,BN46), 0)</f>
        <v>3.4722089767456055E-3</v>
      </c>
      <c r="BR46" s="396">
        <f t="shared" ca="1" si="122"/>
        <v>0</v>
      </c>
      <c r="BS46" s="390">
        <f t="shared" ca="1" si="46"/>
        <v>0</v>
      </c>
      <c r="BT46" s="391">
        <f t="shared" ca="1" si="123"/>
        <v>0</v>
      </c>
      <c r="BU46" s="391">
        <f t="shared" ca="1" si="124"/>
        <v>0</v>
      </c>
      <c r="BV46" s="401">
        <f t="shared" ca="1" si="125"/>
        <v>57.8</v>
      </c>
      <c r="BW46" s="401">
        <f t="shared" ca="1" si="126"/>
        <v>0</v>
      </c>
      <c r="BX46" s="392">
        <f t="shared" ca="1" si="127"/>
        <v>0</v>
      </c>
      <c r="BY46" s="392">
        <f t="shared" ca="1" si="128"/>
        <v>0</v>
      </c>
      <c r="BZ46" s="392">
        <f t="shared" ca="1" si="129"/>
        <v>0</v>
      </c>
      <c r="CA46" s="462">
        <f t="shared" ca="1" si="130"/>
        <v>173.39999999999998</v>
      </c>
      <c r="CB46" s="390">
        <f t="shared" ca="1" si="52"/>
        <v>0.49374999999999997</v>
      </c>
      <c r="CC46" s="391">
        <f t="shared" ca="1" si="131"/>
        <v>0.49374999999999997</v>
      </c>
      <c r="CD46" s="391">
        <f ca="1">IF(OR(CB46=0,CC46=0),0,вРазн(CC46,CB46))</f>
        <v>0</v>
      </c>
      <c r="CE46" s="391"/>
      <c r="CF46" s="391"/>
      <c r="CG46" s="397">
        <f t="shared" ca="1" si="132"/>
        <v>0.50153935185185183</v>
      </c>
      <c r="CH46" s="398">
        <f t="shared" ca="1" si="54"/>
        <v>0.5019675925925926</v>
      </c>
      <c r="CI46" s="399" t="str">
        <f ca="1">IF(CH46&lt;&gt;0,вПМ(CH46,CG46,"s"),"")</f>
        <v>+</v>
      </c>
      <c r="CJ46" s="398">
        <f ca="1">IF(CH46&lt;&gt;0,вРазн(CH46,CG46,"s"), 0)</f>
        <v>4.2825937271118164E-4</v>
      </c>
      <c r="CK46" s="462">
        <f t="shared" ca="1" si="133"/>
        <v>37</v>
      </c>
      <c r="CL46" s="397">
        <f t="shared" ca="1" si="134"/>
        <v>0.51622685185185191</v>
      </c>
      <c r="CM46" s="398">
        <f t="shared" ca="1" si="57"/>
        <v>0.51790509259259265</v>
      </c>
      <c r="CN46" s="392" t="str">
        <f ca="1">IF(AND(CM46&lt;&gt;0,CL46&lt;&gt;0),вПМ(CM46,CL46,"s"),"")</f>
        <v>+</v>
      </c>
      <c r="CO46" s="398">
        <f ca="1">IF(AND(CM46&lt;&gt;0,CL46&lt;&gt;0),вРазн(CM46,CL46,"s"), 0)</f>
        <v>1.6782879829406738E-3</v>
      </c>
      <c r="CP46" s="462">
        <f t="shared" ca="1" si="135"/>
        <v>145</v>
      </c>
      <c r="CQ46" s="390">
        <f t="shared" ca="1" si="59"/>
        <v>0.59583333333333333</v>
      </c>
      <c r="CR46" s="391">
        <f t="shared" ca="1" si="136"/>
        <v>0.59583333333333333</v>
      </c>
      <c r="CS46" s="391">
        <f ca="1">IF(OR(CQ46=0,CR46=0),0,вРазн(CR46,CQ46))</f>
        <v>0</v>
      </c>
      <c r="CT46" s="391"/>
      <c r="CU46" s="391"/>
      <c r="CV46" s="397">
        <f t="shared" ca="1" si="137"/>
        <v>0.6027893518518519</v>
      </c>
      <c r="CW46" s="398">
        <f t="shared" ca="1" si="61"/>
        <v>0.60402777777777772</v>
      </c>
      <c r="CX46" s="399" t="str">
        <f ca="1">IF(CW46&lt;&gt;0,вПМ(CW46,CV46,"s"),"")</f>
        <v>+</v>
      </c>
      <c r="CY46" s="398">
        <f ca="1">IF(CW46&lt;&gt;0,вРазн(CW46,CV46,"s"), 0)</f>
        <v>1.238405704498291E-3</v>
      </c>
      <c r="CZ46" s="462">
        <f t="shared" ca="1" si="138"/>
        <v>107</v>
      </c>
      <c r="DA46" s="397">
        <f t="shared" ca="1" si="139"/>
        <v>0.6045138888888888</v>
      </c>
      <c r="DB46" s="398">
        <f t="shared" ca="1" si="64"/>
        <v>0.60468749999999993</v>
      </c>
      <c r="DC46" s="392" t="str">
        <f ca="1">IF(AND(DB46&lt;&gt;0,DA46&lt;&gt;0),вПМ(DB46,DA46,"s"),"")</f>
        <v>+</v>
      </c>
      <c r="DD46" s="398">
        <f ca="1">IF(AND(DB46&lt;&gt;0,DA46&lt;&gt;0),вРазн(DB46,DA46,"s"), 0)</f>
        <v>1.7362833023071289E-4</v>
      </c>
      <c r="DE46" s="462">
        <f t="shared" ca="1" si="140"/>
        <v>15</v>
      </c>
      <c r="DF46" s="390">
        <f t="shared" ca="1" si="66"/>
        <v>0</v>
      </c>
      <c r="DG46" s="391">
        <f t="shared" ca="1" si="141"/>
        <v>0</v>
      </c>
      <c r="DH46" s="391">
        <f t="shared" ca="1" si="142"/>
        <v>0</v>
      </c>
      <c r="DI46" s="401">
        <f t="shared" ca="1" si="143"/>
        <v>43.8</v>
      </c>
      <c r="DJ46" s="401">
        <f t="shared" ca="1" si="144"/>
        <v>0</v>
      </c>
      <c r="DK46" s="392">
        <f t="shared" ca="1" si="145"/>
        <v>0</v>
      </c>
      <c r="DL46" s="392" t="str">
        <f t="shared" ca="1" si="146"/>
        <v>да</v>
      </c>
      <c r="DM46" s="392" t="str">
        <f t="shared" ca="1" si="147"/>
        <v>да</v>
      </c>
      <c r="DN46" s="462">
        <f t="shared" ca="1" si="148"/>
        <v>491.4</v>
      </c>
      <c r="DO46" s="402">
        <f t="shared" ca="1" si="72"/>
        <v>0</v>
      </c>
      <c r="DP46" s="400">
        <f t="shared" ca="1" si="149"/>
        <v>0</v>
      </c>
      <c r="DQ46" s="402">
        <f t="shared" ca="1" si="72"/>
        <v>0</v>
      </c>
      <c r="DR46" s="400">
        <f t="shared" ca="1" si="150"/>
        <v>240</v>
      </c>
      <c r="DS46" s="390">
        <f t="shared" ca="1" si="164"/>
        <v>0.67569444444444438</v>
      </c>
      <c r="DT46" s="396">
        <f t="shared" ca="1" si="151"/>
        <v>0</v>
      </c>
      <c r="DU46" s="390">
        <f t="shared" ca="1" si="164"/>
        <v>0</v>
      </c>
      <c r="DV46" s="396">
        <f t="shared" ca="1" si="152"/>
        <v>900</v>
      </c>
      <c r="DW46" s="459"/>
      <c r="DX46" s="459"/>
      <c r="DY46" s="459"/>
      <c r="DZ46" s="459"/>
      <c r="EA46" s="459"/>
      <c r="EB46" s="459"/>
      <c r="EC46" s="459"/>
      <c r="ED46" s="459"/>
      <c r="EE46" s="459"/>
      <c r="EF46" s="459"/>
      <c r="EG46" s="459"/>
      <c r="EH46" s="459"/>
      <c r="EI46" s="459"/>
      <c r="EJ46" s="459"/>
      <c r="EK46" s="459"/>
      <c r="EL46" s="459"/>
      <c r="EM46" s="459"/>
      <c r="EN46" s="459"/>
      <c r="EO46" s="459"/>
      <c r="EP46" s="459"/>
      <c r="EQ46" s="459"/>
      <c r="ER46" s="459"/>
      <c r="ES46" s="459"/>
      <c r="ET46" s="459"/>
      <c r="EU46" s="390" t="e">
        <f t="shared" ca="1" si="153"/>
        <v>#VALUE!</v>
      </c>
      <c r="EV46" s="391">
        <f t="shared" ca="1" si="154"/>
        <v>0</v>
      </c>
      <c r="EW46" s="392" t="e">
        <f ca="1">IF(AND(EV46&lt;&gt;0,EU46&lt;&gt;0),вПМ(EV46,EU46),"")</f>
        <v>#VALUE!</v>
      </c>
      <c r="EX46" s="391">
        <f ca="1">IF(EV46&lt;&gt;0,вРазн(EV46,EU46), 0)</f>
        <v>0</v>
      </c>
      <c r="EY46" s="396">
        <f t="shared" ca="1" si="155"/>
        <v>900</v>
      </c>
      <c r="EZ46" s="390">
        <f t="shared" ca="1" si="81"/>
        <v>0</v>
      </c>
      <c r="FA46" s="391">
        <f t="shared" ca="1" si="156"/>
        <v>0</v>
      </c>
      <c r="FB46" s="391">
        <f t="shared" ca="1" si="157"/>
        <v>0</v>
      </c>
      <c r="FC46" s="401">
        <f t="shared" ca="1" si="158"/>
        <v>57.8</v>
      </c>
      <c r="FD46" s="401">
        <f t="shared" ca="1" si="159"/>
        <v>0</v>
      </c>
      <c r="FE46" s="401">
        <f t="shared" ca="1" si="160"/>
        <v>0</v>
      </c>
      <c r="FF46" s="392">
        <f t="shared" ca="1" si="161"/>
        <v>0</v>
      </c>
      <c r="FG46" s="392">
        <f t="shared" ca="1" si="162"/>
        <v>0</v>
      </c>
      <c r="FH46" s="462">
        <f t="shared" ca="1" si="163"/>
        <v>173.39999999999998</v>
      </c>
      <c r="FI46" s="403"/>
    </row>
    <row r="47" spans="1:165" s="20" customFormat="1" x14ac:dyDescent="0.25">
      <c r="A47" s="253">
        <f>стартоваяВедомость!B47</f>
        <v>43</v>
      </c>
      <c r="B47" s="241" t="str">
        <f t="shared" ca="1" si="1"/>
        <v>Skoda Yeti</v>
      </c>
      <c r="C47" s="241" t="str">
        <f t="shared" ca="1" si="2"/>
        <v>Жуков Андрей</v>
      </c>
      <c r="D47" s="241" t="str">
        <f t="shared" ca="1" si="3"/>
        <v>Слабков Максим</v>
      </c>
      <c r="E47" s="241" t="str">
        <f t="shared" ca="1" si="4"/>
        <v>Смоленск</v>
      </c>
      <c r="F47" s="241" t="str">
        <f t="shared" ca="1" si="5"/>
        <v>Light, Аэропорт</v>
      </c>
      <c r="G47" s="487">
        <f t="shared" ca="1" si="90"/>
        <v>2697.8</v>
      </c>
      <c r="H47" s="487">
        <f t="shared" ca="1" si="91"/>
        <v>1020</v>
      </c>
      <c r="I47" s="487">
        <f t="shared" ca="1" si="92"/>
        <v>1197.8</v>
      </c>
      <c r="J47" s="487">
        <f t="shared" ca="1" si="93"/>
        <v>480</v>
      </c>
      <c r="K47" s="242">
        <f t="shared" ca="1" si="9"/>
        <v>0.44305555555555548</v>
      </c>
      <c r="L47" s="122">
        <f t="shared" ca="1" si="94"/>
        <v>0.44305555555555554</v>
      </c>
      <c r="M47" s="243" t="str">
        <f ca="1">IF(L47&lt;&gt;0,вПМ(L47,K47),"")</f>
        <v/>
      </c>
      <c r="N47" s="122">
        <f ca="1">IF(L47&lt;&gt;0,вРазн(L47,K47), 0)</f>
        <v>0</v>
      </c>
      <c r="O47" s="301">
        <f t="shared" ca="1" si="95"/>
        <v>0</v>
      </c>
      <c r="P47" s="300">
        <f t="shared" ca="1" si="12"/>
        <v>4.86111119389534E-2</v>
      </c>
      <c r="Q47" s="294"/>
      <c r="R47" s="242">
        <f t="shared" ca="1" si="96"/>
        <v>0.49166666749450894</v>
      </c>
      <c r="S47" s="122">
        <f t="shared" ca="1" si="97"/>
        <v>0.4916666666666667</v>
      </c>
      <c r="T47" s="243" t="str">
        <f ca="1">IF(S47&lt;&gt;0,вПМ(S47,R47),"")</f>
        <v/>
      </c>
      <c r="U47" s="122">
        <f ca="1">IF(S47&lt;&gt;0,вРазн(S47,R47), 0)</f>
        <v>0</v>
      </c>
      <c r="V47" s="301">
        <f t="shared" ca="1" si="98"/>
        <v>0</v>
      </c>
      <c r="W47" s="300">
        <f t="shared" ca="1" si="16"/>
        <v>4.86111119389534E-2</v>
      </c>
      <c r="X47" s="122"/>
      <c r="Y47" s="294">
        <f t="shared" ca="1" si="99"/>
        <v>0</v>
      </c>
      <c r="Z47" s="242">
        <f t="shared" ca="1" si="100"/>
        <v>0.54375000082784219</v>
      </c>
      <c r="AA47" s="122">
        <f t="shared" ca="1" si="101"/>
        <v>0.54305555555555551</v>
      </c>
      <c r="AB47" s="243" t="str">
        <f ca="1">IF(AA47&lt;&gt;0,вПМ(AA47,Z47),"")</f>
        <v>-</v>
      </c>
      <c r="AC47" s="122">
        <f ca="1">IF(AA47&lt;&gt;0,вРазн(AA47,Z47), 0)</f>
        <v>6.9445371627807617E-4</v>
      </c>
      <c r="AD47" s="301">
        <f t="shared" ca="1" si="102"/>
        <v>60</v>
      </c>
      <c r="AE47" s="300">
        <f t="shared" ca="1" si="21"/>
        <v>2.43055559694767E-2</v>
      </c>
      <c r="AF47" s="122"/>
      <c r="AG47" s="294">
        <f t="shared" ca="1" si="103"/>
        <v>0</v>
      </c>
      <c r="AH47" s="242">
        <f t="shared" ca="1" si="104"/>
        <v>0.56736111152503221</v>
      </c>
      <c r="AI47" s="122">
        <f t="shared" ca="1" si="105"/>
        <v>0.56805555555555554</v>
      </c>
      <c r="AJ47" s="243" t="str">
        <f ca="1">IF(AI47&lt;&gt;0,вПМ(AI47,AH47),"")</f>
        <v>+</v>
      </c>
      <c r="AK47" s="122">
        <f ca="1">IF(AI47&lt;&gt;0,вРазн(AI47,AH47), 0)</f>
        <v>6.9445371627807617E-4</v>
      </c>
      <c r="AL47" s="301">
        <f t="shared" ca="1" si="106"/>
        <v>60</v>
      </c>
      <c r="AM47" s="300">
        <f t="shared" ca="1" si="26"/>
        <v>2.43055559694767E-2</v>
      </c>
      <c r="AN47" s="122"/>
      <c r="AO47" s="294">
        <f t="shared" ca="1" si="107"/>
        <v>0</v>
      </c>
      <c r="AP47" s="242">
        <f t="shared" ca="1" si="108"/>
        <v>0.59236111152503224</v>
      </c>
      <c r="AQ47" s="122">
        <f t="shared" ca="1" si="109"/>
        <v>0.59236111111111112</v>
      </c>
      <c r="AR47" s="243" t="str">
        <f ca="1">IF(AQ47&lt;&gt;0,вПМ(AQ47,AP47),"")</f>
        <v/>
      </c>
      <c r="AS47" s="122">
        <f ca="1">IF(AQ47&lt;&gt;0,вРазн(AQ47,AP47), 0)</f>
        <v>0</v>
      </c>
      <c r="AT47" s="301">
        <f t="shared" ca="1" si="110"/>
        <v>0</v>
      </c>
      <c r="AU47" s="300">
        <f t="shared" ca="1" si="31"/>
        <v>3.125E-2</v>
      </c>
      <c r="AV47" s="122"/>
      <c r="AW47" s="294">
        <f t="shared" ca="1" si="111"/>
        <v>0</v>
      </c>
      <c r="AX47" s="242">
        <f t="shared" ca="1" si="112"/>
        <v>0.62847222222222221</v>
      </c>
      <c r="AY47" s="122">
        <f t="shared" ca="1" si="113"/>
        <v>0.62847222222222221</v>
      </c>
      <c r="AZ47" s="243" t="str">
        <f ca="1">IF(AY47&lt;&gt;0,вПМ(AY47,AX47),"")</f>
        <v/>
      </c>
      <c r="BA47" s="122">
        <f ca="1">IF(AY47&lt;&gt;0,вРазн(AY47,AX47), 0)</f>
        <v>0</v>
      </c>
      <c r="BB47" s="301">
        <f t="shared" ca="1" si="114"/>
        <v>0</v>
      </c>
      <c r="BC47" s="300">
        <f t="shared" ca="1" si="36"/>
        <v>4.1666667908430099E-2</v>
      </c>
      <c r="BD47" s="122"/>
      <c r="BE47" s="294">
        <f t="shared" ca="1" si="115"/>
        <v>0</v>
      </c>
      <c r="BF47" s="242">
        <f t="shared" ca="1" si="116"/>
        <v>0.67013889013065231</v>
      </c>
      <c r="BG47" s="122">
        <f t="shared" ca="1" si="117"/>
        <v>0.67013888888888884</v>
      </c>
      <c r="BH47" s="243" t="str">
        <f ca="1">IF(BG47&lt;&gt;0,вПМ(BG47,BF47),"")</f>
        <v/>
      </c>
      <c r="BI47" s="122">
        <f ca="1">IF(BG47&lt;&gt;0,вРазн(BG47,BF47), 0)</f>
        <v>0</v>
      </c>
      <c r="BJ47" s="301">
        <f t="shared" ca="1" si="118"/>
        <v>0</v>
      </c>
      <c r="BK47" s="300">
        <f t="shared" ca="1" si="41"/>
        <v>2.777777798473835E-2</v>
      </c>
      <c r="BL47" s="122"/>
      <c r="BM47" s="294">
        <f t="shared" ca="1" si="119"/>
        <v>0</v>
      </c>
      <c r="BN47" s="242">
        <f t="shared" ca="1" si="120"/>
        <v>0.69791666687362719</v>
      </c>
      <c r="BO47" s="122">
        <f t="shared" ca="1" si="121"/>
        <v>0.69513888888888886</v>
      </c>
      <c r="BP47" s="243" t="str">
        <f ca="1">IF(BO47&lt;&gt;0,вПМ(BO47,BN47),"")</f>
        <v>-</v>
      </c>
      <c r="BQ47" s="122">
        <f ca="1">IF(BO47&lt;&gt;0,вРазн(BO47,BN47), 0)</f>
        <v>2.7778148651123047E-3</v>
      </c>
      <c r="BR47" s="244">
        <f t="shared" ca="1" si="122"/>
        <v>0</v>
      </c>
      <c r="BS47" s="242">
        <f t="shared" ca="1" si="46"/>
        <v>0</v>
      </c>
      <c r="BT47" s="122">
        <f t="shared" ca="1" si="123"/>
        <v>0</v>
      </c>
      <c r="BU47" s="122">
        <f t="shared" ca="1" si="124"/>
        <v>0</v>
      </c>
      <c r="BV47" s="248">
        <f t="shared" ca="1" si="125"/>
        <v>67.8</v>
      </c>
      <c r="BW47" s="248">
        <f t="shared" ca="1" si="126"/>
        <v>1</v>
      </c>
      <c r="BX47" s="243">
        <f t="shared" ca="1" si="127"/>
        <v>0</v>
      </c>
      <c r="BY47" s="243">
        <f t="shared" ca="1" si="128"/>
        <v>0</v>
      </c>
      <c r="BZ47" s="243">
        <f t="shared" ca="1" si="129"/>
        <v>0</v>
      </c>
      <c r="CA47" s="463">
        <f t="shared" ca="1" si="130"/>
        <v>218.39999999999998</v>
      </c>
      <c r="CB47" s="242">
        <f t="shared" ca="1" si="52"/>
        <v>0.49513888888888885</v>
      </c>
      <c r="CC47" s="122">
        <f t="shared" ca="1" si="131"/>
        <v>0.49513888888888885</v>
      </c>
      <c r="CD47" s="122">
        <f ca="1">IF(OR(CB47=0,CC47=0),0,вРазн(CC47,CB47))</f>
        <v>0</v>
      </c>
      <c r="CE47" s="122"/>
      <c r="CF47" s="122"/>
      <c r="CG47" s="247">
        <f t="shared" ca="1" si="132"/>
        <v>0.50292824074074072</v>
      </c>
      <c r="CH47" s="245">
        <f t="shared" ca="1" si="54"/>
        <v>0.50511574074074073</v>
      </c>
      <c r="CI47" s="240" t="str">
        <f ca="1">IF(CH47&lt;&gt;0,вПМ(CH47,CG47,"s"),"")</f>
        <v>+</v>
      </c>
      <c r="CJ47" s="245">
        <f ca="1">IF(CH47&lt;&gt;0,вРазн(CH47,CG47,"s"), 0)</f>
        <v>2.1874904632568359E-3</v>
      </c>
      <c r="CK47" s="463">
        <f t="shared" ca="1" si="133"/>
        <v>189</v>
      </c>
      <c r="CL47" s="247">
        <f t="shared" ca="1" si="134"/>
        <v>0.51937500000000003</v>
      </c>
      <c r="CM47" s="245">
        <f t="shared" ca="1" si="57"/>
        <v>0.52195601851851847</v>
      </c>
      <c r="CN47" s="243" t="str">
        <f ca="1">IF(AND(CM47&lt;&gt;0,CL47&lt;&gt;0),вПМ(CM47,CL47,"s"),"")</f>
        <v>+</v>
      </c>
      <c r="CO47" s="245">
        <f ca="1">IF(AND(CM47&lt;&gt;0,CL47&lt;&gt;0),вРазн(CM47,CL47,"s"), 0)</f>
        <v>2.5810003280639648E-3</v>
      </c>
      <c r="CP47" s="463">
        <f t="shared" ca="1" si="135"/>
        <v>223</v>
      </c>
      <c r="CQ47" s="242">
        <f t="shared" ca="1" si="59"/>
        <v>0.59722222222222221</v>
      </c>
      <c r="CR47" s="122">
        <f t="shared" ca="1" si="136"/>
        <v>0.59722222222222221</v>
      </c>
      <c r="CS47" s="122">
        <f ca="1">IF(OR(CQ47=0,CR47=0),0,вРазн(CR47,CQ47))</f>
        <v>0</v>
      </c>
      <c r="CT47" s="122"/>
      <c r="CU47" s="122"/>
      <c r="CV47" s="247">
        <f t="shared" ca="1" si="137"/>
        <v>0.60417824074074078</v>
      </c>
      <c r="CW47" s="245">
        <f t="shared" ca="1" si="61"/>
        <v>0.60560185185185189</v>
      </c>
      <c r="CX47" s="240" t="str">
        <f ca="1">IF(CW47&lt;&gt;0,вПМ(CW47,CV47,"s"),"")</f>
        <v>+</v>
      </c>
      <c r="CY47" s="245">
        <f ca="1">IF(CW47&lt;&gt;0,вРазн(CW47,CV47,"s"), 0)</f>
        <v>1.4235973358154297E-3</v>
      </c>
      <c r="CZ47" s="463">
        <f t="shared" ca="1" si="138"/>
        <v>123</v>
      </c>
      <c r="DA47" s="247">
        <f t="shared" ca="1" si="139"/>
        <v>0.60608796296296297</v>
      </c>
      <c r="DB47" s="245">
        <f t="shared" ca="1" si="64"/>
        <v>0.6060416666666667</v>
      </c>
      <c r="DC47" s="243" t="str">
        <f ca="1">IF(AND(DB47&lt;&gt;0,DA47&lt;&gt;0),вПМ(DB47,DA47,"s"),"")</f>
        <v>-</v>
      </c>
      <c r="DD47" s="245">
        <f ca="1">IF(AND(DB47&lt;&gt;0,DA47&lt;&gt;0),вРазн(DB47,DA47,"s"), 0)</f>
        <v>4.6312808990478516E-5</v>
      </c>
      <c r="DE47" s="463">
        <f t="shared" ca="1" si="140"/>
        <v>4</v>
      </c>
      <c r="DF47" s="242">
        <f t="shared" ca="1" si="66"/>
        <v>0</v>
      </c>
      <c r="DG47" s="122">
        <f t="shared" ca="1" si="141"/>
        <v>0</v>
      </c>
      <c r="DH47" s="122">
        <f t="shared" ca="1" si="142"/>
        <v>0</v>
      </c>
      <c r="DI47" s="248">
        <f t="shared" ca="1" si="143"/>
        <v>46.8</v>
      </c>
      <c r="DJ47" s="248">
        <f t="shared" ca="1" si="144"/>
        <v>0</v>
      </c>
      <c r="DK47" s="243">
        <f t="shared" ca="1" si="145"/>
        <v>0</v>
      </c>
      <c r="DL47" s="243">
        <f t="shared" ca="1" si="146"/>
        <v>0</v>
      </c>
      <c r="DM47" s="243" t="str">
        <f t="shared" ca="1" si="147"/>
        <v>да</v>
      </c>
      <c r="DN47" s="463">
        <f t="shared" ca="1" si="148"/>
        <v>440.4</v>
      </c>
      <c r="DO47" s="249">
        <f t="shared" ca="1" si="72"/>
        <v>0</v>
      </c>
      <c r="DP47" s="246">
        <f t="shared" ca="1" si="149"/>
        <v>0</v>
      </c>
      <c r="DQ47" s="249">
        <f t="shared" ca="1" si="72"/>
        <v>0</v>
      </c>
      <c r="DR47" s="246">
        <f t="shared" ca="1" si="150"/>
        <v>480</v>
      </c>
      <c r="DS47" s="242">
        <f t="shared" ca="1" si="164"/>
        <v>0.6791666666666667</v>
      </c>
      <c r="DT47" s="244">
        <f t="shared" ca="1" si="151"/>
        <v>0</v>
      </c>
      <c r="DU47" s="242">
        <f t="shared" ca="1" si="164"/>
        <v>0</v>
      </c>
      <c r="DV47" s="244">
        <f t="shared" ca="1" si="152"/>
        <v>900</v>
      </c>
      <c r="DW47" s="459"/>
      <c r="DX47" s="459"/>
      <c r="DY47" s="459"/>
      <c r="DZ47" s="459"/>
      <c r="EA47" s="459"/>
      <c r="EB47" s="459"/>
      <c r="EC47" s="459"/>
      <c r="ED47" s="459"/>
      <c r="EE47" s="459"/>
      <c r="EF47" s="459"/>
      <c r="EG47" s="459"/>
      <c r="EH47" s="459"/>
      <c r="EI47" s="459"/>
      <c r="EJ47" s="459"/>
      <c r="EK47" s="459"/>
      <c r="EL47" s="459"/>
      <c r="EM47" s="459"/>
      <c r="EN47" s="459"/>
      <c r="EO47" s="459"/>
      <c r="EP47" s="459"/>
      <c r="EQ47" s="459"/>
      <c r="ER47" s="459"/>
      <c r="ES47" s="459"/>
      <c r="ET47" s="459"/>
      <c r="EU47" s="242" t="e">
        <f t="shared" ca="1" si="153"/>
        <v>#VALUE!</v>
      </c>
      <c r="EV47" s="122">
        <f t="shared" ca="1" si="154"/>
        <v>0</v>
      </c>
      <c r="EW47" s="243" t="e">
        <f ca="1">IF(AND(EV47&lt;&gt;0,EU47&lt;&gt;0),вПМ(EV47,EU47),"")</f>
        <v>#VALUE!</v>
      </c>
      <c r="EX47" s="122">
        <f ca="1">IF(EV47&lt;&gt;0,вРазн(EV47,EU47), 0)</f>
        <v>0</v>
      </c>
      <c r="EY47" s="244">
        <f t="shared" ca="1" si="155"/>
        <v>900</v>
      </c>
      <c r="EZ47" s="242">
        <f t="shared" ca="1" si="81"/>
        <v>0</v>
      </c>
      <c r="FA47" s="122">
        <f t="shared" ca="1" si="156"/>
        <v>0</v>
      </c>
      <c r="FB47" s="122">
        <f t="shared" ca="1" si="157"/>
        <v>0</v>
      </c>
      <c r="FC47" s="248">
        <f t="shared" ca="1" si="158"/>
        <v>67.8</v>
      </c>
      <c r="FD47" s="248">
        <f t="shared" ca="1" si="159"/>
        <v>1</v>
      </c>
      <c r="FE47" s="248">
        <f t="shared" ca="1" si="160"/>
        <v>0</v>
      </c>
      <c r="FF47" s="243">
        <f t="shared" ca="1" si="161"/>
        <v>0</v>
      </c>
      <c r="FG47" s="243">
        <f t="shared" ca="1" si="162"/>
        <v>0</v>
      </c>
      <c r="FH47" s="463">
        <f t="shared" ca="1" si="163"/>
        <v>218.39999999999998</v>
      </c>
    </row>
    <row r="48" spans="1:165" s="236" customFormat="1" x14ac:dyDescent="0.25">
      <c r="A48" s="388">
        <f>стартоваяВедомость!B48</f>
        <v>44</v>
      </c>
      <c r="B48" s="389" t="str">
        <f t="shared" ca="1" si="1"/>
        <v>chevrolet aveo</v>
      </c>
      <c r="C48" s="389" t="str">
        <f t="shared" ca="1" si="2"/>
        <v>Юлия Морозова</v>
      </c>
      <c r="D48" s="389" t="str">
        <f t="shared" ca="1" si="3"/>
        <v>Арсений Хасанов</v>
      </c>
      <c r="E48" s="389" t="str">
        <f t="shared" ca="1" si="4"/>
        <v>Смоленск</v>
      </c>
      <c r="F48" s="389" t="str">
        <f t="shared" ca="1" si="5"/>
        <v>Light, Аэропорт</v>
      </c>
      <c r="G48" s="486">
        <f t="shared" ca="1" si="90"/>
        <v>2107.6</v>
      </c>
      <c r="H48" s="486">
        <f t="shared" ca="1" si="91"/>
        <v>600</v>
      </c>
      <c r="I48" s="486">
        <f t="shared" ca="1" si="92"/>
        <v>907.6</v>
      </c>
      <c r="J48" s="486">
        <f t="shared" ca="1" si="93"/>
        <v>600</v>
      </c>
      <c r="K48" s="390">
        <f t="shared" ca="1" si="9"/>
        <v>0.44374999999999992</v>
      </c>
      <c r="L48" s="391">
        <f t="shared" ca="1" si="94"/>
        <v>0.44375000000000003</v>
      </c>
      <c r="M48" s="392" t="str">
        <f ca="1">IF(L48&lt;&gt;0,вПМ(L48,K48),"")</f>
        <v/>
      </c>
      <c r="N48" s="391">
        <f ca="1">IF(L48&lt;&gt;0,вРазн(L48,K48), 0)</f>
        <v>0</v>
      </c>
      <c r="O48" s="393">
        <f t="shared" ca="1" si="95"/>
        <v>0</v>
      </c>
      <c r="P48" s="394">
        <f t="shared" ca="1" si="12"/>
        <v>4.86111119389534E-2</v>
      </c>
      <c r="Q48" s="395"/>
      <c r="R48" s="390">
        <f t="shared" ca="1" si="96"/>
        <v>0.49236111193895343</v>
      </c>
      <c r="S48" s="391">
        <f t="shared" ca="1" si="97"/>
        <v>0.4909722222222222</v>
      </c>
      <c r="T48" s="392" t="str">
        <f ca="1">IF(S48&lt;&gt;0,вПМ(S48,R48),"")</f>
        <v>-</v>
      </c>
      <c r="U48" s="391">
        <f ca="1">IF(S48&lt;&gt;0,вРазн(S48,R48), 0)</f>
        <v>1.3888776302337646E-3</v>
      </c>
      <c r="V48" s="393">
        <f t="shared" ca="1" si="98"/>
        <v>120</v>
      </c>
      <c r="W48" s="394">
        <f t="shared" ca="1" si="16"/>
        <v>4.86111119389534E-2</v>
      </c>
      <c r="X48" s="391"/>
      <c r="Y48" s="395">
        <f t="shared" ca="1" si="99"/>
        <v>0</v>
      </c>
      <c r="Z48" s="390">
        <f t="shared" ca="1" si="100"/>
        <v>0.54305555638339786</v>
      </c>
      <c r="AA48" s="391">
        <f t="shared" ca="1" si="101"/>
        <v>0.54305555555555551</v>
      </c>
      <c r="AB48" s="392" t="str">
        <f ca="1">IF(AA48&lt;&gt;0,вПМ(AA48,Z48),"")</f>
        <v/>
      </c>
      <c r="AC48" s="391">
        <f ca="1">IF(AA48&lt;&gt;0,вРазн(AA48,Z48), 0)</f>
        <v>0</v>
      </c>
      <c r="AD48" s="393">
        <f t="shared" ca="1" si="102"/>
        <v>0</v>
      </c>
      <c r="AE48" s="394">
        <f t="shared" ca="1" si="21"/>
        <v>2.43055559694767E-2</v>
      </c>
      <c r="AF48" s="391"/>
      <c r="AG48" s="395">
        <f t="shared" ca="1" si="103"/>
        <v>0</v>
      </c>
      <c r="AH48" s="390">
        <f t="shared" ca="1" si="104"/>
        <v>0.56736111152503221</v>
      </c>
      <c r="AI48" s="391">
        <f t="shared" ca="1" si="105"/>
        <v>0.56736111111111109</v>
      </c>
      <c r="AJ48" s="392" t="str">
        <f ca="1">IF(AI48&lt;&gt;0,вПМ(AI48,AH48),"")</f>
        <v/>
      </c>
      <c r="AK48" s="391">
        <f ca="1">IF(AI48&lt;&gt;0,вРазн(AI48,AH48), 0)</f>
        <v>0</v>
      </c>
      <c r="AL48" s="393">
        <f t="shared" ca="1" si="106"/>
        <v>0</v>
      </c>
      <c r="AM48" s="394">
        <f t="shared" ca="1" si="26"/>
        <v>2.43055559694767E-2</v>
      </c>
      <c r="AN48" s="391"/>
      <c r="AO48" s="395">
        <f t="shared" ca="1" si="107"/>
        <v>0</v>
      </c>
      <c r="AP48" s="390">
        <f t="shared" ca="1" si="108"/>
        <v>0.59166666708058779</v>
      </c>
      <c r="AQ48" s="391">
        <f t="shared" ca="1" si="109"/>
        <v>0.59166666666666667</v>
      </c>
      <c r="AR48" s="392" t="str">
        <f ca="1">IF(AQ48&lt;&gt;0,вПМ(AQ48,AP48),"")</f>
        <v/>
      </c>
      <c r="AS48" s="391">
        <f ca="1">IF(AQ48&lt;&gt;0,вРазн(AQ48,AP48), 0)</f>
        <v>0</v>
      </c>
      <c r="AT48" s="393">
        <f t="shared" ca="1" si="110"/>
        <v>0</v>
      </c>
      <c r="AU48" s="394">
        <f t="shared" ca="1" si="31"/>
        <v>3.125E-2</v>
      </c>
      <c r="AV48" s="391"/>
      <c r="AW48" s="395">
        <f t="shared" ca="1" si="111"/>
        <v>0</v>
      </c>
      <c r="AX48" s="390">
        <f t="shared" ca="1" si="112"/>
        <v>0.62777777777777777</v>
      </c>
      <c r="AY48" s="391">
        <f t="shared" ca="1" si="113"/>
        <v>0.62777777777777777</v>
      </c>
      <c r="AZ48" s="392" t="str">
        <f ca="1">IF(AY48&lt;&gt;0,вПМ(AY48,AX48),"")</f>
        <v/>
      </c>
      <c r="BA48" s="391">
        <f ca="1">IF(AY48&lt;&gt;0,вРазн(AY48,AX48), 0)</f>
        <v>0</v>
      </c>
      <c r="BB48" s="393">
        <f t="shared" ca="1" si="114"/>
        <v>0</v>
      </c>
      <c r="BC48" s="394">
        <f t="shared" ca="1" si="36"/>
        <v>4.1666667908430099E-2</v>
      </c>
      <c r="BD48" s="391"/>
      <c r="BE48" s="395">
        <f t="shared" ca="1" si="115"/>
        <v>0</v>
      </c>
      <c r="BF48" s="390">
        <f t="shared" ca="1" si="116"/>
        <v>0.66944444568620787</v>
      </c>
      <c r="BG48" s="391">
        <f t="shared" ca="1" si="117"/>
        <v>0.6694444444444444</v>
      </c>
      <c r="BH48" s="392" t="str">
        <f ca="1">IF(BG48&lt;&gt;0,вПМ(BG48,BF48),"")</f>
        <v/>
      </c>
      <c r="BI48" s="391">
        <f ca="1">IF(BG48&lt;&gt;0,вРазн(BG48,BF48), 0)</f>
        <v>0</v>
      </c>
      <c r="BJ48" s="393">
        <f t="shared" ca="1" si="118"/>
        <v>0</v>
      </c>
      <c r="BK48" s="394">
        <f t="shared" ca="1" si="41"/>
        <v>2.777777798473835E-2</v>
      </c>
      <c r="BL48" s="391"/>
      <c r="BM48" s="395">
        <f t="shared" ca="1" si="119"/>
        <v>0</v>
      </c>
      <c r="BN48" s="390">
        <f t="shared" ca="1" si="120"/>
        <v>0.69722222242918275</v>
      </c>
      <c r="BO48" s="391">
        <f t="shared" ca="1" si="121"/>
        <v>0.70277777777777783</v>
      </c>
      <c r="BP48" s="392" t="str">
        <f ca="1">IF(BO48&lt;&gt;0,вПМ(BO48,BN48),"")</f>
        <v>+</v>
      </c>
      <c r="BQ48" s="391">
        <f ca="1">IF(BO48&lt;&gt;0,вРазн(BO48,BN48), 0)</f>
        <v>5.555570125579834E-3</v>
      </c>
      <c r="BR48" s="396">
        <f t="shared" ca="1" si="122"/>
        <v>480</v>
      </c>
      <c r="BS48" s="390">
        <f t="shared" ca="1" si="46"/>
        <v>0</v>
      </c>
      <c r="BT48" s="391">
        <f t="shared" ca="1" si="123"/>
        <v>0</v>
      </c>
      <c r="BU48" s="391">
        <f t="shared" ca="1" si="124"/>
        <v>0</v>
      </c>
      <c r="BV48" s="401">
        <f t="shared" ca="1" si="125"/>
        <v>83.7</v>
      </c>
      <c r="BW48" s="401">
        <f t="shared" ca="1" si="126"/>
        <v>0</v>
      </c>
      <c r="BX48" s="392">
        <f t="shared" ca="1" si="127"/>
        <v>0</v>
      </c>
      <c r="BY48" s="392">
        <f t="shared" ca="1" si="128"/>
        <v>0</v>
      </c>
      <c r="BZ48" s="392" t="str">
        <f t="shared" ca="1" si="129"/>
        <v>да</v>
      </c>
      <c r="CA48" s="462">
        <f t="shared" ca="1" si="130"/>
        <v>551.1</v>
      </c>
      <c r="CB48" s="390">
        <f t="shared" ca="1" si="52"/>
        <v>0.49444444444444446</v>
      </c>
      <c r="CC48" s="391">
        <f t="shared" ca="1" si="131"/>
        <v>0.49444444444444446</v>
      </c>
      <c r="CD48" s="391">
        <f ca="1">IF(OR(CB48=0,CC48=0),0,вРазн(CC48,CB48))</f>
        <v>0</v>
      </c>
      <c r="CE48" s="391"/>
      <c r="CF48" s="391"/>
      <c r="CG48" s="397">
        <f t="shared" ca="1" si="132"/>
        <v>0.50223379629629628</v>
      </c>
      <c r="CH48" s="398">
        <f t="shared" ca="1" si="54"/>
        <v>0.50262731481481482</v>
      </c>
      <c r="CI48" s="399" t="str">
        <f ca="1">IF(CH48&lt;&gt;0,вПМ(CH48,CG48,"s"),"")</f>
        <v>+</v>
      </c>
      <c r="CJ48" s="398">
        <f ca="1">IF(CH48&lt;&gt;0,вРазн(CH48,CG48,"s"), 0)</f>
        <v>3.9350986480712891E-4</v>
      </c>
      <c r="CK48" s="462">
        <f t="shared" ca="1" si="133"/>
        <v>34</v>
      </c>
      <c r="CL48" s="397">
        <f t="shared" ca="1" si="134"/>
        <v>0.51688657407407412</v>
      </c>
      <c r="CM48" s="398">
        <f t="shared" ca="1" si="57"/>
        <v>0.51689814814814816</v>
      </c>
      <c r="CN48" s="392" t="str">
        <f ca="1">IF(AND(CM48&lt;&gt;0,CL48&lt;&gt;0),вПМ(CM48,CL48,"s"),"")</f>
        <v>+</v>
      </c>
      <c r="CO48" s="398">
        <f ca="1">IF(AND(CM48&lt;&gt;0,CL48&lt;&gt;0),вРазн(CM48,CL48,"s"), 0)</f>
        <v>1.1563301086425781E-5</v>
      </c>
      <c r="CP48" s="462">
        <f t="shared" ca="1" si="135"/>
        <v>1</v>
      </c>
      <c r="CQ48" s="390">
        <f t="shared" ca="1" si="59"/>
        <v>0.59652777777777777</v>
      </c>
      <c r="CR48" s="391">
        <f t="shared" ca="1" si="136"/>
        <v>0.59652777777777777</v>
      </c>
      <c r="CS48" s="391">
        <f ca="1">IF(OR(CQ48=0,CR48=0),0,вРазн(CR48,CQ48))</f>
        <v>0</v>
      </c>
      <c r="CT48" s="391"/>
      <c r="CU48" s="391"/>
      <c r="CV48" s="397">
        <f t="shared" ca="1" si="137"/>
        <v>0.60348379629629634</v>
      </c>
      <c r="CW48" s="398">
        <f t="shared" ca="1" si="61"/>
        <v>0.6045949074074074</v>
      </c>
      <c r="CX48" s="399" t="str">
        <f ca="1">IF(CW48&lt;&gt;0,вПМ(CW48,CV48,"s"),"")</f>
        <v>+</v>
      </c>
      <c r="CY48" s="398">
        <f ca="1">IF(CW48&lt;&gt;0,вРазн(CW48,CV48,"s"), 0)</f>
        <v>1.1110901832580566E-3</v>
      </c>
      <c r="CZ48" s="462">
        <f t="shared" ca="1" si="138"/>
        <v>96</v>
      </c>
      <c r="DA48" s="397">
        <f t="shared" ca="1" si="139"/>
        <v>0.60508101851851848</v>
      </c>
      <c r="DB48" s="398">
        <f t="shared" ca="1" si="64"/>
        <v>0.6050578703703704</v>
      </c>
      <c r="DC48" s="392" t="str">
        <f ca="1">IF(AND(DB48&lt;&gt;0,DA48&lt;&gt;0),вПМ(DB48,DA48,"s"),"")</f>
        <v>-</v>
      </c>
      <c r="DD48" s="398">
        <f ca="1">IF(AND(DB48&lt;&gt;0,DA48&lt;&gt;0),вРазн(DB48,DA48,"s"), 0)</f>
        <v>2.3126602172851563E-5</v>
      </c>
      <c r="DE48" s="462">
        <f t="shared" ca="1" si="140"/>
        <v>2</v>
      </c>
      <c r="DF48" s="390">
        <f t="shared" ca="1" si="66"/>
        <v>0</v>
      </c>
      <c r="DG48" s="391">
        <f t="shared" ca="1" si="141"/>
        <v>0</v>
      </c>
      <c r="DH48" s="391">
        <f t="shared" ca="1" si="142"/>
        <v>0</v>
      </c>
      <c r="DI48" s="401">
        <f t="shared" ca="1" si="143"/>
        <v>69.5</v>
      </c>
      <c r="DJ48" s="401">
        <f t="shared" ca="1" si="144"/>
        <v>1</v>
      </c>
      <c r="DK48" s="392">
        <f t="shared" ca="1" si="145"/>
        <v>0</v>
      </c>
      <c r="DL48" s="392">
        <f t="shared" ca="1" si="146"/>
        <v>0</v>
      </c>
      <c r="DM48" s="392">
        <f t="shared" ca="1" si="147"/>
        <v>0</v>
      </c>
      <c r="DN48" s="462">
        <f t="shared" ca="1" si="148"/>
        <v>223.5</v>
      </c>
      <c r="DO48" s="402">
        <f t="shared" ca="1" si="72"/>
        <v>0</v>
      </c>
      <c r="DP48" s="400">
        <f t="shared" ca="1" si="149"/>
        <v>0</v>
      </c>
      <c r="DQ48" s="402">
        <f t="shared" ca="1" si="72"/>
        <v>0</v>
      </c>
      <c r="DR48" s="400">
        <f t="shared" ca="1" si="150"/>
        <v>600</v>
      </c>
      <c r="DS48" s="390">
        <f t="shared" ca="1" si="164"/>
        <v>0.68402777777777779</v>
      </c>
      <c r="DT48" s="396">
        <f t="shared" ca="1" si="151"/>
        <v>0</v>
      </c>
      <c r="DU48" s="390">
        <f t="shared" ca="1" si="164"/>
        <v>0.6972222222222223</v>
      </c>
      <c r="DV48" s="396">
        <f t="shared" ca="1" si="152"/>
        <v>0</v>
      </c>
      <c r="DW48" s="459"/>
      <c r="DX48" s="459"/>
      <c r="DY48" s="459"/>
      <c r="DZ48" s="459"/>
      <c r="EA48" s="459"/>
      <c r="EB48" s="459"/>
      <c r="EC48" s="459"/>
      <c r="ED48" s="459"/>
      <c r="EE48" s="459"/>
      <c r="EF48" s="459"/>
      <c r="EG48" s="459"/>
      <c r="EH48" s="459"/>
      <c r="EI48" s="459"/>
      <c r="EJ48" s="459"/>
      <c r="EK48" s="459"/>
      <c r="EL48" s="459"/>
      <c r="EM48" s="459"/>
      <c r="EN48" s="459"/>
      <c r="EO48" s="459"/>
      <c r="EP48" s="459"/>
      <c r="EQ48" s="459"/>
      <c r="ER48" s="459"/>
      <c r="ES48" s="459"/>
      <c r="ET48" s="459"/>
      <c r="EU48" s="390" t="e">
        <f t="shared" ca="1" si="153"/>
        <v>#VALUE!</v>
      </c>
      <c r="EV48" s="391">
        <f t="shared" ca="1" si="154"/>
        <v>0</v>
      </c>
      <c r="EW48" s="392" t="e">
        <f ca="1">IF(AND(EV48&lt;&gt;0,EU48&lt;&gt;0),вПМ(EV48,EU48),"")</f>
        <v>#VALUE!</v>
      </c>
      <c r="EX48" s="391">
        <f ca="1">IF(EV48&lt;&gt;0,вРазн(EV48,EU48), 0)</f>
        <v>0</v>
      </c>
      <c r="EY48" s="396">
        <f t="shared" ca="1" si="155"/>
        <v>900</v>
      </c>
      <c r="EZ48" s="390">
        <f t="shared" ca="1" si="81"/>
        <v>0</v>
      </c>
      <c r="FA48" s="391">
        <f t="shared" ca="1" si="156"/>
        <v>0</v>
      </c>
      <c r="FB48" s="391">
        <f t="shared" ca="1" si="157"/>
        <v>0</v>
      </c>
      <c r="FC48" s="401">
        <f t="shared" ca="1" si="158"/>
        <v>83.7</v>
      </c>
      <c r="FD48" s="401">
        <f t="shared" ca="1" si="159"/>
        <v>0</v>
      </c>
      <c r="FE48" s="401">
        <f t="shared" ca="1" si="160"/>
        <v>0</v>
      </c>
      <c r="FF48" s="392">
        <f t="shared" ca="1" si="161"/>
        <v>0</v>
      </c>
      <c r="FG48" s="392" t="str">
        <f t="shared" ca="1" si="162"/>
        <v>да</v>
      </c>
      <c r="FH48" s="462">
        <f t="shared" ca="1" si="163"/>
        <v>311.10000000000002</v>
      </c>
      <c r="FI48" s="403"/>
    </row>
    <row r="49" spans="1:165" s="20" customFormat="1" x14ac:dyDescent="0.25">
      <c r="A49" s="253">
        <f>стартоваяВедомость!B49</f>
        <v>45</v>
      </c>
      <c r="B49" s="241" t="str">
        <f t="shared" ca="1" si="1"/>
        <v>Тагаз Тагер</v>
      </c>
      <c r="C49" s="241" t="str">
        <f t="shared" ca="1" si="2"/>
        <v>Комаров Станислав Олегович</v>
      </c>
      <c r="D49" s="241" t="str">
        <f t="shared" ca="1" si="3"/>
        <v>Комаров Данила Олегович</v>
      </c>
      <c r="E49" s="241" t="str">
        <f t="shared" ca="1" si="4"/>
        <v>Дорогобуж</v>
      </c>
      <c r="F49" s="241" t="str">
        <f t="shared" ca="1" si="5"/>
        <v>Light, Кубок</v>
      </c>
      <c r="G49" s="487">
        <f t="shared" ca="1" si="90"/>
        <v>3009.1</v>
      </c>
      <c r="H49" s="487">
        <f t="shared" ca="1" si="91"/>
        <v>900</v>
      </c>
      <c r="I49" s="487">
        <f t="shared" ca="1" si="92"/>
        <v>1269.0999999999999</v>
      </c>
      <c r="J49" s="487">
        <f t="shared" ca="1" si="93"/>
        <v>840</v>
      </c>
      <c r="K49" s="242">
        <f t="shared" ca="1" si="9"/>
        <v>0.44444444444444436</v>
      </c>
      <c r="L49" s="122">
        <f t="shared" ca="1" si="94"/>
        <v>0.44444444444444442</v>
      </c>
      <c r="M49" s="243" t="str">
        <f ca="1">IF(L49&lt;&gt;0,вПМ(L49,K49),"")</f>
        <v/>
      </c>
      <c r="N49" s="122">
        <f ca="1">IF(L49&lt;&gt;0,вРазн(L49,K49), 0)</f>
        <v>0</v>
      </c>
      <c r="O49" s="301">
        <f t="shared" ca="1" si="95"/>
        <v>0</v>
      </c>
      <c r="P49" s="300">
        <f t="shared" ca="1" si="12"/>
        <v>4.86111119389534E-2</v>
      </c>
      <c r="Q49" s="294"/>
      <c r="R49" s="242">
        <f t="shared" ca="1" si="96"/>
        <v>0.49305555638339782</v>
      </c>
      <c r="S49" s="122">
        <f t="shared" ca="1" si="97"/>
        <v>0.49305555555555558</v>
      </c>
      <c r="T49" s="243" t="str">
        <f ca="1">IF(S49&lt;&gt;0,вПМ(S49,R49),"")</f>
        <v/>
      </c>
      <c r="U49" s="122">
        <f ca="1">IF(S49&lt;&gt;0,вРазн(S49,R49), 0)</f>
        <v>0</v>
      </c>
      <c r="V49" s="301">
        <f t="shared" ca="1" si="98"/>
        <v>0</v>
      </c>
      <c r="W49" s="300">
        <f t="shared" ca="1" si="16"/>
        <v>4.86111119389534E-2</v>
      </c>
      <c r="X49" s="122"/>
      <c r="Y49" s="294">
        <f t="shared" ca="1" si="99"/>
        <v>0</v>
      </c>
      <c r="Z49" s="242">
        <f t="shared" ca="1" si="100"/>
        <v>0.54513888971673108</v>
      </c>
      <c r="AA49" s="122">
        <f t="shared" ca="1" si="101"/>
        <v>0.54513888888888895</v>
      </c>
      <c r="AB49" s="243" t="str">
        <f ca="1">IF(AA49&lt;&gt;0,вПМ(AA49,Z49),"")</f>
        <v/>
      </c>
      <c r="AC49" s="122">
        <f ca="1">IF(AA49&lt;&gt;0,вРазн(AA49,Z49), 0)</f>
        <v>0</v>
      </c>
      <c r="AD49" s="301">
        <f t="shared" ca="1" si="102"/>
        <v>0</v>
      </c>
      <c r="AE49" s="300">
        <f t="shared" ca="1" si="21"/>
        <v>2.43055559694767E-2</v>
      </c>
      <c r="AF49" s="122"/>
      <c r="AG49" s="294">
        <f t="shared" ca="1" si="103"/>
        <v>0</v>
      </c>
      <c r="AH49" s="242">
        <f t="shared" ca="1" si="104"/>
        <v>0.56944444485836565</v>
      </c>
      <c r="AI49" s="122">
        <f t="shared" ca="1" si="105"/>
        <v>0.56944444444444442</v>
      </c>
      <c r="AJ49" s="243" t="str">
        <f ca="1">IF(AI49&lt;&gt;0,вПМ(AI49,AH49),"")</f>
        <v/>
      </c>
      <c r="AK49" s="122">
        <f ca="1">IF(AI49&lt;&gt;0,вРазн(AI49,AH49), 0)</f>
        <v>0</v>
      </c>
      <c r="AL49" s="301">
        <f t="shared" ca="1" si="106"/>
        <v>0</v>
      </c>
      <c r="AM49" s="300">
        <f t="shared" ca="1" si="26"/>
        <v>2.43055559694767E-2</v>
      </c>
      <c r="AN49" s="122"/>
      <c r="AO49" s="294">
        <f t="shared" ca="1" si="107"/>
        <v>0</v>
      </c>
      <c r="AP49" s="242">
        <f t="shared" ca="1" si="108"/>
        <v>0.59375000041392112</v>
      </c>
      <c r="AQ49" s="122">
        <f t="shared" ca="1" si="109"/>
        <v>0.59375</v>
      </c>
      <c r="AR49" s="243" t="str">
        <f ca="1">IF(AQ49&lt;&gt;0,вПМ(AQ49,AP49),"")</f>
        <v/>
      </c>
      <c r="AS49" s="122">
        <f ca="1">IF(AQ49&lt;&gt;0,вРазн(AQ49,AP49), 0)</f>
        <v>0</v>
      </c>
      <c r="AT49" s="301">
        <f t="shared" ca="1" si="110"/>
        <v>0</v>
      </c>
      <c r="AU49" s="300">
        <f t="shared" ca="1" si="31"/>
        <v>3.125E-2</v>
      </c>
      <c r="AV49" s="122"/>
      <c r="AW49" s="294">
        <f t="shared" ca="1" si="111"/>
        <v>0</v>
      </c>
      <c r="AX49" s="242">
        <f t="shared" ca="1" si="112"/>
        <v>0.62916666666666665</v>
      </c>
      <c r="AY49" s="122">
        <f t="shared" ca="1" si="113"/>
        <v>0.62916666666666665</v>
      </c>
      <c r="AZ49" s="243" t="str">
        <f ca="1">IF(AY49&lt;&gt;0,вПМ(AY49,AX49),"")</f>
        <v/>
      </c>
      <c r="BA49" s="122">
        <f ca="1">IF(AY49&lt;&gt;0,вРазн(AY49,AX49), 0)</f>
        <v>0</v>
      </c>
      <c r="BB49" s="301">
        <f t="shared" ca="1" si="114"/>
        <v>0</v>
      </c>
      <c r="BC49" s="300">
        <f t="shared" ca="1" si="36"/>
        <v>4.1666667908430099E-2</v>
      </c>
      <c r="BD49" s="122"/>
      <c r="BE49" s="294">
        <f t="shared" ca="1" si="115"/>
        <v>0</v>
      </c>
      <c r="BF49" s="242">
        <f t="shared" ca="1" si="116"/>
        <v>0.67083333457509675</v>
      </c>
      <c r="BG49" s="122">
        <f t="shared" ca="1" si="117"/>
        <v>0.67083333333333339</v>
      </c>
      <c r="BH49" s="243" t="str">
        <f ca="1">IF(BG49&lt;&gt;0,вПМ(BG49,BF49),"")</f>
        <v/>
      </c>
      <c r="BI49" s="122">
        <f ca="1">IF(BG49&lt;&gt;0,вРазн(BG49,BF49), 0)</f>
        <v>0</v>
      </c>
      <c r="BJ49" s="301">
        <f t="shared" ca="1" si="118"/>
        <v>0</v>
      </c>
      <c r="BK49" s="300">
        <f t="shared" ca="1" si="41"/>
        <v>2.777777798473835E-2</v>
      </c>
      <c r="BL49" s="122"/>
      <c r="BM49" s="294">
        <f t="shared" ca="1" si="119"/>
        <v>0</v>
      </c>
      <c r="BN49" s="242">
        <f t="shared" ca="1" si="120"/>
        <v>0.69861111131807174</v>
      </c>
      <c r="BO49" s="122">
        <f t="shared" ca="1" si="121"/>
        <v>0.69930555555555562</v>
      </c>
      <c r="BP49" s="243" t="str">
        <f ca="1">IF(BO49&lt;&gt;0,вПМ(BO49,BN49),"")</f>
        <v/>
      </c>
      <c r="BQ49" s="122">
        <f ca="1">IF(BO49&lt;&gt;0,вРазн(BO49,BN49), 0)</f>
        <v>6.9439411163330078E-4</v>
      </c>
      <c r="BR49" s="244">
        <f t="shared" ca="1" si="122"/>
        <v>0</v>
      </c>
      <c r="BS49" s="242">
        <f t="shared" ca="1" si="46"/>
        <v>0</v>
      </c>
      <c r="BT49" s="122">
        <f t="shared" ca="1" si="123"/>
        <v>0</v>
      </c>
      <c r="BU49" s="122">
        <f t="shared" ca="1" si="124"/>
        <v>0</v>
      </c>
      <c r="BV49" s="248">
        <f t="shared" ca="1" si="125"/>
        <v>59.4</v>
      </c>
      <c r="BW49" s="248">
        <f t="shared" ca="1" si="126"/>
        <v>1</v>
      </c>
      <c r="BX49" s="243">
        <f t="shared" ca="1" si="127"/>
        <v>0</v>
      </c>
      <c r="BY49" s="243">
        <f t="shared" ca="1" si="128"/>
        <v>0</v>
      </c>
      <c r="BZ49" s="243">
        <f t="shared" ca="1" si="129"/>
        <v>0</v>
      </c>
      <c r="CA49" s="463">
        <f t="shared" ca="1" si="130"/>
        <v>193.2</v>
      </c>
      <c r="CB49" s="242">
        <f t="shared" ca="1" si="52"/>
        <v>0.49652777777777773</v>
      </c>
      <c r="CC49" s="122">
        <f t="shared" ca="1" si="131"/>
        <v>0.49652777777777773</v>
      </c>
      <c r="CD49" s="122">
        <f ca="1">IF(OR(CB49=0,CC49=0),0,вРазн(CC49,CB49))</f>
        <v>0</v>
      </c>
      <c r="CE49" s="122"/>
      <c r="CF49" s="122"/>
      <c r="CG49" s="247">
        <f t="shared" ca="1" si="132"/>
        <v>0.5043171296296296</v>
      </c>
      <c r="CH49" s="245">
        <f t="shared" ca="1" si="54"/>
        <v>0.50886574074074076</v>
      </c>
      <c r="CI49" s="240" t="str">
        <f ca="1">IF(CH49&lt;&gt;0,вПМ(CH49,CG49,"s"),"")</f>
        <v>+</v>
      </c>
      <c r="CJ49" s="245">
        <f ca="1">IF(CH49&lt;&gt;0,вРазн(CH49,CG49,"s"), 0)</f>
        <v>4.5486092567443848E-3</v>
      </c>
      <c r="CK49" s="463">
        <f t="shared" ca="1" si="133"/>
        <v>393</v>
      </c>
      <c r="CL49" s="247">
        <f t="shared" ca="1" si="134"/>
        <v>0.52312500000000006</v>
      </c>
      <c r="CM49" s="245">
        <f t="shared" ca="1" si="57"/>
        <v>0.5239583333333333</v>
      </c>
      <c r="CN49" s="243" t="str">
        <f ca="1">IF(AND(CM49&lt;&gt;0,CL49&lt;&gt;0),вПМ(CM49,CL49,"s"),"")</f>
        <v>+</v>
      </c>
      <c r="CO49" s="245">
        <f ca="1">IF(AND(CM49&lt;&gt;0,CL49&lt;&gt;0),вРазн(CM49,CL49,"s"), 0)</f>
        <v>8.3333253860473633E-4</v>
      </c>
      <c r="CP49" s="463">
        <f t="shared" ca="1" si="135"/>
        <v>72</v>
      </c>
      <c r="CQ49" s="242">
        <f t="shared" ca="1" si="59"/>
        <v>0.59791666666666665</v>
      </c>
      <c r="CR49" s="122">
        <f t="shared" ca="1" si="136"/>
        <v>0.59791666666666665</v>
      </c>
      <c r="CS49" s="122">
        <f ca="1">IF(OR(CQ49=0,CR49=0),0,вРазн(CR49,CQ49))</f>
        <v>0</v>
      </c>
      <c r="CT49" s="122"/>
      <c r="CU49" s="122"/>
      <c r="CV49" s="247">
        <f t="shared" ca="1" si="137"/>
        <v>0.60487268518518522</v>
      </c>
      <c r="CW49" s="245">
        <f t="shared" ca="1" si="61"/>
        <v>0.60850694444444442</v>
      </c>
      <c r="CX49" s="240" t="str">
        <f ca="1">IF(CW49&lt;&gt;0,вПМ(CW49,CV49,"s"),"")</f>
        <v>+</v>
      </c>
      <c r="CY49" s="245">
        <f ca="1">IF(CW49&lt;&gt;0,вРазн(CW49,CV49,"s"), 0)</f>
        <v>3.6342144012451172E-3</v>
      </c>
      <c r="CZ49" s="463">
        <f t="shared" ca="1" si="138"/>
        <v>314</v>
      </c>
      <c r="DA49" s="247">
        <f t="shared" ca="1" si="139"/>
        <v>0.6089930555555555</v>
      </c>
      <c r="DB49" s="245">
        <f t="shared" ca="1" si="64"/>
        <v>0.60855324074074069</v>
      </c>
      <c r="DC49" s="243" t="str">
        <f ca="1">IF(AND(DB49&lt;&gt;0,DA49&lt;&gt;0),вПМ(DB49,DA49,"s"),"")</f>
        <v>-</v>
      </c>
      <c r="DD49" s="245">
        <f ca="1">IF(AND(DB49&lt;&gt;0,DA49&lt;&gt;0),вРазн(DB49,DA49,"s"), 0)</f>
        <v>4.3982267379760742E-4</v>
      </c>
      <c r="DE49" s="463">
        <f t="shared" ca="1" si="140"/>
        <v>38</v>
      </c>
      <c r="DF49" s="242">
        <f t="shared" ca="1" si="66"/>
        <v>0</v>
      </c>
      <c r="DG49" s="122">
        <f t="shared" ca="1" si="141"/>
        <v>0</v>
      </c>
      <c r="DH49" s="122">
        <f t="shared" ca="1" si="142"/>
        <v>0</v>
      </c>
      <c r="DI49" s="248">
        <f t="shared" ca="1" si="143"/>
        <v>86.3</v>
      </c>
      <c r="DJ49" s="248">
        <f t="shared" ca="1" si="144"/>
        <v>0</v>
      </c>
      <c r="DK49" s="243">
        <f t="shared" ca="1" si="145"/>
        <v>0</v>
      </c>
      <c r="DL49" s="243">
        <f t="shared" ca="1" si="146"/>
        <v>0</v>
      </c>
      <c r="DM49" s="243">
        <f t="shared" ca="1" si="147"/>
        <v>0</v>
      </c>
      <c r="DN49" s="463">
        <f t="shared" ca="1" si="148"/>
        <v>258.89999999999998</v>
      </c>
      <c r="DO49" s="249">
        <f t="shared" ca="1" si="72"/>
        <v>0</v>
      </c>
      <c r="DP49" s="246">
        <f t="shared" ca="1" si="149"/>
        <v>0</v>
      </c>
      <c r="DQ49" s="249">
        <f t="shared" ca="1" si="72"/>
        <v>0</v>
      </c>
      <c r="DR49" s="246">
        <f t="shared" ca="1" si="150"/>
        <v>840</v>
      </c>
      <c r="DS49" s="242">
        <f t="shared" ca="1" si="164"/>
        <v>0.68611111111111101</v>
      </c>
      <c r="DT49" s="244">
        <f t="shared" ca="1" si="151"/>
        <v>0</v>
      </c>
      <c r="DU49" s="242">
        <f t="shared" ca="1" si="164"/>
        <v>0</v>
      </c>
      <c r="DV49" s="244">
        <f t="shared" ca="1" si="152"/>
        <v>900</v>
      </c>
      <c r="DW49" s="459"/>
      <c r="DX49" s="459"/>
      <c r="DY49" s="459"/>
      <c r="DZ49" s="459"/>
      <c r="EA49" s="459"/>
      <c r="EB49" s="459"/>
      <c r="EC49" s="459"/>
      <c r="ED49" s="459"/>
      <c r="EE49" s="459"/>
      <c r="EF49" s="459"/>
      <c r="EG49" s="459"/>
      <c r="EH49" s="459"/>
      <c r="EI49" s="459"/>
      <c r="EJ49" s="459"/>
      <c r="EK49" s="459"/>
      <c r="EL49" s="459"/>
      <c r="EM49" s="459"/>
      <c r="EN49" s="459"/>
      <c r="EO49" s="459"/>
      <c r="EP49" s="459"/>
      <c r="EQ49" s="459"/>
      <c r="ER49" s="459"/>
      <c r="ES49" s="459"/>
      <c r="ET49" s="459"/>
      <c r="EU49" s="242" t="e">
        <f t="shared" ca="1" si="153"/>
        <v>#VALUE!</v>
      </c>
      <c r="EV49" s="122">
        <f t="shared" ca="1" si="154"/>
        <v>0</v>
      </c>
      <c r="EW49" s="243" t="e">
        <f ca="1">IF(AND(EV49&lt;&gt;0,EU49&lt;&gt;0),вПМ(EV49,EU49),"")</f>
        <v>#VALUE!</v>
      </c>
      <c r="EX49" s="122">
        <f ca="1">IF(EV49&lt;&gt;0,вРазн(EV49,EU49), 0)</f>
        <v>0</v>
      </c>
      <c r="EY49" s="244">
        <f t="shared" ca="1" si="155"/>
        <v>900</v>
      </c>
      <c r="EZ49" s="242">
        <f t="shared" ca="1" si="81"/>
        <v>0</v>
      </c>
      <c r="FA49" s="122">
        <f t="shared" ca="1" si="156"/>
        <v>0</v>
      </c>
      <c r="FB49" s="122">
        <f t="shared" ca="1" si="157"/>
        <v>0</v>
      </c>
      <c r="FC49" s="248">
        <f t="shared" ca="1" si="158"/>
        <v>59.4</v>
      </c>
      <c r="FD49" s="248">
        <f t="shared" ca="1" si="159"/>
        <v>1</v>
      </c>
      <c r="FE49" s="248">
        <f t="shared" ca="1" si="160"/>
        <v>0</v>
      </c>
      <c r="FF49" s="243">
        <f t="shared" ca="1" si="161"/>
        <v>0</v>
      </c>
      <c r="FG49" s="243">
        <f t="shared" ca="1" si="162"/>
        <v>0</v>
      </c>
      <c r="FH49" s="463">
        <f t="shared" ca="1" si="163"/>
        <v>193.2</v>
      </c>
    </row>
    <row r="50" spans="1:165" s="236" customFormat="1" x14ac:dyDescent="0.25">
      <c r="A50" s="388">
        <f>стартоваяВедомость!B50</f>
        <v>47</v>
      </c>
      <c r="B50" s="389" t="str">
        <f t="shared" ca="1" si="1"/>
        <v>Toyota RAV4</v>
      </c>
      <c r="C50" s="389" t="str">
        <f t="shared" ca="1" si="2"/>
        <v>Кананадзе Сергей</v>
      </c>
      <c r="D50" s="389" t="str">
        <f t="shared" ca="1" si="3"/>
        <v>Подшивалов Александр</v>
      </c>
      <c r="E50" s="389" t="str">
        <f t="shared" ca="1" si="4"/>
        <v>Москва / Люберцы</v>
      </c>
      <c r="F50" s="389" t="str">
        <f t="shared" ca="1" si="5"/>
        <v>Pro, Кубок</v>
      </c>
      <c r="G50" s="486">
        <f t="shared" ca="1" si="90"/>
        <v>308.5</v>
      </c>
      <c r="H50" s="486">
        <f t="shared" ca="1" si="91"/>
        <v>0</v>
      </c>
      <c r="I50" s="486">
        <f t="shared" ca="1" si="92"/>
        <v>308.5</v>
      </c>
      <c r="J50" s="486">
        <f t="shared" ca="1" si="93"/>
        <v>0</v>
      </c>
      <c r="K50" s="390">
        <f t="shared" ca="1" si="9"/>
        <v>0.44513888888888881</v>
      </c>
      <c r="L50" s="391">
        <f t="shared" ca="1" si="94"/>
        <v>0.44513888888888892</v>
      </c>
      <c r="M50" s="392" t="str">
        <f ca="1">IF(L50&lt;&gt;0,вПМ(L50,K50),"")</f>
        <v/>
      </c>
      <c r="N50" s="391">
        <f ca="1">IF(L50&lt;&gt;0,вРазн(L50,K50), 0)</f>
        <v>0</v>
      </c>
      <c r="O50" s="393">
        <f t="shared" ca="1" si="95"/>
        <v>0</v>
      </c>
      <c r="P50" s="394">
        <f t="shared" ca="1" si="12"/>
        <v>4.86111119389534E-2</v>
      </c>
      <c r="Q50" s="395"/>
      <c r="R50" s="390">
        <f t="shared" ca="1" si="96"/>
        <v>0.49375000082784232</v>
      </c>
      <c r="S50" s="391">
        <f t="shared" ca="1" si="97"/>
        <v>0.49374999999999997</v>
      </c>
      <c r="T50" s="392" t="str">
        <f ca="1">IF(S50&lt;&gt;0,вПМ(S50,R50),"")</f>
        <v/>
      </c>
      <c r="U50" s="391">
        <f ca="1">IF(S50&lt;&gt;0,вРазн(S50,R50), 0)</f>
        <v>0</v>
      </c>
      <c r="V50" s="393">
        <f t="shared" ca="1" si="98"/>
        <v>0</v>
      </c>
      <c r="W50" s="394">
        <f t="shared" ca="1" si="16"/>
        <v>4.86111119389534E-2</v>
      </c>
      <c r="X50" s="391"/>
      <c r="Y50" s="395">
        <f t="shared" ca="1" si="99"/>
        <v>0</v>
      </c>
      <c r="Z50" s="390">
        <f t="shared" ca="1" si="100"/>
        <v>0.54583333416117563</v>
      </c>
      <c r="AA50" s="391">
        <f t="shared" ca="1" si="101"/>
        <v>0.54583333333333328</v>
      </c>
      <c r="AB50" s="392" t="str">
        <f ca="1">IF(AA50&lt;&gt;0,вПМ(AA50,Z50),"")</f>
        <v/>
      </c>
      <c r="AC50" s="391">
        <f ca="1">IF(AA50&lt;&gt;0,вРазн(AA50,Z50), 0)</f>
        <v>0</v>
      </c>
      <c r="AD50" s="393">
        <f t="shared" ca="1" si="102"/>
        <v>0</v>
      </c>
      <c r="AE50" s="394">
        <f t="shared" ca="1" si="21"/>
        <v>2.43055559694767E-2</v>
      </c>
      <c r="AF50" s="391"/>
      <c r="AG50" s="395">
        <f t="shared" ca="1" si="103"/>
        <v>0</v>
      </c>
      <c r="AH50" s="390">
        <f t="shared" ca="1" si="104"/>
        <v>0.57013888930280998</v>
      </c>
      <c r="AI50" s="391">
        <f t="shared" ca="1" si="105"/>
        <v>0.57013888888888886</v>
      </c>
      <c r="AJ50" s="392" t="str">
        <f ca="1">IF(AI50&lt;&gt;0,вПМ(AI50,AH50),"")</f>
        <v/>
      </c>
      <c r="AK50" s="391">
        <f ca="1">IF(AI50&lt;&gt;0,вРазн(AI50,AH50), 0)</f>
        <v>0</v>
      </c>
      <c r="AL50" s="393">
        <f t="shared" ca="1" si="106"/>
        <v>0</v>
      </c>
      <c r="AM50" s="394">
        <f t="shared" ca="1" si="26"/>
        <v>2.43055559694767E-2</v>
      </c>
      <c r="AN50" s="391"/>
      <c r="AO50" s="395">
        <f t="shared" ca="1" si="107"/>
        <v>0</v>
      </c>
      <c r="AP50" s="390">
        <f t="shared" ca="1" si="108"/>
        <v>0.59444444485836556</v>
      </c>
      <c r="AQ50" s="391">
        <f t="shared" ca="1" si="109"/>
        <v>0.59444444444444444</v>
      </c>
      <c r="AR50" s="392" t="str">
        <f ca="1">IF(AQ50&lt;&gt;0,вПМ(AQ50,AP50),"")</f>
        <v/>
      </c>
      <c r="AS50" s="391">
        <f ca="1">IF(AQ50&lt;&gt;0,вРазн(AQ50,AP50), 0)</f>
        <v>0</v>
      </c>
      <c r="AT50" s="393">
        <f t="shared" ca="1" si="110"/>
        <v>0</v>
      </c>
      <c r="AU50" s="394">
        <f t="shared" ca="1" si="31"/>
        <v>3.125E-2</v>
      </c>
      <c r="AV50" s="391"/>
      <c r="AW50" s="395">
        <f t="shared" ca="1" si="111"/>
        <v>0</v>
      </c>
      <c r="AX50" s="390">
        <f t="shared" ca="1" si="112"/>
        <v>0.62986111111111109</v>
      </c>
      <c r="AY50" s="391">
        <f t="shared" ca="1" si="113"/>
        <v>0.62986111111111109</v>
      </c>
      <c r="AZ50" s="392" t="str">
        <f ca="1">IF(AY50&lt;&gt;0,вПМ(AY50,AX50),"")</f>
        <v/>
      </c>
      <c r="BA50" s="391">
        <f ca="1">IF(AY50&lt;&gt;0,вРазн(AY50,AX50), 0)</f>
        <v>0</v>
      </c>
      <c r="BB50" s="393">
        <f t="shared" ca="1" si="114"/>
        <v>0</v>
      </c>
      <c r="BC50" s="394">
        <f t="shared" ca="1" si="36"/>
        <v>4.1666667908430099E-2</v>
      </c>
      <c r="BD50" s="391"/>
      <c r="BE50" s="395">
        <f t="shared" ca="1" si="115"/>
        <v>0</v>
      </c>
      <c r="BF50" s="390">
        <f t="shared" ca="1" si="116"/>
        <v>0.67152777901954119</v>
      </c>
      <c r="BG50" s="391">
        <f t="shared" ca="1" si="117"/>
        <v>0.67152777777777783</v>
      </c>
      <c r="BH50" s="392" t="str">
        <f ca="1">IF(BG50&lt;&gt;0,вПМ(BG50,BF50),"")</f>
        <v/>
      </c>
      <c r="BI50" s="391">
        <f ca="1">IF(BG50&lt;&gt;0,вРазн(BG50,BF50), 0)</f>
        <v>0</v>
      </c>
      <c r="BJ50" s="393">
        <f t="shared" ca="1" si="118"/>
        <v>0</v>
      </c>
      <c r="BK50" s="394">
        <f t="shared" ca="1" si="41"/>
        <v>2.777777798473835E-2</v>
      </c>
      <c r="BL50" s="391"/>
      <c r="BM50" s="395">
        <f t="shared" ca="1" si="119"/>
        <v>0</v>
      </c>
      <c r="BN50" s="390">
        <f t="shared" ca="1" si="120"/>
        <v>0.69930555576251618</v>
      </c>
      <c r="BO50" s="391">
        <f t="shared" ca="1" si="121"/>
        <v>0.69652777777777775</v>
      </c>
      <c r="BP50" s="392" t="str">
        <f ca="1">IF(BO50&lt;&gt;0,вПМ(BO50,BN50),"")</f>
        <v>-</v>
      </c>
      <c r="BQ50" s="391">
        <f ca="1">IF(BO50&lt;&gt;0,вРазн(BO50,BN50), 0)</f>
        <v>2.7777552604675293E-3</v>
      </c>
      <c r="BR50" s="396">
        <f t="shared" ca="1" si="122"/>
        <v>0</v>
      </c>
      <c r="BS50" s="390">
        <f t="shared" ca="1" si="46"/>
        <v>0</v>
      </c>
      <c r="BT50" s="391">
        <f t="shared" ca="1" si="123"/>
        <v>0</v>
      </c>
      <c r="BU50" s="391">
        <f t="shared" ca="1" si="124"/>
        <v>0</v>
      </c>
      <c r="BV50" s="401">
        <f t="shared" ca="1" si="125"/>
        <v>55.2</v>
      </c>
      <c r="BW50" s="401">
        <f t="shared" ca="1" si="126"/>
        <v>0</v>
      </c>
      <c r="BX50" s="392">
        <f t="shared" ca="1" si="127"/>
        <v>0</v>
      </c>
      <c r="BY50" s="392">
        <f t="shared" ca="1" si="128"/>
        <v>0</v>
      </c>
      <c r="BZ50" s="392">
        <f t="shared" ca="1" si="129"/>
        <v>0</v>
      </c>
      <c r="CA50" s="462">
        <f t="shared" ca="1" si="130"/>
        <v>165.60000000000002</v>
      </c>
      <c r="CB50" s="390">
        <f t="shared" ca="1" si="52"/>
        <v>0.49722222222222223</v>
      </c>
      <c r="CC50" s="391">
        <f t="shared" ca="1" si="131"/>
        <v>0.49722222222222223</v>
      </c>
      <c r="CD50" s="391">
        <f ca="1">IF(OR(CB50=0,CC50=0),0,вРазн(CC50,CB50))</f>
        <v>0</v>
      </c>
      <c r="CE50" s="391"/>
      <c r="CF50" s="391"/>
      <c r="CG50" s="397">
        <f t="shared" ca="1" si="132"/>
        <v>0.50501157407407404</v>
      </c>
      <c r="CH50" s="398">
        <f t="shared" ca="1" si="54"/>
        <v>0.50501157407407404</v>
      </c>
      <c r="CI50" s="399" t="str">
        <f ca="1">IF(CH50&lt;&gt;0,вПМ(CH50,CG50,"s"),"")</f>
        <v/>
      </c>
      <c r="CJ50" s="398">
        <f ca="1">IF(CH50&lt;&gt;0,вРазн(CH50,CG50,"s"), 0)</f>
        <v>0</v>
      </c>
      <c r="CK50" s="462">
        <f t="shared" ca="1" si="133"/>
        <v>0</v>
      </c>
      <c r="CL50" s="397">
        <f t="shared" ca="1" si="134"/>
        <v>0.51927083333333335</v>
      </c>
      <c r="CM50" s="398">
        <f t="shared" ca="1" si="57"/>
        <v>0.51903935185185179</v>
      </c>
      <c r="CN50" s="392" t="str">
        <f ca="1">IF(AND(CM50&lt;&gt;0,CL50&lt;&gt;0),вПМ(CM50,CL50,"s"),"")</f>
        <v>-</v>
      </c>
      <c r="CO50" s="398">
        <f ca="1">IF(AND(CM50&lt;&gt;0,CL50&lt;&gt;0),вРазн(CM50,CL50,"s"), 0)</f>
        <v>2.3150444030761719E-4</v>
      </c>
      <c r="CP50" s="462">
        <f t="shared" ca="1" si="135"/>
        <v>20</v>
      </c>
      <c r="CQ50" s="390">
        <f t="shared" ca="1" si="59"/>
        <v>0.59861111111111109</v>
      </c>
      <c r="CR50" s="391">
        <f t="shared" ca="1" si="136"/>
        <v>0.59861111111111109</v>
      </c>
      <c r="CS50" s="391">
        <f ca="1">IF(OR(CQ50=0,CR50=0),0,вРазн(CR50,CQ50))</f>
        <v>0</v>
      </c>
      <c r="CT50" s="391"/>
      <c r="CU50" s="391"/>
      <c r="CV50" s="397">
        <f t="shared" ca="1" si="137"/>
        <v>0.60556712962962966</v>
      </c>
      <c r="CW50" s="398">
        <f t="shared" ca="1" si="61"/>
        <v>0.6055787037037037</v>
      </c>
      <c r="CX50" s="399" t="str">
        <f ca="1">IF(CW50&lt;&gt;0,вПМ(CW50,CV50,"s"),"")</f>
        <v>+</v>
      </c>
      <c r="CY50" s="398">
        <f ca="1">IF(CW50&lt;&gt;0,вРазн(CW50,CV50,"s"), 0)</f>
        <v>1.1563301086425781E-5</v>
      </c>
      <c r="CZ50" s="462">
        <f t="shared" ca="1" si="138"/>
        <v>1</v>
      </c>
      <c r="DA50" s="397">
        <f t="shared" ca="1" si="139"/>
        <v>0.60606481481481478</v>
      </c>
      <c r="DB50" s="398">
        <f t="shared" ca="1" si="64"/>
        <v>0.60607638888888882</v>
      </c>
      <c r="DC50" s="392" t="str">
        <f ca="1">IF(AND(DB50&lt;&gt;0,DA50&lt;&gt;0),вПМ(DB50,DA50,"s"),"")</f>
        <v>+</v>
      </c>
      <c r="DD50" s="398">
        <f ca="1">IF(AND(DB50&lt;&gt;0,DA50&lt;&gt;0),вРазн(DB50,DA50,"s"), 0)</f>
        <v>1.1563301086425781E-5</v>
      </c>
      <c r="DE50" s="462">
        <f t="shared" ca="1" si="140"/>
        <v>1</v>
      </c>
      <c r="DF50" s="390">
        <f t="shared" ca="1" si="66"/>
        <v>0</v>
      </c>
      <c r="DG50" s="391">
        <f t="shared" ca="1" si="141"/>
        <v>0</v>
      </c>
      <c r="DH50" s="391">
        <f t="shared" ca="1" si="142"/>
        <v>0</v>
      </c>
      <c r="DI50" s="401">
        <f t="shared" ca="1" si="143"/>
        <v>40.299999999999997</v>
      </c>
      <c r="DJ50" s="401">
        <f t="shared" ca="1" si="144"/>
        <v>0</v>
      </c>
      <c r="DK50" s="392">
        <f t="shared" ca="1" si="145"/>
        <v>0</v>
      </c>
      <c r="DL50" s="392">
        <f t="shared" ca="1" si="146"/>
        <v>0</v>
      </c>
      <c r="DM50" s="392">
        <f t="shared" ca="1" si="147"/>
        <v>0</v>
      </c>
      <c r="DN50" s="462">
        <f t="shared" ca="1" si="148"/>
        <v>120.89999999999999</v>
      </c>
      <c r="DO50" s="402">
        <f t="shared" ca="1" si="72"/>
        <v>0</v>
      </c>
      <c r="DP50" s="400">
        <f t="shared" ca="1" si="149"/>
        <v>0</v>
      </c>
      <c r="DQ50" s="402">
        <f t="shared" ca="1" si="72"/>
        <v>0</v>
      </c>
      <c r="DR50" s="400">
        <f t="shared" ca="1" si="150"/>
        <v>0</v>
      </c>
      <c r="DS50" s="390">
        <f t="shared" ca="1" si="164"/>
        <v>0.6777777777777777</v>
      </c>
      <c r="DT50" s="396">
        <f t="shared" ca="1" si="151"/>
        <v>0</v>
      </c>
      <c r="DU50" s="390">
        <f t="shared" ca="1" si="164"/>
        <v>0.69027777777777777</v>
      </c>
      <c r="DV50" s="396">
        <f t="shared" ca="1" si="152"/>
        <v>0</v>
      </c>
      <c r="DW50" s="459"/>
      <c r="DX50" s="459"/>
      <c r="DY50" s="459"/>
      <c r="DZ50" s="459"/>
      <c r="EA50" s="459"/>
      <c r="EB50" s="459"/>
      <c r="EC50" s="459"/>
      <c r="ED50" s="459"/>
      <c r="EE50" s="459"/>
      <c r="EF50" s="459"/>
      <c r="EG50" s="459"/>
      <c r="EH50" s="459"/>
      <c r="EI50" s="459"/>
      <c r="EJ50" s="459"/>
      <c r="EK50" s="459"/>
      <c r="EL50" s="459"/>
      <c r="EM50" s="459"/>
      <c r="EN50" s="459"/>
      <c r="EO50" s="459"/>
      <c r="EP50" s="459"/>
      <c r="EQ50" s="459"/>
      <c r="ER50" s="459"/>
      <c r="ES50" s="459"/>
      <c r="ET50" s="459"/>
      <c r="EU50" s="390" t="e">
        <f t="shared" ca="1" si="153"/>
        <v>#VALUE!</v>
      </c>
      <c r="EV50" s="391">
        <f t="shared" ca="1" si="154"/>
        <v>0</v>
      </c>
      <c r="EW50" s="392" t="e">
        <f ca="1">IF(AND(EV50&lt;&gt;0,EU50&lt;&gt;0),вПМ(EV50,EU50),"")</f>
        <v>#VALUE!</v>
      </c>
      <c r="EX50" s="391">
        <f ca="1">IF(EV50&lt;&gt;0,вРазн(EV50,EU50), 0)</f>
        <v>0</v>
      </c>
      <c r="EY50" s="396">
        <f t="shared" ca="1" si="155"/>
        <v>900</v>
      </c>
      <c r="EZ50" s="390">
        <f t="shared" ca="1" si="81"/>
        <v>0</v>
      </c>
      <c r="FA50" s="391">
        <f t="shared" ca="1" si="156"/>
        <v>0</v>
      </c>
      <c r="FB50" s="391">
        <f t="shared" ca="1" si="157"/>
        <v>0</v>
      </c>
      <c r="FC50" s="401">
        <f t="shared" ca="1" si="158"/>
        <v>55.2</v>
      </c>
      <c r="FD50" s="401">
        <f t="shared" ca="1" si="159"/>
        <v>0</v>
      </c>
      <c r="FE50" s="401">
        <f t="shared" ca="1" si="160"/>
        <v>0</v>
      </c>
      <c r="FF50" s="392">
        <f t="shared" ca="1" si="161"/>
        <v>0</v>
      </c>
      <c r="FG50" s="392">
        <f t="shared" ca="1" si="162"/>
        <v>0</v>
      </c>
      <c r="FH50" s="462">
        <f t="shared" ca="1" si="163"/>
        <v>165.60000000000002</v>
      </c>
      <c r="FI50" s="403"/>
    </row>
    <row r="51" spans="1:165" s="20" customFormat="1" x14ac:dyDescent="0.25">
      <c r="A51" s="253">
        <f>стартоваяВедомость!B51</f>
        <v>36</v>
      </c>
      <c r="B51" s="241" t="str">
        <f t="shared" ca="1" si="1"/>
        <v>Lada Vesta</v>
      </c>
      <c r="C51" s="241" t="str">
        <f t="shared" ca="1" si="2"/>
        <v>Шибковская Наталья</v>
      </c>
      <c r="D51" s="241" t="str">
        <f t="shared" ca="1" si="3"/>
        <v>Александров Михаил</v>
      </c>
      <c r="E51" s="241" t="str">
        <f t="shared" ca="1" si="4"/>
        <v>Смоленск</v>
      </c>
      <c r="F51" s="241" t="str">
        <f t="shared" ca="1" si="5"/>
        <v>Light, Аэропорт</v>
      </c>
      <c r="G51" s="487">
        <f t="shared" ca="1" si="90"/>
        <v>2334.6999999999998</v>
      </c>
      <c r="H51" s="487">
        <f t="shared" ca="1" si="91"/>
        <v>1140</v>
      </c>
      <c r="I51" s="487">
        <f t="shared" ca="1" si="92"/>
        <v>594.70000000000005</v>
      </c>
      <c r="J51" s="487">
        <f t="shared" ca="1" si="93"/>
        <v>600</v>
      </c>
      <c r="K51" s="242">
        <f t="shared" ca="1" si="9"/>
        <v>0.44583333333333325</v>
      </c>
      <c r="L51" s="122">
        <f t="shared" ca="1" si="94"/>
        <v>0.4458333333333333</v>
      </c>
      <c r="M51" s="243" t="str">
        <f ca="1">IF(L51&lt;&gt;0,вПМ(L51,K51),"")</f>
        <v/>
      </c>
      <c r="N51" s="122">
        <f ca="1">IF(L51&lt;&gt;0,вРазн(L51,K51), 0)</f>
        <v>0</v>
      </c>
      <c r="O51" s="301">
        <f t="shared" ca="1" si="95"/>
        <v>0</v>
      </c>
      <c r="P51" s="300">
        <f t="shared" ca="1" si="12"/>
        <v>4.86111119389534E-2</v>
      </c>
      <c r="Q51" s="294"/>
      <c r="R51" s="242">
        <f t="shared" ca="1" si="96"/>
        <v>0.4944444452722867</v>
      </c>
      <c r="S51" s="122">
        <f t="shared" ca="1" si="97"/>
        <v>0.49444444444444446</v>
      </c>
      <c r="T51" s="243" t="str">
        <f ca="1">IF(S51&lt;&gt;0,вПМ(S51,R51),"")</f>
        <v>-</v>
      </c>
      <c r="U51" s="122">
        <f ca="1">IF(S51&lt;&gt;0,вРазн(S51,R51), 0)</f>
        <v>0</v>
      </c>
      <c r="V51" s="301">
        <f t="shared" ca="1" si="98"/>
        <v>0</v>
      </c>
      <c r="W51" s="300">
        <f t="shared" ca="1" si="16"/>
        <v>4.86111119389534E-2</v>
      </c>
      <c r="X51" s="122"/>
      <c r="Y51" s="294">
        <f t="shared" ca="1" si="99"/>
        <v>0</v>
      </c>
      <c r="Z51" s="242">
        <f t="shared" ca="1" si="100"/>
        <v>0.54652777860561996</v>
      </c>
      <c r="AA51" s="122">
        <f t="shared" ca="1" si="101"/>
        <v>0.54652777777777783</v>
      </c>
      <c r="AB51" s="243" t="str">
        <f ca="1">IF(AA51&lt;&gt;0,вПМ(AA51,Z51),"")</f>
        <v/>
      </c>
      <c r="AC51" s="122">
        <f ca="1">IF(AA51&lt;&gt;0,вРазн(AA51,Z51), 0)</f>
        <v>0</v>
      </c>
      <c r="AD51" s="301">
        <f t="shared" ca="1" si="102"/>
        <v>0</v>
      </c>
      <c r="AE51" s="300">
        <f t="shared" ca="1" si="21"/>
        <v>2.43055559694767E-2</v>
      </c>
      <c r="AF51" s="122"/>
      <c r="AG51" s="294">
        <f t="shared" ca="1" si="103"/>
        <v>0</v>
      </c>
      <c r="AH51" s="242">
        <f t="shared" ca="1" si="104"/>
        <v>0.57083333374725453</v>
      </c>
      <c r="AI51" s="122">
        <f t="shared" ca="1" si="105"/>
        <v>0.57291666666666663</v>
      </c>
      <c r="AJ51" s="243" t="str">
        <f ca="1">IF(AI51&lt;&gt;0,вПМ(AI51,AH51),"")</f>
        <v>+</v>
      </c>
      <c r="AK51" s="122">
        <f ca="1">IF(AI51&lt;&gt;0,вРазн(AI51,AH51), 0)</f>
        <v>2.0833611488342285E-3</v>
      </c>
      <c r="AL51" s="301">
        <f t="shared" ca="1" si="106"/>
        <v>180</v>
      </c>
      <c r="AM51" s="300">
        <f t="shared" ca="1" si="26"/>
        <v>2.43055559694767E-2</v>
      </c>
      <c r="AN51" s="122"/>
      <c r="AO51" s="294">
        <f t="shared" ca="1" si="107"/>
        <v>0</v>
      </c>
      <c r="AP51" s="242">
        <f t="shared" ca="1" si="108"/>
        <v>0.59722222263614333</v>
      </c>
      <c r="AQ51" s="122">
        <f t="shared" ca="1" si="109"/>
        <v>0.59722222222222221</v>
      </c>
      <c r="AR51" s="243" t="str">
        <f ca="1">IF(AQ51&lt;&gt;0,вПМ(AQ51,AP51),"")</f>
        <v/>
      </c>
      <c r="AS51" s="122">
        <f ca="1">IF(AQ51&lt;&gt;0,вРазн(AQ51,AP51), 0)</f>
        <v>0</v>
      </c>
      <c r="AT51" s="301">
        <f t="shared" ca="1" si="110"/>
        <v>0</v>
      </c>
      <c r="AU51" s="300">
        <f t="shared" ca="1" si="31"/>
        <v>3.125E-2</v>
      </c>
      <c r="AV51" s="122"/>
      <c r="AW51" s="294">
        <f t="shared" ca="1" si="111"/>
        <v>0</v>
      </c>
      <c r="AX51" s="242">
        <f t="shared" ca="1" si="112"/>
        <v>0.63055555555555554</v>
      </c>
      <c r="AY51" s="122">
        <f t="shared" ca="1" si="113"/>
        <v>0.63124999999999998</v>
      </c>
      <c r="AZ51" s="243" t="str">
        <f ca="1">IF(AY51&lt;&gt;0,вПМ(AY51,AX51),"")</f>
        <v>+</v>
      </c>
      <c r="BA51" s="122">
        <f ca="1">IF(AY51&lt;&gt;0,вРазн(AY51,AX51), 0)</f>
        <v>6.9445371627807617E-4</v>
      </c>
      <c r="BB51" s="301">
        <f t="shared" ca="1" si="114"/>
        <v>60</v>
      </c>
      <c r="BC51" s="300">
        <f t="shared" ca="1" si="36"/>
        <v>4.1666667908430099E-2</v>
      </c>
      <c r="BD51" s="122"/>
      <c r="BE51" s="294">
        <f t="shared" ca="1" si="115"/>
        <v>0</v>
      </c>
      <c r="BF51" s="242">
        <f t="shared" ca="1" si="116"/>
        <v>0.67291666790843008</v>
      </c>
      <c r="BG51" s="122">
        <f t="shared" ca="1" si="117"/>
        <v>0.67291666666666661</v>
      </c>
      <c r="BH51" s="243" t="str">
        <f ca="1">IF(BG51&lt;&gt;0,вПМ(BG51,BF51),"")</f>
        <v/>
      </c>
      <c r="BI51" s="122">
        <f ca="1">IF(BG51&lt;&gt;0,вРазн(BG51,BF51), 0)</f>
        <v>0</v>
      </c>
      <c r="BJ51" s="301">
        <f t="shared" ca="1" si="118"/>
        <v>0</v>
      </c>
      <c r="BK51" s="300">
        <f t="shared" ca="1" si="41"/>
        <v>2.777777798473835E-2</v>
      </c>
      <c r="BL51" s="122"/>
      <c r="BM51" s="294">
        <f t="shared" ca="1" si="119"/>
        <v>0</v>
      </c>
      <c r="BN51" s="242">
        <f t="shared" ca="1" si="120"/>
        <v>0.70069444465140496</v>
      </c>
      <c r="BO51" s="122">
        <f t="shared" ca="1" si="121"/>
        <v>0.7006944444444444</v>
      </c>
      <c r="BP51" s="243" t="str">
        <f ca="1">IF(BO51&lt;&gt;0,вПМ(BO51,BN51),"")</f>
        <v/>
      </c>
      <c r="BQ51" s="122">
        <f ca="1">IF(BO51&lt;&gt;0,вРазн(BO51,BN51), 0)</f>
        <v>0</v>
      </c>
      <c r="BR51" s="244">
        <f t="shared" ca="1" si="122"/>
        <v>0</v>
      </c>
      <c r="BS51" s="242">
        <f t="shared" ca="1" si="46"/>
        <v>0</v>
      </c>
      <c r="BT51" s="122">
        <f t="shared" ca="1" si="123"/>
        <v>0</v>
      </c>
      <c r="BU51" s="122">
        <f t="shared" ca="1" si="124"/>
        <v>0</v>
      </c>
      <c r="BV51" s="248">
        <f t="shared" ca="1" si="125"/>
        <v>90.5</v>
      </c>
      <c r="BW51" s="248">
        <f t="shared" ca="1" si="126"/>
        <v>0</v>
      </c>
      <c r="BX51" s="243">
        <f t="shared" ca="1" si="127"/>
        <v>0</v>
      </c>
      <c r="BY51" s="243">
        <f t="shared" ca="1" si="128"/>
        <v>0</v>
      </c>
      <c r="BZ51" s="243">
        <f t="shared" ca="1" si="129"/>
        <v>0</v>
      </c>
      <c r="CA51" s="463">
        <f t="shared" ca="1" si="130"/>
        <v>271.5</v>
      </c>
      <c r="CB51" s="242">
        <f t="shared" ca="1" si="52"/>
        <v>0.49791666666666662</v>
      </c>
      <c r="CC51" s="122">
        <f t="shared" ca="1" si="131"/>
        <v>0.49791666666666662</v>
      </c>
      <c r="CD51" s="122">
        <f ca="1">IF(OR(CB51=0,CC51=0),0,вРазн(CC51,CB51))</f>
        <v>0</v>
      </c>
      <c r="CE51" s="122"/>
      <c r="CF51" s="122"/>
      <c r="CG51" s="247">
        <f t="shared" ca="1" si="132"/>
        <v>0.50570601851851849</v>
      </c>
      <c r="CH51" s="245">
        <f t="shared" ca="1" si="54"/>
        <v>0.50592592592592589</v>
      </c>
      <c r="CI51" s="240" t="str">
        <f ca="1">IF(CH51&lt;&gt;0,вПМ(CH51,CG51,"s"),"")</f>
        <v>+</v>
      </c>
      <c r="CJ51" s="245">
        <f ca="1">IF(CH51&lt;&gt;0,вРазн(CH51,CG51,"s"), 0)</f>
        <v>2.1994113922119141E-4</v>
      </c>
      <c r="CK51" s="463">
        <f t="shared" ca="1" si="133"/>
        <v>19</v>
      </c>
      <c r="CL51" s="247">
        <f t="shared" ca="1" si="134"/>
        <v>0.52018518518518519</v>
      </c>
      <c r="CM51" s="245">
        <f t="shared" ca="1" si="57"/>
        <v>0.52046296296296302</v>
      </c>
      <c r="CN51" s="243" t="str">
        <f ca="1">IF(AND(CM51&lt;&gt;0,CL51&lt;&gt;0),вПМ(CM51,CL51,"s"),"")</f>
        <v>+</v>
      </c>
      <c r="CO51" s="245">
        <f ca="1">IF(AND(CM51&lt;&gt;0,CL51&lt;&gt;0),вРазн(CM51,CL51,"s"), 0)</f>
        <v>2.778172492980957E-4</v>
      </c>
      <c r="CP51" s="463">
        <f t="shared" ca="1" si="135"/>
        <v>24</v>
      </c>
      <c r="CQ51" s="242">
        <f t="shared" ca="1" si="59"/>
        <v>0.59930555555555554</v>
      </c>
      <c r="CR51" s="122">
        <f t="shared" ca="1" si="136"/>
        <v>0.59930555555555554</v>
      </c>
      <c r="CS51" s="122">
        <f ca="1">IF(OR(CQ51=0,CR51=0),0,вРазн(CR51,CQ51))</f>
        <v>0</v>
      </c>
      <c r="CT51" s="122"/>
      <c r="CU51" s="122"/>
      <c r="CV51" s="247">
        <f t="shared" ca="1" si="137"/>
        <v>0.60626157407407411</v>
      </c>
      <c r="CW51" s="245">
        <f t="shared" ca="1" si="61"/>
        <v>0.6075694444444445</v>
      </c>
      <c r="CX51" s="240" t="str">
        <f ca="1">IF(CW51&lt;&gt;0,вПМ(CW51,CV51,"s"),"")</f>
        <v>+</v>
      </c>
      <c r="CY51" s="245">
        <f ca="1">IF(CW51&lt;&gt;0,вРазн(CW51,CV51,"s"), 0)</f>
        <v>1.3079047203063965E-3</v>
      </c>
      <c r="CZ51" s="463">
        <f t="shared" ca="1" si="138"/>
        <v>113</v>
      </c>
      <c r="DA51" s="247">
        <f t="shared" ca="1" si="139"/>
        <v>0.60805555555555557</v>
      </c>
      <c r="DB51" s="245">
        <f t="shared" ca="1" si="64"/>
        <v>0.60810185185185184</v>
      </c>
      <c r="DC51" s="243" t="str">
        <f ca="1">IF(AND(DB51&lt;&gt;0,DA51&lt;&gt;0),вПМ(DB51,DA51,"s"),"")</f>
        <v>+</v>
      </c>
      <c r="DD51" s="245">
        <f ca="1">IF(AND(DB51&lt;&gt;0,DA51&lt;&gt;0),вРазн(DB51,DA51,"s"), 0)</f>
        <v>4.6312808990478516E-5</v>
      </c>
      <c r="DE51" s="463">
        <f t="shared" ca="1" si="140"/>
        <v>4</v>
      </c>
      <c r="DF51" s="242">
        <f t="shared" ca="1" si="66"/>
        <v>0</v>
      </c>
      <c r="DG51" s="122">
        <f t="shared" ca="1" si="141"/>
        <v>0</v>
      </c>
      <c r="DH51" s="122">
        <f t="shared" ca="1" si="142"/>
        <v>0</v>
      </c>
      <c r="DI51" s="248">
        <f t="shared" ca="1" si="143"/>
        <v>54.4</v>
      </c>
      <c r="DJ51" s="248">
        <f t="shared" ca="1" si="144"/>
        <v>0</v>
      </c>
      <c r="DK51" s="243">
        <f t="shared" ca="1" si="145"/>
        <v>0</v>
      </c>
      <c r="DL51" s="243">
        <f t="shared" ca="1" si="146"/>
        <v>0</v>
      </c>
      <c r="DM51" s="243">
        <f t="shared" ca="1" si="147"/>
        <v>0</v>
      </c>
      <c r="DN51" s="463">
        <f t="shared" ca="1" si="148"/>
        <v>163.19999999999999</v>
      </c>
      <c r="DO51" s="249">
        <f t="shared" ca="1" si="72"/>
        <v>0</v>
      </c>
      <c r="DP51" s="246">
        <f t="shared" ca="1" si="149"/>
        <v>0</v>
      </c>
      <c r="DQ51" s="249">
        <f t="shared" ca="1" si="72"/>
        <v>0</v>
      </c>
      <c r="DR51" s="246">
        <f t="shared" ca="1" si="150"/>
        <v>600</v>
      </c>
      <c r="DS51" s="242">
        <f t="shared" ca="1" si="164"/>
        <v>0.67986111111111114</v>
      </c>
      <c r="DT51" s="244">
        <f t="shared" ca="1" si="151"/>
        <v>0</v>
      </c>
      <c r="DU51" s="242">
        <f t="shared" ca="1" si="164"/>
        <v>0</v>
      </c>
      <c r="DV51" s="244">
        <f t="shared" ca="1" si="152"/>
        <v>900</v>
      </c>
      <c r="DW51" s="459"/>
      <c r="DX51" s="459"/>
      <c r="DY51" s="459"/>
      <c r="DZ51" s="459"/>
      <c r="EA51" s="459"/>
      <c r="EB51" s="459"/>
      <c r="EC51" s="459"/>
      <c r="ED51" s="459"/>
      <c r="EE51" s="459"/>
      <c r="EF51" s="459"/>
      <c r="EG51" s="459"/>
      <c r="EH51" s="459"/>
      <c r="EI51" s="459"/>
      <c r="EJ51" s="459"/>
      <c r="EK51" s="459"/>
      <c r="EL51" s="459"/>
      <c r="EM51" s="459"/>
      <c r="EN51" s="459"/>
      <c r="EO51" s="459"/>
      <c r="EP51" s="459"/>
      <c r="EQ51" s="459"/>
      <c r="ER51" s="459"/>
      <c r="ES51" s="459"/>
      <c r="ET51" s="459"/>
      <c r="EU51" s="242" t="e">
        <f t="shared" ca="1" si="153"/>
        <v>#VALUE!</v>
      </c>
      <c r="EV51" s="122">
        <f t="shared" ca="1" si="154"/>
        <v>0</v>
      </c>
      <c r="EW51" s="243" t="e">
        <f ca="1">IF(AND(EV51&lt;&gt;0,EU51&lt;&gt;0),вПМ(EV51,EU51),"")</f>
        <v>#VALUE!</v>
      </c>
      <c r="EX51" s="122">
        <f ca="1">IF(EV51&lt;&gt;0,вРазн(EV51,EU51), 0)</f>
        <v>0</v>
      </c>
      <c r="EY51" s="244">
        <f t="shared" ca="1" si="155"/>
        <v>900</v>
      </c>
      <c r="EZ51" s="242">
        <f t="shared" ca="1" si="81"/>
        <v>0</v>
      </c>
      <c r="FA51" s="122">
        <f t="shared" ca="1" si="156"/>
        <v>0</v>
      </c>
      <c r="FB51" s="122">
        <f t="shared" ca="1" si="157"/>
        <v>0</v>
      </c>
      <c r="FC51" s="248">
        <f t="shared" ca="1" si="158"/>
        <v>90.5</v>
      </c>
      <c r="FD51" s="248">
        <f t="shared" ca="1" si="159"/>
        <v>0</v>
      </c>
      <c r="FE51" s="248">
        <f t="shared" ca="1" si="160"/>
        <v>0</v>
      </c>
      <c r="FF51" s="243">
        <f t="shared" ca="1" si="161"/>
        <v>0</v>
      </c>
      <c r="FG51" s="243">
        <f t="shared" ca="1" si="162"/>
        <v>0</v>
      </c>
      <c r="FH51" s="463">
        <f t="shared" ca="1" si="163"/>
        <v>271.5</v>
      </c>
    </row>
    <row r="52" spans="1:165" s="236" customFormat="1" x14ac:dyDescent="0.25">
      <c r="A52" s="388" t="str">
        <f>стартоваяВедомость!B52</f>
        <v/>
      </c>
      <c r="B52" s="389">
        <f t="shared" ca="1" si="1"/>
        <v>0</v>
      </c>
      <c r="C52" s="389">
        <f t="shared" ca="1" si="2"/>
        <v>0</v>
      </c>
      <c r="D52" s="389">
        <f t="shared" ca="1" si="3"/>
        <v>0</v>
      </c>
      <c r="E52" s="389">
        <f t="shared" ca="1" si="4"/>
        <v>0</v>
      </c>
      <c r="F52" s="389">
        <f t="shared" ca="1" si="5"/>
        <v>0</v>
      </c>
      <c r="G52" s="486" t="str">
        <f t="shared" si="90"/>
        <v/>
      </c>
      <c r="H52" s="486" t="str">
        <f t="shared" ca="1" si="91"/>
        <v>DNS</v>
      </c>
      <c r="I52" s="486">
        <f t="shared" ca="1" si="92"/>
        <v>5400</v>
      </c>
      <c r="J52" s="486">
        <f t="shared" ca="1" si="93"/>
        <v>0</v>
      </c>
      <c r="K52" s="390">
        <f t="shared" ca="1" si="9"/>
        <v>0.44652777777777769</v>
      </c>
      <c r="L52" s="391">
        <f t="shared" ca="1" si="94"/>
        <v>0</v>
      </c>
      <c r="M52" s="392" t="str">
        <f ca="1">IF(L52&lt;&gt;0,вПМ(L52,K52),"")</f>
        <v/>
      </c>
      <c r="N52" s="391">
        <f ca="1">IF(L52&lt;&gt;0,вРазн(L52,K52), 0)</f>
        <v>0</v>
      </c>
      <c r="O52" s="393" t="str">
        <f t="shared" ca="1" si="95"/>
        <v>DNS</v>
      </c>
      <c r="P52" s="394">
        <f t="shared" ca="1" si="12"/>
        <v>4.86111119389534E-2</v>
      </c>
      <c r="Q52" s="395"/>
      <c r="R52" s="390">
        <f t="shared" ca="1" si="96"/>
        <v>0.49513888971673109</v>
      </c>
      <c r="S52" s="391">
        <f t="shared" ca="1" si="97"/>
        <v>0</v>
      </c>
      <c r="T52" s="392" t="str">
        <f ca="1">IF(S52&lt;&gt;0,вПМ(S52,R52),"")</f>
        <v/>
      </c>
      <c r="U52" s="391">
        <f ca="1">IF(S52&lt;&gt;0,вРазн(S52,R52), 0)</f>
        <v>0</v>
      </c>
      <c r="V52" s="393">
        <f t="shared" ca="1" si="98"/>
        <v>900</v>
      </c>
      <c r="W52" s="394">
        <f t="shared" ca="1" si="16"/>
        <v>4.86111119389534E-2</v>
      </c>
      <c r="X52" s="391"/>
      <c r="Y52" s="395">
        <f t="shared" ca="1" si="99"/>
        <v>0</v>
      </c>
      <c r="Z52" s="390">
        <f t="shared" ca="1" si="100"/>
        <v>0.54375000165568443</v>
      </c>
      <c r="AA52" s="391">
        <f t="shared" ca="1" si="101"/>
        <v>0</v>
      </c>
      <c r="AB52" s="392" t="str">
        <f ca="1">IF(AA52&lt;&gt;0,вПМ(AA52,Z52),"")</f>
        <v/>
      </c>
      <c r="AC52" s="391">
        <f ca="1">IF(AA52&lt;&gt;0,вРазн(AA52,Z52), 0)</f>
        <v>0</v>
      </c>
      <c r="AD52" s="393">
        <f t="shared" ca="1" si="102"/>
        <v>900</v>
      </c>
      <c r="AE52" s="394">
        <f t="shared" ca="1" si="21"/>
        <v>2.43055559694767E-2</v>
      </c>
      <c r="AF52" s="391"/>
      <c r="AG52" s="395">
        <f t="shared" ca="1" si="103"/>
        <v>0</v>
      </c>
      <c r="AH52" s="390">
        <f t="shared" ca="1" si="104"/>
        <v>0.56805555762516113</v>
      </c>
      <c r="AI52" s="391">
        <f t="shared" ca="1" si="105"/>
        <v>0</v>
      </c>
      <c r="AJ52" s="392" t="str">
        <f ca="1">IF(AI52&lt;&gt;0,вПМ(AI52,AH52),"")</f>
        <v/>
      </c>
      <c r="AK52" s="391">
        <f ca="1">IF(AI52&lt;&gt;0,вРазн(AI52,AH52), 0)</f>
        <v>0</v>
      </c>
      <c r="AL52" s="393">
        <f t="shared" ca="1" si="106"/>
        <v>900</v>
      </c>
      <c r="AM52" s="394">
        <f t="shared" ca="1" si="26"/>
        <v>2.43055559694767E-2</v>
      </c>
      <c r="AN52" s="391"/>
      <c r="AO52" s="395">
        <f t="shared" ca="1" si="107"/>
        <v>0</v>
      </c>
      <c r="AP52" s="390">
        <f t="shared" ca="1" si="108"/>
        <v>0.59236111359463783</v>
      </c>
      <c r="AQ52" s="391">
        <f t="shared" ca="1" si="109"/>
        <v>0</v>
      </c>
      <c r="AR52" s="392" t="str">
        <f ca="1">IF(AQ52&lt;&gt;0,вПМ(AQ52,AP52),"")</f>
        <v/>
      </c>
      <c r="AS52" s="391">
        <f ca="1">IF(AQ52&lt;&gt;0,вРазн(AQ52,AP52), 0)</f>
        <v>0</v>
      </c>
      <c r="AT52" s="393">
        <f t="shared" ca="1" si="110"/>
        <v>900</v>
      </c>
      <c r="AU52" s="394">
        <f t="shared" ca="1" si="31"/>
        <v>3.125E-2</v>
      </c>
      <c r="AV52" s="391"/>
      <c r="AW52" s="395">
        <f t="shared" ca="1" si="111"/>
        <v>0</v>
      </c>
      <c r="AX52" s="390">
        <f t="shared" ca="1" si="112"/>
        <v>0.62361111359463783</v>
      </c>
      <c r="AY52" s="391">
        <f t="shared" ca="1" si="113"/>
        <v>0</v>
      </c>
      <c r="AZ52" s="392" t="str">
        <f ca="1">IF(AY52&lt;&gt;0,вПМ(AY52,AX52),"")</f>
        <v/>
      </c>
      <c r="BA52" s="391">
        <f ca="1">IF(AY52&lt;&gt;0,вРазн(AY52,AX52), 0)</f>
        <v>0</v>
      </c>
      <c r="BB52" s="393">
        <f t="shared" ca="1" si="114"/>
        <v>900</v>
      </c>
      <c r="BC52" s="394">
        <f t="shared" ca="1" si="36"/>
        <v>4.1666667908430099E-2</v>
      </c>
      <c r="BD52" s="391"/>
      <c r="BE52" s="395">
        <f t="shared" ca="1" si="115"/>
        <v>0</v>
      </c>
      <c r="BF52" s="390">
        <f t="shared" ca="1" si="116"/>
        <v>0.66527778150306793</v>
      </c>
      <c r="BG52" s="391">
        <f t="shared" ca="1" si="117"/>
        <v>0</v>
      </c>
      <c r="BH52" s="392" t="str">
        <f ca="1">IF(BG52&lt;&gt;0,вПМ(BG52,BF52),"")</f>
        <v/>
      </c>
      <c r="BI52" s="391">
        <f ca="1">IF(BG52&lt;&gt;0,вРазн(BG52,BF52), 0)</f>
        <v>0</v>
      </c>
      <c r="BJ52" s="393">
        <f t="shared" ca="1" si="118"/>
        <v>900</v>
      </c>
      <c r="BK52" s="394">
        <f t="shared" ca="1" si="41"/>
        <v>2.777777798473835E-2</v>
      </c>
      <c r="BL52" s="391"/>
      <c r="BM52" s="395">
        <f t="shared" ca="1" si="119"/>
        <v>0</v>
      </c>
      <c r="BN52" s="390">
        <f t="shared" ca="1" si="120"/>
        <v>0.69305555948780628</v>
      </c>
      <c r="BO52" s="391">
        <f t="shared" ca="1" si="121"/>
        <v>0</v>
      </c>
      <c r="BP52" s="392" t="str">
        <f ca="1">IF(BO52&lt;&gt;0,вПМ(BO52,BN52),"")</f>
        <v/>
      </c>
      <c r="BQ52" s="391">
        <f ca="1">IF(BO52&lt;&gt;0,вРазн(BO52,BN52), 0)</f>
        <v>0</v>
      </c>
      <c r="BR52" s="396" t="str">
        <f t="shared" ca="1" si="122"/>
        <v>DNF</v>
      </c>
      <c r="BS52" s="390">
        <f t="shared" ca="1" si="46"/>
        <v>0</v>
      </c>
      <c r="BT52" s="391">
        <f t="shared" ca="1" si="123"/>
        <v>0</v>
      </c>
      <c r="BU52" s="391">
        <f t="shared" ca="1" si="124"/>
        <v>0</v>
      </c>
      <c r="BV52" s="401">
        <f t="shared" ca="1" si="125"/>
        <v>0</v>
      </c>
      <c r="BW52" s="401">
        <f t="shared" ca="1" si="126"/>
        <v>0</v>
      </c>
      <c r="BX52" s="392">
        <f t="shared" ca="1" si="127"/>
        <v>0</v>
      </c>
      <c r="BY52" s="392">
        <f t="shared" ca="1" si="128"/>
        <v>0</v>
      </c>
      <c r="BZ52" s="392">
        <f t="shared" ca="1" si="129"/>
        <v>0</v>
      </c>
      <c r="CA52" s="462">
        <f t="shared" ca="1" si="130"/>
        <v>900</v>
      </c>
      <c r="CB52" s="390">
        <f t="shared" ca="1" si="52"/>
        <v>0</v>
      </c>
      <c r="CC52" s="391">
        <f t="shared" ca="1" si="131"/>
        <v>0</v>
      </c>
      <c r="CD52" s="391">
        <f ca="1">IF(OR(CB52=0,CC52=0),0,вРазн(CC52,CB52))</f>
        <v>0</v>
      </c>
      <c r="CE52" s="391"/>
      <c r="CF52" s="391"/>
      <c r="CG52" s="397">
        <f t="shared" ca="1" si="132"/>
        <v>0</v>
      </c>
      <c r="CH52" s="398">
        <f t="shared" ca="1" si="54"/>
        <v>0</v>
      </c>
      <c r="CI52" s="399" t="str">
        <f ca="1">IF(CH52&lt;&gt;0,вПМ(CH52,CG52,"s"),"")</f>
        <v/>
      </c>
      <c r="CJ52" s="398">
        <f ca="1">IF(CH52&lt;&gt;0,вРазн(CH52,CG52,"s"), 0)</f>
        <v>0</v>
      </c>
      <c r="CK52" s="462">
        <f t="shared" ca="1" si="133"/>
        <v>1800</v>
      </c>
      <c r="CL52" s="397">
        <f t="shared" ca="1" si="134"/>
        <v>0</v>
      </c>
      <c r="CM52" s="398">
        <f t="shared" ca="1" si="57"/>
        <v>0</v>
      </c>
      <c r="CN52" s="392" t="str">
        <f ca="1">IF(AND(CM52&lt;&gt;0,CL52&lt;&gt;0),вПМ(CM52,CL52,"s"),"")</f>
        <v/>
      </c>
      <c r="CO52" s="398">
        <f ca="1">IF(AND(CM52&lt;&gt;0,CL52&lt;&gt;0),вРазн(CM52,CL52,"s"), 0)</f>
        <v>0</v>
      </c>
      <c r="CP52" s="462">
        <f t="shared" ca="1" si="135"/>
        <v>0</v>
      </c>
      <c r="CQ52" s="390">
        <f t="shared" ca="1" si="59"/>
        <v>0</v>
      </c>
      <c r="CR52" s="391">
        <f t="shared" ca="1" si="136"/>
        <v>0</v>
      </c>
      <c r="CS52" s="391">
        <f ca="1">IF(OR(CQ52=0,CR52=0),0,вРазн(CR52,CQ52))</f>
        <v>0</v>
      </c>
      <c r="CT52" s="391"/>
      <c r="CU52" s="391"/>
      <c r="CV52" s="397">
        <f t="shared" ca="1" si="137"/>
        <v>0</v>
      </c>
      <c r="CW52" s="398">
        <f t="shared" ca="1" si="61"/>
        <v>0</v>
      </c>
      <c r="CX52" s="399" t="str">
        <f ca="1">IF(CW52&lt;&gt;0,вПМ(CW52,CV52,"s"),"")</f>
        <v/>
      </c>
      <c r="CY52" s="398">
        <f ca="1">IF(CW52&lt;&gt;0,вРазн(CW52,CV52,"s"), 0)</f>
        <v>0</v>
      </c>
      <c r="CZ52" s="462">
        <f t="shared" ca="1" si="138"/>
        <v>1800</v>
      </c>
      <c r="DA52" s="397">
        <f t="shared" ca="1" si="139"/>
        <v>0</v>
      </c>
      <c r="DB52" s="398">
        <f t="shared" ca="1" si="64"/>
        <v>0</v>
      </c>
      <c r="DC52" s="392" t="str">
        <f ca="1">IF(AND(DB52&lt;&gt;0,DA52&lt;&gt;0),вПМ(DB52,DA52,"s"),"")</f>
        <v/>
      </c>
      <c r="DD52" s="398">
        <f ca="1">IF(AND(DB52&lt;&gt;0,DA52&lt;&gt;0),вРазн(DB52,DA52,"s"), 0)</f>
        <v>0</v>
      </c>
      <c r="DE52" s="462">
        <f t="shared" ca="1" si="140"/>
        <v>0</v>
      </c>
      <c r="DF52" s="390">
        <f t="shared" ca="1" si="66"/>
        <v>0</v>
      </c>
      <c r="DG52" s="391">
        <f t="shared" ca="1" si="141"/>
        <v>0</v>
      </c>
      <c r="DH52" s="391">
        <f t="shared" ca="1" si="142"/>
        <v>0</v>
      </c>
      <c r="DI52" s="401">
        <f t="shared" ca="1" si="143"/>
        <v>0</v>
      </c>
      <c r="DJ52" s="401">
        <f t="shared" ca="1" si="144"/>
        <v>0</v>
      </c>
      <c r="DK52" s="392">
        <f t="shared" ca="1" si="145"/>
        <v>0</v>
      </c>
      <c r="DL52" s="392">
        <f t="shared" ca="1" si="146"/>
        <v>0</v>
      </c>
      <c r="DM52" s="392">
        <f t="shared" ca="1" si="147"/>
        <v>0</v>
      </c>
      <c r="DN52" s="462">
        <f t="shared" ca="1" si="148"/>
        <v>900</v>
      </c>
      <c r="DO52" s="402">
        <f t="shared" ca="1" si="72"/>
        <v>0</v>
      </c>
      <c r="DP52" s="400">
        <f t="shared" ca="1" si="149"/>
        <v>0</v>
      </c>
      <c r="DQ52" s="402">
        <f t="shared" ca="1" si="72"/>
        <v>0</v>
      </c>
      <c r="DR52" s="400">
        <f t="shared" ca="1" si="150"/>
        <v>0</v>
      </c>
      <c r="DS52" s="390">
        <f t="shared" ca="1" si="164"/>
        <v>0</v>
      </c>
      <c r="DT52" s="396">
        <f t="shared" ca="1" si="151"/>
        <v>900</v>
      </c>
      <c r="DU52" s="390">
        <f t="shared" ca="1" si="164"/>
        <v>0</v>
      </c>
      <c r="DV52" s="396">
        <f t="shared" ca="1" si="152"/>
        <v>900</v>
      </c>
      <c r="DW52" s="459"/>
      <c r="DX52" s="459"/>
      <c r="DY52" s="459"/>
      <c r="DZ52" s="459"/>
      <c r="EA52" s="459"/>
      <c r="EB52" s="459"/>
      <c r="EC52" s="459"/>
      <c r="ED52" s="459"/>
      <c r="EE52" s="459"/>
      <c r="EF52" s="459"/>
      <c r="EG52" s="459"/>
      <c r="EH52" s="459"/>
      <c r="EI52" s="459"/>
      <c r="EJ52" s="459"/>
      <c r="EK52" s="459"/>
      <c r="EL52" s="459"/>
      <c r="EM52" s="459"/>
      <c r="EN52" s="459"/>
      <c r="EO52" s="459"/>
      <c r="EP52" s="459"/>
      <c r="EQ52" s="459"/>
      <c r="ER52" s="459"/>
      <c r="ES52" s="459"/>
      <c r="ET52" s="459"/>
      <c r="EU52" s="390" t="e">
        <f t="shared" ca="1" si="153"/>
        <v>#VALUE!</v>
      </c>
      <c r="EV52" s="391">
        <f t="shared" ca="1" si="154"/>
        <v>0</v>
      </c>
      <c r="EW52" s="392" t="e">
        <f ca="1">IF(AND(EV52&lt;&gt;0,EU52&lt;&gt;0),вПМ(EV52,EU52),"")</f>
        <v>#VALUE!</v>
      </c>
      <c r="EX52" s="391">
        <f ca="1">IF(EV52&lt;&gt;0,вРазн(EV52,EU52), 0)</f>
        <v>0</v>
      </c>
      <c r="EY52" s="396">
        <f t="shared" ca="1" si="155"/>
        <v>900</v>
      </c>
      <c r="EZ52" s="390">
        <f t="shared" ca="1" si="81"/>
        <v>0</v>
      </c>
      <c r="FA52" s="391">
        <f t="shared" ca="1" si="156"/>
        <v>0</v>
      </c>
      <c r="FB52" s="391">
        <f t="shared" ca="1" si="157"/>
        <v>0</v>
      </c>
      <c r="FC52" s="401">
        <f t="shared" ca="1" si="158"/>
        <v>0</v>
      </c>
      <c r="FD52" s="401">
        <f t="shared" ca="1" si="159"/>
        <v>0</v>
      </c>
      <c r="FE52" s="401">
        <f t="shared" ca="1" si="160"/>
        <v>0</v>
      </c>
      <c r="FF52" s="392">
        <f t="shared" ca="1" si="161"/>
        <v>0</v>
      </c>
      <c r="FG52" s="392">
        <f t="shared" ca="1" si="162"/>
        <v>0</v>
      </c>
      <c r="FH52" s="462">
        <f t="shared" ca="1" si="163"/>
        <v>1800</v>
      </c>
      <c r="FI52" s="403"/>
    </row>
    <row r="53" spans="1:165" s="20" customFormat="1" x14ac:dyDescent="0.25">
      <c r="A53" s="253" t="str">
        <f>стартоваяВедомость!B53</f>
        <v/>
      </c>
      <c r="B53" s="241">
        <f t="shared" ca="1" si="1"/>
        <v>0</v>
      </c>
      <c r="C53" s="241">
        <f t="shared" ca="1" si="2"/>
        <v>0</v>
      </c>
      <c r="D53" s="241">
        <f t="shared" ca="1" si="3"/>
        <v>0</v>
      </c>
      <c r="E53" s="241">
        <f t="shared" ca="1" si="4"/>
        <v>0</v>
      </c>
      <c r="F53" s="241">
        <f t="shared" ca="1" si="5"/>
        <v>0</v>
      </c>
      <c r="G53" s="487" t="str">
        <f t="shared" si="90"/>
        <v/>
      </c>
      <c r="H53" s="487" t="str">
        <f t="shared" ca="1" si="91"/>
        <v>DNS</v>
      </c>
      <c r="I53" s="487">
        <f t="shared" ca="1" si="92"/>
        <v>5400</v>
      </c>
      <c r="J53" s="487">
        <f t="shared" ca="1" si="93"/>
        <v>0</v>
      </c>
      <c r="K53" s="242">
        <f t="shared" ca="1" si="9"/>
        <v>0.44652777777777769</v>
      </c>
      <c r="L53" s="122">
        <f t="shared" ca="1" si="94"/>
        <v>0</v>
      </c>
      <c r="M53" s="243" t="str">
        <f ca="1">IF(L53&lt;&gt;0,вПМ(L53,K53),"")</f>
        <v/>
      </c>
      <c r="N53" s="122">
        <f ca="1">IF(L53&lt;&gt;0,вРазн(L53,K53), 0)</f>
        <v>0</v>
      </c>
      <c r="O53" s="301" t="str">
        <f t="shared" ca="1" si="95"/>
        <v>DNS</v>
      </c>
      <c r="P53" s="300">
        <f t="shared" ca="1" si="12"/>
        <v>4.86111119389534E-2</v>
      </c>
      <c r="Q53" s="294"/>
      <c r="R53" s="242">
        <f t="shared" ca="1" si="96"/>
        <v>0.49513888971673109</v>
      </c>
      <c r="S53" s="122">
        <f t="shared" ca="1" si="97"/>
        <v>0</v>
      </c>
      <c r="T53" s="243" t="str">
        <f ca="1">IF(S53&lt;&gt;0,вПМ(S53,R53),"")</f>
        <v/>
      </c>
      <c r="U53" s="122">
        <f ca="1">IF(S53&lt;&gt;0,вРазн(S53,R53), 0)</f>
        <v>0</v>
      </c>
      <c r="V53" s="301">
        <f t="shared" ca="1" si="98"/>
        <v>900</v>
      </c>
      <c r="W53" s="300">
        <f t="shared" ca="1" si="16"/>
        <v>4.86111119389534E-2</v>
      </c>
      <c r="X53" s="122"/>
      <c r="Y53" s="294">
        <f t="shared" ca="1" si="99"/>
        <v>0</v>
      </c>
      <c r="Z53" s="242">
        <f t="shared" ca="1" si="100"/>
        <v>0.54375000165568443</v>
      </c>
      <c r="AA53" s="122">
        <f t="shared" ca="1" si="101"/>
        <v>0</v>
      </c>
      <c r="AB53" s="243" t="str">
        <f ca="1">IF(AA53&lt;&gt;0,вПМ(AA53,Z53),"")</f>
        <v/>
      </c>
      <c r="AC53" s="122">
        <f ca="1">IF(AA53&lt;&gt;0,вРазн(AA53,Z53), 0)</f>
        <v>0</v>
      </c>
      <c r="AD53" s="301">
        <f t="shared" ca="1" si="102"/>
        <v>900</v>
      </c>
      <c r="AE53" s="300">
        <f t="shared" ca="1" si="21"/>
        <v>2.43055559694767E-2</v>
      </c>
      <c r="AF53" s="122"/>
      <c r="AG53" s="294">
        <f t="shared" ca="1" si="103"/>
        <v>0</v>
      </c>
      <c r="AH53" s="242">
        <f t="shared" ca="1" si="104"/>
        <v>0.56805555762516113</v>
      </c>
      <c r="AI53" s="122">
        <f t="shared" ca="1" si="105"/>
        <v>0</v>
      </c>
      <c r="AJ53" s="243" t="str">
        <f ca="1">IF(AI53&lt;&gt;0,вПМ(AI53,AH53),"")</f>
        <v/>
      </c>
      <c r="AK53" s="122">
        <f ca="1">IF(AI53&lt;&gt;0,вРазн(AI53,AH53), 0)</f>
        <v>0</v>
      </c>
      <c r="AL53" s="301">
        <f t="shared" ca="1" si="106"/>
        <v>900</v>
      </c>
      <c r="AM53" s="300">
        <f t="shared" ca="1" si="26"/>
        <v>2.43055559694767E-2</v>
      </c>
      <c r="AN53" s="122"/>
      <c r="AO53" s="294">
        <f t="shared" ca="1" si="107"/>
        <v>0</v>
      </c>
      <c r="AP53" s="242">
        <f t="shared" ca="1" si="108"/>
        <v>0.59236111359463783</v>
      </c>
      <c r="AQ53" s="122">
        <f t="shared" ca="1" si="109"/>
        <v>0</v>
      </c>
      <c r="AR53" s="243" t="str">
        <f ca="1">IF(AQ53&lt;&gt;0,вПМ(AQ53,AP53),"")</f>
        <v/>
      </c>
      <c r="AS53" s="122">
        <f ca="1">IF(AQ53&lt;&gt;0,вРазн(AQ53,AP53), 0)</f>
        <v>0</v>
      </c>
      <c r="AT53" s="301">
        <f t="shared" ca="1" si="110"/>
        <v>900</v>
      </c>
      <c r="AU53" s="300">
        <f t="shared" ca="1" si="31"/>
        <v>3.125E-2</v>
      </c>
      <c r="AV53" s="122"/>
      <c r="AW53" s="294">
        <f t="shared" ca="1" si="111"/>
        <v>0</v>
      </c>
      <c r="AX53" s="242">
        <f t="shared" ca="1" si="112"/>
        <v>0.62361111359463783</v>
      </c>
      <c r="AY53" s="122">
        <f t="shared" ca="1" si="113"/>
        <v>0</v>
      </c>
      <c r="AZ53" s="243" t="str">
        <f ca="1">IF(AY53&lt;&gt;0,вПМ(AY53,AX53),"")</f>
        <v/>
      </c>
      <c r="BA53" s="122">
        <f ca="1">IF(AY53&lt;&gt;0,вРазн(AY53,AX53), 0)</f>
        <v>0</v>
      </c>
      <c r="BB53" s="301">
        <f t="shared" ca="1" si="114"/>
        <v>900</v>
      </c>
      <c r="BC53" s="300">
        <f t="shared" ca="1" si="36"/>
        <v>4.1666667908430099E-2</v>
      </c>
      <c r="BD53" s="122"/>
      <c r="BE53" s="294">
        <f t="shared" ca="1" si="115"/>
        <v>0</v>
      </c>
      <c r="BF53" s="242">
        <f t="shared" ca="1" si="116"/>
        <v>0.66527778150306793</v>
      </c>
      <c r="BG53" s="122">
        <f t="shared" ca="1" si="117"/>
        <v>0</v>
      </c>
      <c r="BH53" s="243" t="str">
        <f ca="1">IF(BG53&lt;&gt;0,вПМ(BG53,BF53),"")</f>
        <v/>
      </c>
      <c r="BI53" s="122">
        <f ca="1">IF(BG53&lt;&gt;0,вРазн(BG53,BF53), 0)</f>
        <v>0</v>
      </c>
      <c r="BJ53" s="301">
        <f t="shared" ca="1" si="118"/>
        <v>900</v>
      </c>
      <c r="BK53" s="300">
        <f t="shared" ca="1" si="41"/>
        <v>2.777777798473835E-2</v>
      </c>
      <c r="BL53" s="122"/>
      <c r="BM53" s="294">
        <f t="shared" ca="1" si="119"/>
        <v>0</v>
      </c>
      <c r="BN53" s="242">
        <f t="shared" ca="1" si="120"/>
        <v>0.69305555948780628</v>
      </c>
      <c r="BO53" s="122">
        <f t="shared" ca="1" si="121"/>
        <v>0</v>
      </c>
      <c r="BP53" s="243" t="str">
        <f ca="1">IF(BO53&lt;&gt;0,вПМ(BO53,BN53),"")</f>
        <v/>
      </c>
      <c r="BQ53" s="122">
        <f ca="1">IF(BO53&lt;&gt;0,вРазн(BO53,BN53), 0)</f>
        <v>0</v>
      </c>
      <c r="BR53" s="244" t="str">
        <f t="shared" ca="1" si="122"/>
        <v>DNF</v>
      </c>
      <c r="BS53" s="242">
        <f t="shared" ca="1" si="46"/>
        <v>0</v>
      </c>
      <c r="BT53" s="122">
        <f t="shared" ca="1" si="123"/>
        <v>0</v>
      </c>
      <c r="BU53" s="122">
        <f t="shared" ca="1" si="124"/>
        <v>0</v>
      </c>
      <c r="BV53" s="248">
        <f t="shared" ca="1" si="125"/>
        <v>0</v>
      </c>
      <c r="BW53" s="248">
        <f t="shared" ca="1" si="126"/>
        <v>0</v>
      </c>
      <c r="BX53" s="243">
        <f t="shared" ca="1" si="127"/>
        <v>0</v>
      </c>
      <c r="BY53" s="243">
        <f t="shared" ca="1" si="128"/>
        <v>0</v>
      </c>
      <c r="BZ53" s="243">
        <f t="shared" ca="1" si="129"/>
        <v>0</v>
      </c>
      <c r="CA53" s="463">
        <f t="shared" ca="1" si="130"/>
        <v>900</v>
      </c>
      <c r="CB53" s="242">
        <f t="shared" ca="1" si="52"/>
        <v>0</v>
      </c>
      <c r="CC53" s="122">
        <f t="shared" ca="1" si="131"/>
        <v>0</v>
      </c>
      <c r="CD53" s="122">
        <f ca="1">IF(OR(CB53=0,CC53=0),0,вРазн(CC53,CB53))</f>
        <v>0</v>
      </c>
      <c r="CE53" s="122"/>
      <c r="CF53" s="122"/>
      <c r="CG53" s="247">
        <f t="shared" ca="1" si="132"/>
        <v>0</v>
      </c>
      <c r="CH53" s="245">
        <f t="shared" ca="1" si="54"/>
        <v>0</v>
      </c>
      <c r="CI53" s="240" t="str">
        <f ca="1">IF(CH53&lt;&gt;0,вПМ(CH53,CG53,"s"),"")</f>
        <v/>
      </c>
      <c r="CJ53" s="245">
        <f ca="1">IF(CH53&lt;&gt;0,вРазн(CH53,CG53,"s"), 0)</f>
        <v>0</v>
      </c>
      <c r="CK53" s="463">
        <f t="shared" ca="1" si="133"/>
        <v>1800</v>
      </c>
      <c r="CL53" s="247">
        <f t="shared" ca="1" si="134"/>
        <v>0</v>
      </c>
      <c r="CM53" s="245">
        <f t="shared" ca="1" si="57"/>
        <v>0</v>
      </c>
      <c r="CN53" s="243" t="str">
        <f ca="1">IF(AND(CM53&lt;&gt;0,CL53&lt;&gt;0),вПМ(CM53,CL53,"s"),"")</f>
        <v/>
      </c>
      <c r="CO53" s="245">
        <f ca="1">IF(AND(CM53&lt;&gt;0,CL53&lt;&gt;0),вРазн(CM53,CL53,"s"), 0)</f>
        <v>0</v>
      </c>
      <c r="CP53" s="463">
        <f t="shared" ca="1" si="135"/>
        <v>0</v>
      </c>
      <c r="CQ53" s="242">
        <f t="shared" ca="1" si="59"/>
        <v>0</v>
      </c>
      <c r="CR53" s="122">
        <f t="shared" ca="1" si="136"/>
        <v>0</v>
      </c>
      <c r="CS53" s="122">
        <f ca="1">IF(OR(CQ53=0,CR53=0),0,вРазн(CR53,CQ53))</f>
        <v>0</v>
      </c>
      <c r="CT53" s="122"/>
      <c r="CU53" s="122"/>
      <c r="CV53" s="247">
        <f t="shared" ca="1" si="137"/>
        <v>0</v>
      </c>
      <c r="CW53" s="245">
        <f t="shared" ca="1" si="61"/>
        <v>0</v>
      </c>
      <c r="CX53" s="240" t="str">
        <f ca="1">IF(CW53&lt;&gt;0,вПМ(CW53,CV53,"s"),"")</f>
        <v/>
      </c>
      <c r="CY53" s="245">
        <f ca="1">IF(CW53&lt;&gt;0,вРазн(CW53,CV53,"s"), 0)</f>
        <v>0</v>
      </c>
      <c r="CZ53" s="463">
        <f t="shared" ca="1" si="138"/>
        <v>1800</v>
      </c>
      <c r="DA53" s="247">
        <f t="shared" ca="1" si="139"/>
        <v>0</v>
      </c>
      <c r="DB53" s="245">
        <f t="shared" ca="1" si="64"/>
        <v>0</v>
      </c>
      <c r="DC53" s="243" t="str">
        <f ca="1">IF(AND(DB53&lt;&gt;0,DA53&lt;&gt;0),вПМ(DB53,DA53,"s"),"")</f>
        <v/>
      </c>
      <c r="DD53" s="245">
        <f ca="1">IF(AND(DB53&lt;&gt;0,DA53&lt;&gt;0),вРазн(DB53,DA53,"s"), 0)</f>
        <v>0</v>
      </c>
      <c r="DE53" s="463">
        <f t="shared" ca="1" si="140"/>
        <v>0</v>
      </c>
      <c r="DF53" s="242">
        <f t="shared" ca="1" si="66"/>
        <v>0</v>
      </c>
      <c r="DG53" s="122">
        <f t="shared" ca="1" si="141"/>
        <v>0</v>
      </c>
      <c r="DH53" s="122">
        <f t="shared" ca="1" si="142"/>
        <v>0</v>
      </c>
      <c r="DI53" s="248">
        <f t="shared" ca="1" si="143"/>
        <v>0</v>
      </c>
      <c r="DJ53" s="248">
        <f t="shared" ca="1" si="144"/>
        <v>0</v>
      </c>
      <c r="DK53" s="243">
        <f t="shared" ca="1" si="145"/>
        <v>0</v>
      </c>
      <c r="DL53" s="243">
        <f t="shared" ca="1" si="146"/>
        <v>0</v>
      </c>
      <c r="DM53" s="243">
        <f t="shared" ca="1" si="147"/>
        <v>0</v>
      </c>
      <c r="DN53" s="463">
        <f t="shared" ca="1" si="148"/>
        <v>900</v>
      </c>
      <c r="DO53" s="249">
        <f t="shared" ca="1" si="72"/>
        <v>0</v>
      </c>
      <c r="DP53" s="246">
        <f t="shared" ca="1" si="149"/>
        <v>0</v>
      </c>
      <c r="DQ53" s="249">
        <f t="shared" ca="1" si="72"/>
        <v>0</v>
      </c>
      <c r="DR53" s="246">
        <f t="shared" ca="1" si="150"/>
        <v>0</v>
      </c>
      <c r="DS53" s="242">
        <f t="shared" ca="1" si="164"/>
        <v>0</v>
      </c>
      <c r="DT53" s="244">
        <f t="shared" ca="1" si="151"/>
        <v>900</v>
      </c>
      <c r="DU53" s="242">
        <f t="shared" ca="1" si="164"/>
        <v>0</v>
      </c>
      <c r="DV53" s="244">
        <f t="shared" ca="1" si="152"/>
        <v>900</v>
      </c>
      <c r="DW53" s="459"/>
      <c r="DX53" s="459"/>
      <c r="DY53" s="459"/>
      <c r="DZ53" s="459"/>
      <c r="EA53" s="459"/>
      <c r="EB53" s="459"/>
      <c r="EC53" s="459"/>
      <c r="ED53" s="459"/>
      <c r="EE53" s="459"/>
      <c r="EF53" s="459"/>
      <c r="EG53" s="459"/>
      <c r="EH53" s="459"/>
      <c r="EI53" s="459"/>
      <c r="EJ53" s="459"/>
      <c r="EK53" s="459"/>
      <c r="EL53" s="459"/>
      <c r="EM53" s="459"/>
      <c r="EN53" s="459"/>
      <c r="EO53" s="459"/>
      <c r="EP53" s="459"/>
      <c r="EQ53" s="459"/>
      <c r="ER53" s="459"/>
      <c r="ES53" s="459"/>
      <c r="ET53" s="459"/>
      <c r="EU53" s="242" t="e">
        <f t="shared" ca="1" si="153"/>
        <v>#VALUE!</v>
      </c>
      <c r="EV53" s="122">
        <f t="shared" ca="1" si="154"/>
        <v>0</v>
      </c>
      <c r="EW53" s="243" t="e">
        <f ca="1">IF(AND(EV53&lt;&gt;0,EU53&lt;&gt;0),вПМ(EV53,EU53),"")</f>
        <v>#VALUE!</v>
      </c>
      <c r="EX53" s="122">
        <f ca="1">IF(EV53&lt;&gt;0,вРазн(EV53,EU53), 0)</f>
        <v>0</v>
      </c>
      <c r="EY53" s="244">
        <f t="shared" ca="1" si="155"/>
        <v>900</v>
      </c>
      <c r="EZ53" s="242">
        <f t="shared" ca="1" si="81"/>
        <v>0</v>
      </c>
      <c r="FA53" s="122">
        <f t="shared" ca="1" si="156"/>
        <v>0</v>
      </c>
      <c r="FB53" s="122">
        <f t="shared" ca="1" si="157"/>
        <v>0</v>
      </c>
      <c r="FC53" s="248">
        <f t="shared" ca="1" si="158"/>
        <v>0</v>
      </c>
      <c r="FD53" s="248">
        <f t="shared" ca="1" si="159"/>
        <v>0</v>
      </c>
      <c r="FE53" s="248">
        <f t="shared" ca="1" si="160"/>
        <v>0</v>
      </c>
      <c r="FF53" s="243">
        <f t="shared" ca="1" si="161"/>
        <v>0</v>
      </c>
      <c r="FG53" s="243">
        <f t="shared" ca="1" si="162"/>
        <v>0</v>
      </c>
      <c r="FH53" s="463">
        <f t="shared" ca="1" si="163"/>
        <v>1800</v>
      </c>
    </row>
    <row r="54" spans="1:165" s="236" customFormat="1" x14ac:dyDescent="0.25">
      <c r="A54" s="388" t="str">
        <f>стартоваяВедомость!B54</f>
        <v/>
      </c>
      <c r="B54" s="389">
        <f t="shared" ca="1" si="1"/>
        <v>0</v>
      </c>
      <c r="C54" s="389">
        <f t="shared" ca="1" si="2"/>
        <v>0</v>
      </c>
      <c r="D54" s="389">
        <f t="shared" ca="1" si="3"/>
        <v>0</v>
      </c>
      <c r="E54" s="389">
        <f t="shared" ca="1" si="4"/>
        <v>0</v>
      </c>
      <c r="F54" s="389">
        <f t="shared" ca="1" si="5"/>
        <v>0</v>
      </c>
      <c r="G54" s="486" t="str">
        <f t="shared" si="90"/>
        <v/>
      </c>
      <c r="H54" s="486" t="str">
        <f t="shared" ca="1" si="91"/>
        <v>DNS</v>
      </c>
      <c r="I54" s="486">
        <f t="shared" ca="1" si="92"/>
        <v>5400</v>
      </c>
      <c r="J54" s="486">
        <f t="shared" ca="1" si="93"/>
        <v>0</v>
      </c>
      <c r="K54" s="390">
        <f t="shared" ca="1" si="9"/>
        <v>0.44652777777777769</v>
      </c>
      <c r="L54" s="391">
        <f t="shared" ca="1" si="94"/>
        <v>0</v>
      </c>
      <c r="M54" s="392" t="str">
        <f ca="1">IF(L54&lt;&gt;0,вПМ(L54,K54),"")</f>
        <v/>
      </c>
      <c r="N54" s="391">
        <f ca="1">IF(L54&lt;&gt;0,вРазн(L54,K54), 0)</f>
        <v>0</v>
      </c>
      <c r="O54" s="393" t="str">
        <f t="shared" ca="1" si="95"/>
        <v>DNS</v>
      </c>
      <c r="P54" s="394">
        <f t="shared" ca="1" si="12"/>
        <v>4.86111119389534E-2</v>
      </c>
      <c r="Q54" s="395"/>
      <c r="R54" s="390">
        <f t="shared" ca="1" si="96"/>
        <v>0.49513888971673109</v>
      </c>
      <c r="S54" s="391">
        <f t="shared" ca="1" si="97"/>
        <v>0</v>
      </c>
      <c r="T54" s="392" t="str">
        <f ca="1">IF(S54&lt;&gt;0,вПМ(S54,R54),"")</f>
        <v/>
      </c>
      <c r="U54" s="391">
        <f ca="1">IF(S54&lt;&gt;0,вРазн(S54,R54), 0)</f>
        <v>0</v>
      </c>
      <c r="V54" s="393">
        <f t="shared" ca="1" si="98"/>
        <v>900</v>
      </c>
      <c r="W54" s="394">
        <f t="shared" ca="1" si="16"/>
        <v>4.86111119389534E-2</v>
      </c>
      <c r="X54" s="391"/>
      <c r="Y54" s="395">
        <f t="shared" ca="1" si="99"/>
        <v>0</v>
      </c>
      <c r="Z54" s="390">
        <f t="shared" ca="1" si="100"/>
        <v>0.54375000165568443</v>
      </c>
      <c r="AA54" s="391">
        <f t="shared" ca="1" si="101"/>
        <v>0</v>
      </c>
      <c r="AB54" s="392" t="str">
        <f ca="1">IF(AA54&lt;&gt;0,вПМ(AA54,Z54),"")</f>
        <v/>
      </c>
      <c r="AC54" s="391">
        <f ca="1">IF(AA54&lt;&gt;0,вРазн(AA54,Z54), 0)</f>
        <v>0</v>
      </c>
      <c r="AD54" s="393">
        <f t="shared" ca="1" si="102"/>
        <v>900</v>
      </c>
      <c r="AE54" s="394">
        <f t="shared" ca="1" si="21"/>
        <v>2.43055559694767E-2</v>
      </c>
      <c r="AF54" s="391"/>
      <c r="AG54" s="395">
        <f t="shared" ca="1" si="103"/>
        <v>0</v>
      </c>
      <c r="AH54" s="390">
        <f t="shared" ca="1" si="104"/>
        <v>0.56805555762516113</v>
      </c>
      <c r="AI54" s="391">
        <f t="shared" ca="1" si="105"/>
        <v>0</v>
      </c>
      <c r="AJ54" s="392" t="str">
        <f ca="1">IF(AI54&lt;&gt;0,вПМ(AI54,AH54),"")</f>
        <v/>
      </c>
      <c r="AK54" s="391">
        <f ca="1">IF(AI54&lt;&gt;0,вРазн(AI54,AH54), 0)</f>
        <v>0</v>
      </c>
      <c r="AL54" s="393">
        <f t="shared" ca="1" si="106"/>
        <v>900</v>
      </c>
      <c r="AM54" s="394">
        <f t="shared" ca="1" si="26"/>
        <v>2.43055559694767E-2</v>
      </c>
      <c r="AN54" s="391"/>
      <c r="AO54" s="395">
        <f t="shared" ca="1" si="107"/>
        <v>0</v>
      </c>
      <c r="AP54" s="390">
        <f t="shared" ca="1" si="108"/>
        <v>0.59236111359463783</v>
      </c>
      <c r="AQ54" s="391">
        <f t="shared" ca="1" si="109"/>
        <v>0</v>
      </c>
      <c r="AR54" s="392" t="str">
        <f ca="1">IF(AQ54&lt;&gt;0,вПМ(AQ54,AP54),"")</f>
        <v/>
      </c>
      <c r="AS54" s="391">
        <f ca="1">IF(AQ54&lt;&gt;0,вРазн(AQ54,AP54), 0)</f>
        <v>0</v>
      </c>
      <c r="AT54" s="393">
        <f t="shared" ca="1" si="110"/>
        <v>900</v>
      </c>
      <c r="AU54" s="394">
        <f t="shared" ca="1" si="31"/>
        <v>3.125E-2</v>
      </c>
      <c r="AV54" s="391"/>
      <c r="AW54" s="395">
        <f t="shared" ca="1" si="111"/>
        <v>0</v>
      </c>
      <c r="AX54" s="390">
        <f t="shared" ca="1" si="112"/>
        <v>0.62361111359463783</v>
      </c>
      <c r="AY54" s="391">
        <f t="shared" ca="1" si="113"/>
        <v>0</v>
      </c>
      <c r="AZ54" s="392" t="str">
        <f ca="1">IF(AY54&lt;&gt;0,вПМ(AY54,AX54),"")</f>
        <v/>
      </c>
      <c r="BA54" s="391">
        <f ca="1">IF(AY54&lt;&gt;0,вРазн(AY54,AX54), 0)</f>
        <v>0</v>
      </c>
      <c r="BB54" s="393">
        <f t="shared" ca="1" si="114"/>
        <v>900</v>
      </c>
      <c r="BC54" s="394">
        <f t="shared" ca="1" si="36"/>
        <v>4.1666667908430099E-2</v>
      </c>
      <c r="BD54" s="391"/>
      <c r="BE54" s="395">
        <f t="shared" ca="1" si="115"/>
        <v>0</v>
      </c>
      <c r="BF54" s="390">
        <f t="shared" ca="1" si="116"/>
        <v>0.66527778150306793</v>
      </c>
      <c r="BG54" s="391">
        <f t="shared" ca="1" si="117"/>
        <v>0</v>
      </c>
      <c r="BH54" s="392" t="str">
        <f ca="1">IF(BG54&lt;&gt;0,вПМ(BG54,BF54),"")</f>
        <v/>
      </c>
      <c r="BI54" s="391">
        <f ca="1">IF(BG54&lt;&gt;0,вРазн(BG54,BF54), 0)</f>
        <v>0</v>
      </c>
      <c r="BJ54" s="393">
        <f t="shared" ca="1" si="118"/>
        <v>900</v>
      </c>
      <c r="BK54" s="394">
        <f t="shared" ca="1" si="41"/>
        <v>2.777777798473835E-2</v>
      </c>
      <c r="BL54" s="391"/>
      <c r="BM54" s="395">
        <f t="shared" ca="1" si="119"/>
        <v>0</v>
      </c>
      <c r="BN54" s="390">
        <f t="shared" ca="1" si="120"/>
        <v>0.69305555948780628</v>
      </c>
      <c r="BO54" s="391">
        <f t="shared" ca="1" si="121"/>
        <v>0</v>
      </c>
      <c r="BP54" s="392" t="str">
        <f ca="1">IF(BO54&lt;&gt;0,вПМ(BO54,BN54),"")</f>
        <v/>
      </c>
      <c r="BQ54" s="391">
        <f ca="1">IF(BO54&lt;&gt;0,вРазн(BO54,BN54), 0)</f>
        <v>0</v>
      </c>
      <c r="BR54" s="396" t="str">
        <f t="shared" ca="1" si="122"/>
        <v>DNF</v>
      </c>
      <c r="BS54" s="390">
        <f t="shared" ca="1" si="46"/>
        <v>0</v>
      </c>
      <c r="BT54" s="391">
        <f t="shared" ca="1" si="123"/>
        <v>0</v>
      </c>
      <c r="BU54" s="391">
        <f t="shared" ca="1" si="124"/>
        <v>0</v>
      </c>
      <c r="BV54" s="401">
        <f t="shared" ca="1" si="125"/>
        <v>0</v>
      </c>
      <c r="BW54" s="401">
        <f t="shared" ca="1" si="126"/>
        <v>0</v>
      </c>
      <c r="BX54" s="392">
        <f t="shared" ca="1" si="127"/>
        <v>0</v>
      </c>
      <c r="BY54" s="392">
        <f t="shared" ca="1" si="128"/>
        <v>0</v>
      </c>
      <c r="BZ54" s="392">
        <f t="shared" ca="1" si="129"/>
        <v>0</v>
      </c>
      <c r="CA54" s="462">
        <f t="shared" ca="1" si="130"/>
        <v>900</v>
      </c>
      <c r="CB54" s="390">
        <f t="shared" ca="1" si="52"/>
        <v>0</v>
      </c>
      <c r="CC54" s="391">
        <f t="shared" ca="1" si="131"/>
        <v>0</v>
      </c>
      <c r="CD54" s="391">
        <f ca="1">IF(OR(CB54=0,CC54=0),0,вРазн(CC54,CB54))</f>
        <v>0</v>
      </c>
      <c r="CE54" s="391"/>
      <c r="CF54" s="391"/>
      <c r="CG54" s="397">
        <f t="shared" ca="1" si="132"/>
        <v>0</v>
      </c>
      <c r="CH54" s="398">
        <f t="shared" ca="1" si="54"/>
        <v>0</v>
      </c>
      <c r="CI54" s="399" t="str">
        <f ca="1">IF(CH54&lt;&gt;0,вПМ(CH54,CG54,"s"),"")</f>
        <v/>
      </c>
      <c r="CJ54" s="398">
        <f ca="1">IF(CH54&lt;&gt;0,вРазн(CH54,CG54,"s"), 0)</f>
        <v>0</v>
      </c>
      <c r="CK54" s="462">
        <f t="shared" ca="1" si="133"/>
        <v>1800</v>
      </c>
      <c r="CL54" s="397">
        <f t="shared" ca="1" si="134"/>
        <v>0</v>
      </c>
      <c r="CM54" s="398">
        <f t="shared" ca="1" si="57"/>
        <v>0</v>
      </c>
      <c r="CN54" s="392" t="str">
        <f ca="1">IF(AND(CM54&lt;&gt;0,CL54&lt;&gt;0),вПМ(CM54,CL54,"s"),"")</f>
        <v/>
      </c>
      <c r="CO54" s="398">
        <f ca="1">IF(AND(CM54&lt;&gt;0,CL54&lt;&gt;0),вРазн(CM54,CL54,"s"), 0)</f>
        <v>0</v>
      </c>
      <c r="CP54" s="462">
        <f t="shared" ca="1" si="135"/>
        <v>0</v>
      </c>
      <c r="CQ54" s="390">
        <f t="shared" ca="1" si="59"/>
        <v>0</v>
      </c>
      <c r="CR54" s="391">
        <f t="shared" ca="1" si="136"/>
        <v>0</v>
      </c>
      <c r="CS54" s="391">
        <f ca="1">IF(OR(CQ54=0,CR54=0),0,вРазн(CR54,CQ54))</f>
        <v>0</v>
      </c>
      <c r="CT54" s="391"/>
      <c r="CU54" s="391"/>
      <c r="CV54" s="397">
        <f t="shared" ca="1" si="137"/>
        <v>0</v>
      </c>
      <c r="CW54" s="398">
        <f t="shared" ca="1" si="61"/>
        <v>0</v>
      </c>
      <c r="CX54" s="399" t="str">
        <f ca="1">IF(CW54&lt;&gt;0,вПМ(CW54,CV54,"s"),"")</f>
        <v/>
      </c>
      <c r="CY54" s="398">
        <f ca="1">IF(CW54&lt;&gt;0,вРазн(CW54,CV54,"s"), 0)</f>
        <v>0</v>
      </c>
      <c r="CZ54" s="462">
        <f t="shared" ca="1" si="138"/>
        <v>1800</v>
      </c>
      <c r="DA54" s="397">
        <f t="shared" ca="1" si="139"/>
        <v>0</v>
      </c>
      <c r="DB54" s="398">
        <f t="shared" ca="1" si="64"/>
        <v>0</v>
      </c>
      <c r="DC54" s="392" t="str">
        <f ca="1">IF(AND(DB54&lt;&gt;0,DA54&lt;&gt;0),вПМ(DB54,DA54,"s"),"")</f>
        <v/>
      </c>
      <c r="DD54" s="398">
        <f ca="1">IF(AND(DB54&lt;&gt;0,DA54&lt;&gt;0),вРазн(DB54,DA54,"s"), 0)</f>
        <v>0</v>
      </c>
      <c r="DE54" s="462">
        <f t="shared" ca="1" si="140"/>
        <v>0</v>
      </c>
      <c r="DF54" s="390">
        <f t="shared" ca="1" si="66"/>
        <v>0</v>
      </c>
      <c r="DG54" s="391">
        <f t="shared" ca="1" si="141"/>
        <v>0</v>
      </c>
      <c r="DH54" s="391">
        <f t="shared" ca="1" si="142"/>
        <v>0</v>
      </c>
      <c r="DI54" s="401">
        <f t="shared" ca="1" si="143"/>
        <v>0</v>
      </c>
      <c r="DJ54" s="401">
        <f t="shared" ca="1" si="144"/>
        <v>0</v>
      </c>
      <c r="DK54" s="392">
        <f t="shared" ca="1" si="145"/>
        <v>0</v>
      </c>
      <c r="DL54" s="392">
        <f t="shared" ca="1" si="146"/>
        <v>0</v>
      </c>
      <c r="DM54" s="392">
        <f t="shared" ca="1" si="147"/>
        <v>0</v>
      </c>
      <c r="DN54" s="462">
        <f t="shared" ca="1" si="148"/>
        <v>900</v>
      </c>
      <c r="DO54" s="402">
        <f t="shared" ca="1" si="72"/>
        <v>0</v>
      </c>
      <c r="DP54" s="400">
        <f t="shared" ca="1" si="149"/>
        <v>0</v>
      </c>
      <c r="DQ54" s="402">
        <f t="shared" ca="1" si="72"/>
        <v>0</v>
      </c>
      <c r="DR54" s="400">
        <f t="shared" ca="1" si="150"/>
        <v>0</v>
      </c>
      <c r="DS54" s="390">
        <f t="shared" ca="1" si="164"/>
        <v>0</v>
      </c>
      <c r="DT54" s="396">
        <f t="shared" ca="1" si="151"/>
        <v>900</v>
      </c>
      <c r="DU54" s="390">
        <f t="shared" ca="1" si="164"/>
        <v>0</v>
      </c>
      <c r="DV54" s="396">
        <f t="shared" ca="1" si="152"/>
        <v>900</v>
      </c>
      <c r="DW54" s="459"/>
      <c r="DX54" s="459"/>
      <c r="DY54" s="459"/>
      <c r="DZ54" s="459"/>
      <c r="EA54" s="459"/>
      <c r="EB54" s="459"/>
      <c r="EC54" s="459"/>
      <c r="ED54" s="459"/>
      <c r="EE54" s="459"/>
      <c r="EF54" s="459"/>
      <c r="EG54" s="459"/>
      <c r="EH54" s="459"/>
      <c r="EI54" s="459"/>
      <c r="EJ54" s="459"/>
      <c r="EK54" s="459"/>
      <c r="EL54" s="459"/>
      <c r="EM54" s="459"/>
      <c r="EN54" s="459"/>
      <c r="EO54" s="459"/>
      <c r="EP54" s="459"/>
      <c r="EQ54" s="459"/>
      <c r="ER54" s="459"/>
      <c r="ES54" s="459"/>
      <c r="ET54" s="459"/>
      <c r="EU54" s="390" t="e">
        <f t="shared" ca="1" si="153"/>
        <v>#VALUE!</v>
      </c>
      <c r="EV54" s="391">
        <f t="shared" ca="1" si="154"/>
        <v>0</v>
      </c>
      <c r="EW54" s="392" t="e">
        <f ca="1">IF(AND(EV54&lt;&gt;0,EU54&lt;&gt;0),вПМ(EV54,EU54),"")</f>
        <v>#VALUE!</v>
      </c>
      <c r="EX54" s="391">
        <f ca="1">IF(EV54&lt;&gt;0,вРазн(EV54,EU54), 0)</f>
        <v>0</v>
      </c>
      <c r="EY54" s="396">
        <f t="shared" ca="1" si="155"/>
        <v>900</v>
      </c>
      <c r="EZ54" s="390">
        <f t="shared" ca="1" si="81"/>
        <v>0</v>
      </c>
      <c r="FA54" s="391">
        <f t="shared" ca="1" si="156"/>
        <v>0</v>
      </c>
      <c r="FB54" s="391">
        <f t="shared" ca="1" si="157"/>
        <v>0</v>
      </c>
      <c r="FC54" s="401">
        <f t="shared" ca="1" si="158"/>
        <v>0</v>
      </c>
      <c r="FD54" s="401">
        <f t="shared" ca="1" si="159"/>
        <v>0</v>
      </c>
      <c r="FE54" s="401">
        <f t="shared" ca="1" si="160"/>
        <v>0</v>
      </c>
      <c r="FF54" s="392">
        <f t="shared" ca="1" si="161"/>
        <v>0</v>
      </c>
      <c r="FG54" s="392">
        <f t="shared" ca="1" si="162"/>
        <v>0</v>
      </c>
      <c r="FH54" s="462">
        <f t="shared" ca="1" si="163"/>
        <v>1800</v>
      </c>
      <c r="FI54" s="403"/>
    </row>
    <row r="55" spans="1:165" s="20" customFormat="1" x14ac:dyDescent="0.25">
      <c r="A55" s="253" t="str">
        <f>стартоваяВедомость!B55</f>
        <v/>
      </c>
      <c r="B55" s="241">
        <f t="shared" ca="1" si="1"/>
        <v>0</v>
      </c>
      <c r="C55" s="241">
        <f t="shared" ca="1" si="2"/>
        <v>0</v>
      </c>
      <c r="D55" s="241">
        <f t="shared" ca="1" si="3"/>
        <v>0</v>
      </c>
      <c r="E55" s="241">
        <f t="shared" ca="1" si="4"/>
        <v>0</v>
      </c>
      <c r="F55" s="241">
        <f t="shared" ca="1" si="5"/>
        <v>0</v>
      </c>
      <c r="G55" s="487" t="str">
        <f t="shared" si="90"/>
        <v/>
      </c>
      <c r="H55" s="487" t="str">
        <f t="shared" ca="1" si="91"/>
        <v>DNS</v>
      </c>
      <c r="I55" s="487">
        <f t="shared" ca="1" si="92"/>
        <v>5400</v>
      </c>
      <c r="J55" s="487">
        <f t="shared" ca="1" si="93"/>
        <v>0</v>
      </c>
      <c r="K55" s="242">
        <f t="shared" ca="1" si="9"/>
        <v>0.44652777777777769</v>
      </c>
      <c r="L55" s="122">
        <f t="shared" ca="1" si="94"/>
        <v>0</v>
      </c>
      <c r="M55" s="243" t="str">
        <f ca="1">IF(L55&lt;&gt;0,вПМ(L55,K55),"")</f>
        <v/>
      </c>
      <c r="N55" s="122">
        <f ca="1">IF(L55&lt;&gt;0,вРазн(L55,K55), 0)</f>
        <v>0</v>
      </c>
      <c r="O55" s="301" t="str">
        <f t="shared" ca="1" si="95"/>
        <v>DNS</v>
      </c>
      <c r="P55" s="300">
        <f t="shared" ca="1" si="12"/>
        <v>4.86111119389534E-2</v>
      </c>
      <c r="Q55" s="294"/>
      <c r="R55" s="242">
        <f t="shared" ca="1" si="96"/>
        <v>0.49513888971673109</v>
      </c>
      <c r="S55" s="122">
        <f t="shared" ca="1" si="97"/>
        <v>0</v>
      </c>
      <c r="T55" s="243" t="str">
        <f ca="1">IF(S55&lt;&gt;0,вПМ(S55,R55),"")</f>
        <v/>
      </c>
      <c r="U55" s="122">
        <f ca="1">IF(S55&lt;&gt;0,вРазн(S55,R55), 0)</f>
        <v>0</v>
      </c>
      <c r="V55" s="301">
        <f t="shared" ca="1" si="98"/>
        <v>900</v>
      </c>
      <c r="W55" s="300">
        <f t="shared" ca="1" si="16"/>
        <v>4.86111119389534E-2</v>
      </c>
      <c r="X55" s="122"/>
      <c r="Y55" s="294">
        <f t="shared" ca="1" si="99"/>
        <v>0</v>
      </c>
      <c r="Z55" s="242">
        <f t="shared" ca="1" si="100"/>
        <v>0.54375000165568443</v>
      </c>
      <c r="AA55" s="122">
        <f t="shared" ca="1" si="101"/>
        <v>0</v>
      </c>
      <c r="AB55" s="243" t="str">
        <f ca="1">IF(AA55&lt;&gt;0,вПМ(AA55,Z55),"")</f>
        <v/>
      </c>
      <c r="AC55" s="122">
        <f ca="1">IF(AA55&lt;&gt;0,вРазн(AA55,Z55), 0)</f>
        <v>0</v>
      </c>
      <c r="AD55" s="301">
        <f t="shared" ca="1" si="102"/>
        <v>900</v>
      </c>
      <c r="AE55" s="300">
        <f t="shared" ca="1" si="21"/>
        <v>2.43055559694767E-2</v>
      </c>
      <c r="AF55" s="122"/>
      <c r="AG55" s="294">
        <f t="shared" ca="1" si="103"/>
        <v>0</v>
      </c>
      <c r="AH55" s="242">
        <f t="shared" ca="1" si="104"/>
        <v>0.56805555762516113</v>
      </c>
      <c r="AI55" s="122">
        <f t="shared" ca="1" si="105"/>
        <v>0</v>
      </c>
      <c r="AJ55" s="243" t="str">
        <f ca="1">IF(AI55&lt;&gt;0,вПМ(AI55,AH55),"")</f>
        <v/>
      </c>
      <c r="AK55" s="122">
        <f ca="1">IF(AI55&lt;&gt;0,вРазн(AI55,AH55), 0)</f>
        <v>0</v>
      </c>
      <c r="AL55" s="301">
        <f t="shared" ca="1" si="106"/>
        <v>900</v>
      </c>
      <c r="AM55" s="300">
        <f t="shared" ca="1" si="26"/>
        <v>2.43055559694767E-2</v>
      </c>
      <c r="AN55" s="122"/>
      <c r="AO55" s="294">
        <f t="shared" ca="1" si="107"/>
        <v>0</v>
      </c>
      <c r="AP55" s="242">
        <f t="shared" ca="1" si="108"/>
        <v>0.59236111359463783</v>
      </c>
      <c r="AQ55" s="122">
        <f t="shared" ca="1" si="109"/>
        <v>0</v>
      </c>
      <c r="AR55" s="243" t="str">
        <f ca="1">IF(AQ55&lt;&gt;0,вПМ(AQ55,AP55),"")</f>
        <v/>
      </c>
      <c r="AS55" s="122">
        <f ca="1">IF(AQ55&lt;&gt;0,вРазн(AQ55,AP55), 0)</f>
        <v>0</v>
      </c>
      <c r="AT55" s="301">
        <f t="shared" ca="1" si="110"/>
        <v>900</v>
      </c>
      <c r="AU55" s="300">
        <f t="shared" ca="1" si="31"/>
        <v>3.125E-2</v>
      </c>
      <c r="AV55" s="122"/>
      <c r="AW55" s="294">
        <f t="shared" ca="1" si="111"/>
        <v>0</v>
      </c>
      <c r="AX55" s="242">
        <f t="shared" ca="1" si="112"/>
        <v>0.62361111359463783</v>
      </c>
      <c r="AY55" s="122">
        <f t="shared" ca="1" si="113"/>
        <v>0</v>
      </c>
      <c r="AZ55" s="243" t="str">
        <f ca="1">IF(AY55&lt;&gt;0,вПМ(AY55,AX55),"")</f>
        <v/>
      </c>
      <c r="BA55" s="122">
        <f ca="1">IF(AY55&lt;&gt;0,вРазн(AY55,AX55), 0)</f>
        <v>0</v>
      </c>
      <c r="BB55" s="301">
        <f t="shared" ca="1" si="114"/>
        <v>900</v>
      </c>
      <c r="BC55" s="300">
        <f t="shared" ca="1" si="36"/>
        <v>4.1666667908430099E-2</v>
      </c>
      <c r="BD55" s="122"/>
      <c r="BE55" s="294">
        <f t="shared" ca="1" si="115"/>
        <v>0</v>
      </c>
      <c r="BF55" s="242">
        <f t="shared" ca="1" si="116"/>
        <v>0.66527778150306793</v>
      </c>
      <c r="BG55" s="122">
        <f t="shared" ca="1" si="117"/>
        <v>0</v>
      </c>
      <c r="BH55" s="243" t="str">
        <f ca="1">IF(BG55&lt;&gt;0,вПМ(BG55,BF55),"")</f>
        <v/>
      </c>
      <c r="BI55" s="122">
        <f ca="1">IF(BG55&lt;&gt;0,вРазн(BG55,BF55), 0)</f>
        <v>0</v>
      </c>
      <c r="BJ55" s="301">
        <f t="shared" ca="1" si="118"/>
        <v>900</v>
      </c>
      <c r="BK55" s="300">
        <f t="shared" ca="1" si="41"/>
        <v>2.777777798473835E-2</v>
      </c>
      <c r="BL55" s="122"/>
      <c r="BM55" s="294">
        <f t="shared" ca="1" si="119"/>
        <v>0</v>
      </c>
      <c r="BN55" s="242">
        <f t="shared" ca="1" si="120"/>
        <v>0.69305555948780628</v>
      </c>
      <c r="BO55" s="122">
        <f t="shared" ca="1" si="121"/>
        <v>0</v>
      </c>
      <c r="BP55" s="243" t="str">
        <f ca="1">IF(BO55&lt;&gt;0,вПМ(BO55,BN55),"")</f>
        <v/>
      </c>
      <c r="BQ55" s="122">
        <f ca="1">IF(BO55&lt;&gt;0,вРазн(BO55,BN55), 0)</f>
        <v>0</v>
      </c>
      <c r="BR55" s="244" t="str">
        <f t="shared" ca="1" si="122"/>
        <v>DNF</v>
      </c>
      <c r="BS55" s="242">
        <f t="shared" ca="1" si="46"/>
        <v>0</v>
      </c>
      <c r="BT55" s="122">
        <f t="shared" ca="1" si="123"/>
        <v>0</v>
      </c>
      <c r="BU55" s="122">
        <f t="shared" ca="1" si="124"/>
        <v>0</v>
      </c>
      <c r="BV55" s="248">
        <f t="shared" ca="1" si="125"/>
        <v>0</v>
      </c>
      <c r="BW55" s="248">
        <f t="shared" ca="1" si="126"/>
        <v>0</v>
      </c>
      <c r="BX55" s="243">
        <f t="shared" ca="1" si="127"/>
        <v>0</v>
      </c>
      <c r="BY55" s="243">
        <f t="shared" ca="1" si="128"/>
        <v>0</v>
      </c>
      <c r="BZ55" s="243">
        <f t="shared" ca="1" si="129"/>
        <v>0</v>
      </c>
      <c r="CA55" s="463">
        <f t="shared" ca="1" si="130"/>
        <v>900</v>
      </c>
      <c r="CB55" s="242">
        <f t="shared" ca="1" si="52"/>
        <v>0</v>
      </c>
      <c r="CC55" s="122">
        <f t="shared" ca="1" si="131"/>
        <v>0</v>
      </c>
      <c r="CD55" s="122">
        <f ca="1">IF(OR(CB55=0,CC55=0),0,вРазн(CC55,CB55))</f>
        <v>0</v>
      </c>
      <c r="CE55" s="122"/>
      <c r="CF55" s="122"/>
      <c r="CG55" s="247">
        <f t="shared" ca="1" si="132"/>
        <v>0</v>
      </c>
      <c r="CH55" s="245">
        <f t="shared" ca="1" si="54"/>
        <v>0</v>
      </c>
      <c r="CI55" s="240" t="str">
        <f ca="1">IF(CH55&lt;&gt;0,вПМ(CH55,CG55,"s"),"")</f>
        <v/>
      </c>
      <c r="CJ55" s="245">
        <f ca="1">IF(CH55&lt;&gt;0,вРазн(CH55,CG55,"s"), 0)</f>
        <v>0</v>
      </c>
      <c r="CK55" s="463">
        <f t="shared" ca="1" si="133"/>
        <v>1800</v>
      </c>
      <c r="CL55" s="247">
        <f t="shared" ca="1" si="134"/>
        <v>0</v>
      </c>
      <c r="CM55" s="245">
        <f t="shared" ca="1" si="57"/>
        <v>0</v>
      </c>
      <c r="CN55" s="243" t="str">
        <f ca="1">IF(AND(CM55&lt;&gt;0,CL55&lt;&gt;0),вПМ(CM55,CL55,"s"),"")</f>
        <v/>
      </c>
      <c r="CO55" s="245">
        <f ca="1">IF(AND(CM55&lt;&gt;0,CL55&lt;&gt;0),вРазн(CM55,CL55,"s"), 0)</f>
        <v>0</v>
      </c>
      <c r="CP55" s="463">
        <f t="shared" ca="1" si="135"/>
        <v>0</v>
      </c>
      <c r="CQ55" s="242">
        <f t="shared" ca="1" si="59"/>
        <v>0</v>
      </c>
      <c r="CR55" s="122">
        <f t="shared" ca="1" si="136"/>
        <v>0</v>
      </c>
      <c r="CS55" s="122">
        <f ca="1">IF(OR(CQ55=0,CR55=0),0,вРазн(CR55,CQ55))</f>
        <v>0</v>
      </c>
      <c r="CT55" s="122"/>
      <c r="CU55" s="122"/>
      <c r="CV55" s="247">
        <f t="shared" ca="1" si="137"/>
        <v>0</v>
      </c>
      <c r="CW55" s="245">
        <f t="shared" ca="1" si="61"/>
        <v>0</v>
      </c>
      <c r="CX55" s="240" t="str">
        <f ca="1">IF(CW55&lt;&gt;0,вПМ(CW55,CV55,"s"),"")</f>
        <v/>
      </c>
      <c r="CY55" s="245">
        <f ca="1">IF(CW55&lt;&gt;0,вРазн(CW55,CV55,"s"), 0)</f>
        <v>0</v>
      </c>
      <c r="CZ55" s="463">
        <f t="shared" ca="1" si="138"/>
        <v>1800</v>
      </c>
      <c r="DA55" s="247">
        <f t="shared" ca="1" si="139"/>
        <v>0</v>
      </c>
      <c r="DB55" s="245">
        <f t="shared" ca="1" si="64"/>
        <v>0</v>
      </c>
      <c r="DC55" s="243" t="str">
        <f ca="1">IF(AND(DB55&lt;&gt;0,DA55&lt;&gt;0),вПМ(DB55,DA55,"s"),"")</f>
        <v/>
      </c>
      <c r="DD55" s="245">
        <f ca="1">IF(AND(DB55&lt;&gt;0,DA55&lt;&gt;0),вРазн(DB55,DA55,"s"), 0)</f>
        <v>0</v>
      </c>
      <c r="DE55" s="463">
        <f t="shared" ca="1" si="140"/>
        <v>0</v>
      </c>
      <c r="DF55" s="242">
        <f t="shared" ca="1" si="66"/>
        <v>0</v>
      </c>
      <c r="DG55" s="122">
        <f t="shared" ca="1" si="141"/>
        <v>0</v>
      </c>
      <c r="DH55" s="122">
        <f t="shared" ca="1" si="142"/>
        <v>0</v>
      </c>
      <c r="DI55" s="248">
        <f t="shared" ca="1" si="143"/>
        <v>0</v>
      </c>
      <c r="DJ55" s="248">
        <f t="shared" ca="1" si="144"/>
        <v>0</v>
      </c>
      <c r="DK55" s="243">
        <f t="shared" ca="1" si="145"/>
        <v>0</v>
      </c>
      <c r="DL55" s="243">
        <f t="shared" ca="1" si="146"/>
        <v>0</v>
      </c>
      <c r="DM55" s="243">
        <f t="shared" ca="1" si="147"/>
        <v>0</v>
      </c>
      <c r="DN55" s="463">
        <f t="shared" ca="1" si="148"/>
        <v>900</v>
      </c>
      <c r="DO55" s="249">
        <f t="shared" ca="1" si="72"/>
        <v>0</v>
      </c>
      <c r="DP55" s="246">
        <f t="shared" ca="1" si="149"/>
        <v>0</v>
      </c>
      <c r="DQ55" s="249">
        <f t="shared" ca="1" si="72"/>
        <v>0</v>
      </c>
      <c r="DR55" s="246">
        <f t="shared" ca="1" si="150"/>
        <v>0</v>
      </c>
      <c r="DS55" s="242">
        <f t="shared" ca="1" si="164"/>
        <v>0</v>
      </c>
      <c r="DT55" s="244">
        <f t="shared" ca="1" si="151"/>
        <v>900</v>
      </c>
      <c r="DU55" s="242">
        <f t="shared" ca="1" si="164"/>
        <v>0</v>
      </c>
      <c r="DV55" s="244">
        <f t="shared" ca="1" si="152"/>
        <v>900</v>
      </c>
      <c r="DW55" s="459"/>
      <c r="DX55" s="459"/>
      <c r="DY55" s="459"/>
      <c r="DZ55" s="459"/>
      <c r="EA55" s="459"/>
      <c r="EB55" s="459"/>
      <c r="EC55" s="459"/>
      <c r="ED55" s="459"/>
      <c r="EE55" s="459"/>
      <c r="EF55" s="459"/>
      <c r="EG55" s="459"/>
      <c r="EH55" s="459"/>
      <c r="EI55" s="459"/>
      <c r="EJ55" s="459"/>
      <c r="EK55" s="459"/>
      <c r="EL55" s="459"/>
      <c r="EM55" s="459"/>
      <c r="EN55" s="459"/>
      <c r="EO55" s="459"/>
      <c r="EP55" s="459"/>
      <c r="EQ55" s="459"/>
      <c r="ER55" s="459"/>
      <c r="ES55" s="459"/>
      <c r="ET55" s="459"/>
      <c r="EU55" s="242" t="e">
        <f t="shared" ca="1" si="153"/>
        <v>#VALUE!</v>
      </c>
      <c r="EV55" s="122">
        <f t="shared" ca="1" si="154"/>
        <v>0</v>
      </c>
      <c r="EW55" s="243" t="e">
        <f ca="1">IF(AND(EV55&lt;&gt;0,EU55&lt;&gt;0),вПМ(EV55,EU55),"")</f>
        <v>#VALUE!</v>
      </c>
      <c r="EX55" s="122">
        <f ca="1">IF(EV55&lt;&gt;0,вРазн(EV55,EU55), 0)</f>
        <v>0</v>
      </c>
      <c r="EY55" s="244">
        <f t="shared" ca="1" si="155"/>
        <v>900</v>
      </c>
      <c r="EZ55" s="242">
        <f t="shared" ca="1" si="81"/>
        <v>0</v>
      </c>
      <c r="FA55" s="122">
        <f t="shared" ca="1" si="156"/>
        <v>0</v>
      </c>
      <c r="FB55" s="122">
        <f t="shared" ca="1" si="157"/>
        <v>0</v>
      </c>
      <c r="FC55" s="248">
        <f t="shared" ca="1" si="158"/>
        <v>0</v>
      </c>
      <c r="FD55" s="248">
        <f t="shared" ca="1" si="159"/>
        <v>0</v>
      </c>
      <c r="FE55" s="248">
        <f t="shared" ca="1" si="160"/>
        <v>0</v>
      </c>
      <c r="FF55" s="243">
        <f t="shared" ca="1" si="161"/>
        <v>0</v>
      </c>
      <c r="FG55" s="243">
        <f t="shared" ca="1" si="162"/>
        <v>0</v>
      </c>
      <c r="FH55" s="463">
        <f t="shared" ca="1" si="163"/>
        <v>1800</v>
      </c>
    </row>
    <row r="56" spans="1:165" s="236" customFormat="1" x14ac:dyDescent="0.25">
      <c r="A56" s="388" t="str">
        <f>стартоваяВедомость!B56</f>
        <v/>
      </c>
      <c r="B56" s="389">
        <f t="shared" ca="1" si="1"/>
        <v>0</v>
      </c>
      <c r="C56" s="389">
        <f t="shared" ca="1" si="2"/>
        <v>0</v>
      </c>
      <c r="D56" s="389">
        <f t="shared" ca="1" si="3"/>
        <v>0</v>
      </c>
      <c r="E56" s="389">
        <f t="shared" ca="1" si="4"/>
        <v>0</v>
      </c>
      <c r="F56" s="389">
        <f t="shared" ca="1" si="5"/>
        <v>0</v>
      </c>
      <c r="G56" s="486" t="str">
        <f t="shared" si="90"/>
        <v/>
      </c>
      <c r="H56" s="486" t="str">
        <f t="shared" ca="1" si="91"/>
        <v>DNS</v>
      </c>
      <c r="I56" s="486">
        <f t="shared" ca="1" si="92"/>
        <v>5400</v>
      </c>
      <c r="J56" s="486">
        <f t="shared" ca="1" si="93"/>
        <v>0</v>
      </c>
      <c r="K56" s="390">
        <f t="shared" ca="1" si="9"/>
        <v>0.44652777777777769</v>
      </c>
      <c r="L56" s="391">
        <f t="shared" ca="1" si="94"/>
        <v>0</v>
      </c>
      <c r="M56" s="392" t="str">
        <f ca="1">IF(L56&lt;&gt;0,вПМ(L56,K56),"")</f>
        <v/>
      </c>
      <c r="N56" s="391">
        <f ca="1">IF(L56&lt;&gt;0,вРазн(L56,K56), 0)</f>
        <v>0</v>
      </c>
      <c r="O56" s="393" t="str">
        <f t="shared" ca="1" si="95"/>
        <v>DNS</v>
      </c>
      <c r="P56" s="394">
        <f t="shared" ca="1" si="12"/>
        <v>4.86111119389534E-2</v>
      </c>
      <c r="Q56" s="395"/>
      <c r="R56" s="390">
        <f t="shared" ca="1" si="96"/>
        <v>0.49513888971673109</v>
      </c>
      <c r="S56" s="391">
        <f t="shared" ca="1" si="97"/>
        <v>0</v>
      </c>
      <c r="T56" s="392" t="str">
        <f ca="1">IF(S56&lt;&gt;0,вПМ(S56,R56),"")</f>
        <v/>
      </c>
      <c r="U56" s="391">
        <f ca="1">IF(S56&lt;&gt;0,вРазн(S56,R56), 0)</f>
        <v>0</v>
      </c>
      <c r="V56" s="393">
        <f t="shared" ca="1" si="98"/>
        <v>900</v>
      </c>
      <c r="W56" s="394">
        <f t="shared" ca="1" si="16"/>
        <v>4.86111119389534E-2</v>
      </c>
      <c r="X56" s="391"/>
      <c r="Y56" s="395">
        <f t="shared" ca="1" si="99"/>
        <v>0</v>
      </c>
      <c r="Z56" s="390">
        <f t="shared" ca="1" si="100"/>
        <v>0.54375000165568443</v>
      </c>
      <c r="AA56" s="391">
        <f t="shared" ca="1" si="101"/>
        <v>0</v>
      </c>
      <c r="AB56" s="392" t="str">
        <f ca="1">IF(AA56&lt;&gt;0,вПМ(AA56,Z56),"")</f>
        <v/>
      </c>
      <c r="AC56" s="391">
        <f ca="1">IF(AA56&lt;&gt;0,вРазн(AA56,Z56), 0)</f>
        <v>0</v>
      </c>
      <c r="AD56" s="393">
        <f t="shared" ca="1" si="102"/>
        <v>900</v>
      </c>
      <c r="AE56" s="394">
        <f t="shared" ca="1" si="21"/>
        <v>2.43055559694767E-2</v>
      </c>
      <c r="AF56" s="391"/>
      <c r="AG56" s="395">
        <f t="shared" ca="1" si="103"/>
        <v>0</v>
      </c>
      <c r="AH56" s="390">
        <f t="shared" ca="1" si="104"/>
        <v>0.56805555762516113</v>
      </c>
      <c r="AI56" s="391">
        <f t="shared" ca="1" si="105"/>
        <v>0</v>
      </c>
      <c r="AJ56" s="392" t="str">
        <f ca="1">IF(AI56&lt;&gt;0,вПМ(AI56,AH56),"")</f>
        <v/>
      </c>
      <c r="AK56" s="391">
        <f ca="1">IF(AI56&lt;&gt;0,вРазн(AI56,AH56), 0)</f>
        <v>0</v>
      </c>
      <c r="AL56" s="393">
        <f t="shared" ca="1" si="106"/>
        <v>900</v>
      </c>
      <c r="AM56" s="394">
        <f t="shared" ca="1" si="26"/>
        <v>2.43055559694767E-2</v>
      </c>
      <c r="AN56" s="391"/>
      <c r="AO56" s="395">
        <f t="shared" ca="1" si="107"/>
        <v>0</v>
      </c>
      <c r="AP56" s="390">
        <f t="shared" ca="1" si="108"/>
        <v>0.59236111359463783</v>
      </c>
      <c r="AQ56" s="391">
        <f t="shared" ca="1" si="109"/>
        <v>0</v>
      </c>
      <c r="AR56" s="392" t="str">
        <f ca="1">IF(AQ56&lt;&gt;0,вПМ(AQ56,AP56),"")</f>
        <v/>
      </c>
      <c r="AS56" s="391">
        <f ca="1">IF(AQ56&lt;&gt;0,вРазн(AQ56,AP56), 0)</f>
        <v>0</v>
      </c>
      <c r="AT56" s="393">
        <f t="shared" ca="1" si="110"/>
        <v>900</v>
      </c>
      <c r="AU56" s="394">
        <f t="shared" ca="1" si="31"/>
        <v>3.125E-2</v>
      </c>
      <c r="AV56" s="391"/>
      <c r="AW56" s="395">
        <f t="shared" ca="1" si="111"/>
        <v>0</v>
      </c>
      <c r="AX56" s="390">
        <f t="shared" ca="1" si="112"/>
        <v>0.62361111359463783</v>
      </c>
      <c r="AY56" s="391">
        <f t="shared" ca="1" si="113"/>
        <v>0</v>
      </c>
      <c r="AZ56" s="392" t="str">
        <f ca="1">IF(AY56&lt;&gt;0,вПМ(AY56,AX56),"")</f>
        <v/>
      </c>
      <c r="BA56" s="391">
        <f ca="1">IF(AY56&lt;&gt;0,вРазн(AY56,AX56), 0)</f>
        <v>0</v>
      </c>
      <c r="BB56" s="393">
        <f t="shared" ca="1" si="114"/>
        <v>900</v>
      </c>
      <c r="BC56" s="394">
        <f t="shared" ca="1" si="36"/>
        <v>4.1666667908430099E-2</v>
      </c>
      <c r="BD56" s="391"/>
      <c r="BE56" s="395">
        <f t="shared" ca="1" si="115"/>
        <v>0</v>
      </c>
      <c r="BF56" s="390">
        <f t="shared" ca="1" si="116"/>
        <v>0.66527778150306793</v>
      </c>
      <c r="BG56" s="391">
        <f t="shared" ca="1" si="117"/>
        <v>0</v>
      </c>
      <c r="BH56" s="392" t="str">
        <f ca="1">IF(BG56&lt;&gt;0,вПМ(BG56,BF56),"")</f>
        <v/>
      </c>
      <c r="BI56" s="391">
        <f ca="1">IF(BG56&lt;&gt;0,вРазн(BG56,BF56), 0)</f>
        <v>0</v>
      </c>
      <c r="BJ56" s="393">
        <f t="shared" ca="1" si="118"/>
        <v>900</v>
      </c>
      <c r="BK56" s="394">
        <f t="shared" ca="1" si="41"/>
        <v>2.777777798473835E-2</v>
      </c>
      <c r="BL56" s="391"/>
      <c r="BM56" s="395">
        <f t="shared" ca="1" si="119"/>
        <v>0</v>
      </c>
      <c r="BN56" s="390">
        <f t="shared" ca="1" si="120"/>
        <v>0.69305555948780628</v>
      </c>
      <c r="BO56" s="391">
        <f t="shared" ca="1" si="121"/>
        <v>0</v>
      </c>
      <c r="BP56" s="392" t="str">
        <f ca="1">IF(BO56&lt;&gt;0,вПМ(BO56,BN56),"")</f>
        <v/>
      </c>
      <c r="BQ56" s="391">
        <f ca="1">IF(BO56&lt;&gt;0,вРазн(BO56,BN56), 0)</f>
        <v>0</v>
      </c>
      <c r="BR56" s="396" t="str">
        <f t="shared" ca="1" si="122"/>
        <v>DNF</v>
      </c>
      <c r="BS56" s="390">
        <f t="shared" ca="1" si="46"/>
        <v>0</v>
      </c>
      <c r="BT56" s="391">
        <f t="shared" ca="1" si="123"/>
        <v>0</v>
      </c>
      <c r="BU56" s="391">
        <f t="shared" ca="1" si="124"/>
        <v>0</v>
      </c>
      <c r="BV56" s="401">
        <f t="shared" ca="1" si="125"/>
        <v>0</v>
      </c>
      <c r="BW56" s="401">
        <f t="shared" ca="1" si="126"/>
        <v>0</v>
      </c>
      <c r="BX56" s="392">
        <f t="shared" ca="1" si="127"/>
        <v>0</v>
      </c>
      <c r="BY56" s="392">
        <f t="shared" ca="1" si="128"/>
        <v>0</v>
      </c>
      <c r="BZ56" s="392">
        <f t="shared" ca="1" si="129"/>
        <v>0</v>
      </c>
      <c r="CA56" s="462">
        <f t="shared" ca="1" si="130"/>
        <v>900</v>
      </c>
      <c r="CB56" s="390">
        <f t="shared" ca="1" si="52"/>
        <v>0</v>
      </c>
      <c r="CC56" s="391">
        <f t="shared" ca="1" si="131"/>
        <v>0</v>
      </c>
      <c r="CD56" s="391">
        <f ca="1">IF(OR(CB56=0,CC56=0),0,вРазн(CC56,CB56))</f>
        <v>0</v>
      </c>
      <c r="CE56" s="391"/>
      <c r="CF56" s="391"/>
      <c r="CG56" s="397">
        <f t="shared" ca="1" si="132"/>
        <v>0</v>
      </c>
      <c r="CH56" s="398">
        <f t="shared" ca="1" si="54"/>
        <v>0</v>
      </c>
      <c r="CI56" s="399" t="str">
        <f ca="1">IF(CH56&lt;&gt;0,вПМ(CH56,CG56,"s"),"")</f>
        <v/>
      </c>
      <c r="CJ56" s="398">
        <f ca="1">IF(CH56&lt;&gt;0,вРазн(CH56,CG56,"s"), 0)</f>
        <v>0</v>
      </c>
      <c r="CK56" s="462">
        <f t="shared" ca="1" si="133"/>
        <v>1800</v>
      </c>
      <c r="CL56" s="397">
        <f t="shared" ca="1" si="134"/>
        <v>0</v>
      </c>
      <c r="CM56" s="398">
        <f t="shared" ca="1" si="57"/>
        <v>0</v>
      </c>
      <c r="CN56" s="392" t="str">
        <f ca="1">IF(AND(CM56&lt;&gt;0,CL56&lt;&gt;0),вПМ(CM56,CL56,"s"),"")</f>
        <v/>
      </c>
      <c r="CO56" s="398">
        <f ca="1">IF(AND(CM56&lt;&gt;0,CL56&lt;&gt;0),вРазн(CM56,CL56,"s"), 0)</f>
        <v>0</v>
      </c>
      <c r="CP56" s="462">
        <f t="shared" ca="1" si="135"/>
        <v>0</v>
      </c>
      <c r="CQ56" s="390">
        <f t="shared" ca="1" si="59"/>
        <v>0</v>
      </c>
      <c r="CR56" s="391">
        <f t="shared" ca="1" si="136"/>
        <v>0</v>
      </c>
      <c r="CS56" s="391">
        <f ca="1">IF(OR(CQ56=0,CR56=0),0,вРазн(CR56,CQ56))</f>
        <v>0</v>
      </c>
      <c r="CT56" s="391"/>
      <c r="CU56" s="391"/>
      <c r="CV56" s="397">
        <f t="shared" ca="1" si="137"/>
        <v>0</v>
      </c>
      <c r="CW56" s="398">
        <f t="shared" ca="1" si="61"/>
        <v>0</v>
      </c>
      <c r="CX56" s="399" t="str">
        <f ca="1">IF(CW56&lt;&gt;0,вПМ(CW56,CV56,"s"),"")</f>
        <v/>
      </c>
      <c r="CY56" s="398">
        <f ca="1">IF(CW56&lt;&gt;0,вРазн(CW56,CV56,"s"), 0)</f>
        <v>0</v>
      </c>
      <c r="CZ56" s="462">
        <f t="shared" ca="1" si="138"/>
        <v>1800</v>
      </c>
      <c r="DA56" s="397">
        <f t="shared" ca="1" si="139"/>
        <v>0</v>
      </c>
      <c r="DB56" s="398">
        <f t="shared" ca="1" si="64"/>
        <v>0</v>
      </c>
      <c r="DC56" s="392" t="str">
        <f ca="1">IF(AND(DB56&lt;&gt;0,DA56&lt;&gt;0),вПМ(DB56,DA56,"s"),"")</f>
        <v/>
      </c>
      <c r="DD56" s="398">
        <f ca="1">IF(AND(DB56&lt;&gt;0,DA56&lt;&gt;0),вРазн(DB56,DA56,"s"), 0)</f>
        <v>0</v>
      </c>
      <c r="DE56" s="462">
        <f t="shared" ca="1" si="140"/>
        <v>0</v>
      </c>
      <c r="DF56" s="390">
        <f t="shared" ca="1" si="66"/>
        <v>0</v>
      </c>
      <c r="DG56" s="391">
        <f t="shared" ca="1" si="141"/>
        <v>0</v>
      </c>
      <c r="DH56" s="391">
        <f t="shared" ca="1" si="142"/>
        <v>0</v>
      </c>
      <c r="DI56" s="401">
        <f t="shared" ca="1" si="143"/>
        <v>0</v>
      </c>
      <c r="DJ56" s="401">
        <f t="shared" ca="1" si="144"/>
        <v>0</v>
      </c>
      <c r="DK56" s="392">
        <f t="shared" ca="1" si="145"/>
        <v>0</v>
      </c>
      <c r="DL56" s="392">
        <f t="shared" ca="1" si="146"/>
        <v>0</v>
      </c>
      <c r="DM56" s="392">
        <f t="shared" ca="1" si="147"/>
        <v>0</v>
      </c>
      <c r="DN56" s="462">
        <f t="shared" ca="1" si="148"/>
        <v>900</v>
      </c>
      <c r="DO56" s="402">
        <f t="shared" ca="1" si="72"/>
        <v>0</v>
      </c>
      <c r="DP56" s="400">
        <f t="shared" ca="1" si="149"/>
        <v>0</v>
      </c>
      <c r="DQ56" s="402">
        <f t="shared" ca="1" si="72"/>
        <v>0</v>
      </c>
      <c r="DR56" s="400">
        <f t="shared" ca="1" si="150"/>
        <v>0</v>
      </c>
      <c r="DS56" s="390">
        <f t="shared" ca="1" si="164"/>
        <v>0</v>
      </c>
      <c r="DT56" s="396">
        <f t="shared" ca="1" si="151"/>
        <v>900</v>
      </c>
      <c r="DU56" s="390">
        <f t="shared" ca="1" si="164"/>
        <v>0</v>
      </c>
      <c r="DV56" s="396">
        <f t="shared" ca="1" si="152"/>
        <v>900</v>
      </c>
      <c r="DW56" s="459"/>
      <c r="DX56" s="459"/>
      <c r="DY56" s="459"/>
      <c r="DZ56" s="459"/>
      <c r="EA56" s="459"/>
      <c r="EB56" s="459"/>
      <c r="EC56" s="459"/>
      <c r="ED56" s="459"/>
      <c r="EE56" s="459"/>
      <c r="EF56" s="459"/>
      <c r="EG56" s="459"/>
      <c r="EH56" s="459"/>
      <c r="EI56" s="459"/>
      <c r="EJ56" s="459"/>
      <c r="EK56" s="459"/>
      <c r="EL56" s="459"/>
      <c r="EM56" s="459"/>
      <c r="EN56" s="459"/>
      <c r="EO56" s="459"/>
      <c r="EP56" s="459"/>
      <c r="EQ56" s="459"/>
      <c r="ER56" s="459"/>
      <c r="ES56" s="459"/>
      <c r="ET56" s="459"/>
      <c r="EU56" s="390" t="e">
        <f t="shared" ca="1" si="153"/>
        <v>#VALUE!</v>
      </c>
      <c r="EV56" s="391">
        <f t="shared" ca="1" si="154"/>
        <v>0</v>
      </c>
      <c r="EW56" s="392" t="e">
        <f ca="1">IF(AND(EV56&lt;&gt;0,EU56&lt;&gt;0),вПМ(EV56,EU56),"")</f>
        <v>#VALUE!</v>
      </c>
      <c r="EX56" s="391">
        <f ca="1">IF(EV56&lt;&gt;0,вРазн(EV56,EU56), 0)</f>
        <v>0</v>
      </c>
      <c r="EY56" s="396">
        <f t="shared" ca="1" si="155"/>
        <v>900</v>
      </c>
      <c r="EZ56" s="390">
        <f t="shared" ca="1" si="81"/>
        <v>0</v>
      </c>
      <c r="FA56" s="391">
        <f t="shared" ca="1" si="156"/>
        <v>0</v>
      </c>
      <c r="FB56" s="391">
        <f t="shared" ca="1" si="157"/>
        <v>0</v>
      </c>
      <c r="FC56" s="401">
        <f t="shared" ca="1" si="158"/>
        <v>0</v>
      </c>
      <c r="FD56" s="401">
        <f t="shared" ca="1" si="159"/>
        <v>0</v>
      </c>
      <c r="FE56" s="401">
        <f t="shared" ca="1" si="160"/>
        <v>0</v>
      </c>
      <c r="FF56" s="392">
        <f t="shared" ca="1" si="161"/>
        <v>0</v>
      </c>
      <c r="FG56" s="392">
        <f t="shared" ca="1" si="162"/>
        <v>0</v>
      </c>
      <c r="FH56" s="462">
        <f t="shared" ca="1" si="163"/>
        <v>1800</v>
      </c>
      <c r="FI56" s="403"/>
    </row>
    <row r="57" spans="1:165" s="20" customFormat="1" x14ac:dyDescent="0.25">
      <c r="A57" s="253" t="str">
        <f>стартоваяВедомость!B57</f>
        <v/>
      </c>
      <c r="B57" s="241">
        <f t="shared" ca="1" si="1"/>
        <v>0</v>
      </c>
      <c r="C57" s="241">
        <f t="shared" ca="1" si="2"/>
        <v>0</v>
      </c>
      <c r="D57" s="241">
        <f t="shared" ca="1" si="3"/>
        <v>0</v>
      </c>
      <c r="E57" s="241">
        <f t="shared" ca="1" si="4"/>
        <v>0</v>
      </c>
      <c r="F57" s="241">
        <f t="shared" ca="1" si="5"/>
        <v>0</v>
      </c>
      <c r="G57" s="487" t="str">
        <f t="shared" si="90"/>
        <v/>
      </c>
      <c r="H57" s="487" t="str">
        <f t="shared" ca="1" si="91"/>
        <v>DNS</v>
      </c>
      <c r="I57" s="487">
        <f t="shared" ca="1" si="92"/>
        <v>5400</v>
      </c>
      <c r="J57" s="487">
        <f t="shared" ca="1" si="93"/>
        <v>0</v>
      </c>
      <c r="K57" s="242">
        <f t="shared" ca="1" si="9"/>
        <v>0.44652777777777769</v>
      </c>
      <c r="L57" s="122">
        <f t="shared" ca="1" si="94"/>
        <v>0</v>
      </c>
      <c r="M57" s="243" t="str">
        <f ca="1">IF(L57&lt;&gt;0,вПМ(L57,K57),"")</f>
        <v/>
      </c>
      <c r="N57" s="122">
        <f ca="1">IF(L57&lt;&gt;0,вРазн(L57,K57), 0)</f>
        <v>0</v>
      </c>
      <c r="O57" s="301" t="str">
        <f t="shared" ca="1" si="95"/>
        <v>DNS</v>
      </c>
      <c r="P57" s="300">
        <f t="shared" ca="1" si="12"/>
        <v>4.86111119389534E-2</v>
      </c>
      <c r="Q57" s="294"/>
      <c r="R57" s="242">
        <f t="shared" ca="1" si="96"/>
        <v>0.49513888971673109</v>
      </c>
      <c r="S57" s="122">
        <f t="shared" ca="1" si="97"/>
        <v>0</v>
      </c>
      <c r="T57" s="243" t="str">
        <f ca="1">IF(S57&lt;&gt;0,вПМ(S57,R57),"")</f>
        <v/>
      </c>
      <c r="U57" s="122">
        <f ca="1">IF(S57&lt;&gt;0,вРазн(S57,R57), 0)</f>
        <v>0</v>
      </c>
      <c r="V57" s="301">
        <f t="shared" ca="1" si="98"/>
        <v>900</v>
      </c>
      <c r="W57" s="300">
        <f t="shared" ca="1" si="16"/>
        <v>4.86111119389534E-2</v>
      </c>
      <c r="X57" s="122"/>
      <c r="Y57" s="294">
        <f t="shared" ca="1" si="99"/>
        <v>0</v>
      </c>
      <c r="Z57" s="242">
        <f t="shared" ca="1" si="100"/>
        <v>0.54375000165568443</v>
      </c>
      <c r="AA57" s="122">
        <f t="shared" ca="1" si="101"/>
        <v>0</v>
      </c>
      <c r="AB57" s="243" t="str">
        <f ca="1">IF(AA57&lt;&gt;0,вПМ(AA57,Z57),"")</f>
        <v/>
      </c>
      <c r="AC57" s="122">
        <f ca="1">IF(AA57&lt;&gt;0,вРазн(AA57,Z57), 0)</f>
        <v>0</v>
      </c>
      <c r="AD57" s="301">
        <f t="shared" ca="1" si="102"/>
        <v>900</v>
      </c>
      <c r="AE57" s="300">
        <f t="shared" ca="1" si="21"/>
        <v>2.43055559694767E-2</v>
      </c>
      <c r="AF57" s="122"/>
      <c r="AG57" s="294">
        <f t="shared" ca="1" si="103"/>
        <v>0</v>
      </c>
      <c r="AH57" s="242">
        <f t="shared" ca="1" si="104"/>
        <v>0.56805555762516113</v>
      </c>
      <c r="AI57" s="122">
        <f t="shared" ca="1" si="105"/>
        <v>0</v>
      </c>
      <c r="AJ57" s="243" t="str">
        <f ca="1">IF(AI57&lt;&gt;0,вПМ(AI57,AH57),"")</f>
        <v/>
      </c>
      <c r="AK57" s="122">
        <f ca="1">IF(AI57&lt;&gt;0,вРазн(AI57,AH57), 0)</f>
        <v>0</v>
      </c>
      <c r="AL57" s="301">
        <f t="shared" ca="1" si="106"/>
        <v>900</v>
      </c>
      <c r="AM57" s="300">
        <f t="shared" ca="1" si="26"/>
        <v>2.43055559694767E-2</v>
      </c>
      <c r="AN57" s="122"/>
      <c r="AO57" s="294">
        <f t="shared" ca="1" si="107"/>
        <v>0</v>
      </c>
      <c r="AP57" s="242">
        <f t="shared" ca="1" si="108"/>
        <v>0.59236111359463783</v>
      </c>
      <c r="AQ57" s="122">
        <f t="shared" ca="1" si="109"/>
        <v>0</v>
      </c>
      <c r="AR57" s="243" t="str">
        <f ca="1">IF(AQ57&lt;&gt;0,вПМ(AQ57,AP57),"")</f>
        <v/>
      </c>
      <c r="AS57" s="122">
        <f ca="1">IF(AQ57&lt;&gt;0,вРазн(AQ57,AP57), 0)</f>
        <v>0</v>
      </c>
      <c r="AT57" s="301">
        <f t="shared" ca="1" si="110"/>
        <v>900</v>
      </c>
      <c r="AU57" s="300">
        <f t="shared" ca="1" si="31"/>
        <v>3.125E-2</v>
      </c>
      <c r="AV57" s="122"/>
      <c r="AW57" s="294">
        <f t="shared" ca="1" si="111"/>
        <v>0</v>
      </c>
      <c r="AX57" s="242">
        <f t="shared" ca="1" si="112"/>
        <v>0.62361111359463783</v>
      </c>
      <c r="AY57" s="122">
        <f t="shared" ca="1" si="113"/>
        <v>0</v>
      </c>
      <c r="AZ57" s="243" t="str">
        <f ca="1">IF(AY57&lt;&gt;0,вПМ(AY57,AX57),"")</f>
        <v/>
      </c>
      <c r="BA57" s="122">
        <f ca="1">IF(AY57&lt;&gt;0,вРазн(AY57,AX57), 0)</f>
        <v>0</v>
      </c>
      <c r="BB57" s="301">
        <f t="shared" ca="1" si="114"/>
        <v>900</v>
      </c>
      <c r="BC57" s="300">
        <f t="shared" ca="1" si="36"/>
        <v>4.1666667908430099E-2</v>
      </c>
      <c r="BD57" s="122"/>
      <c r="BE57" s="294">
        <f t="shared" ca="1" si="115"/>
        <v>0</v>
      </c>
      <c r="BF57" s="242">
        <f t="shared" ca="1" si="116"/>
        <v>0.66527778150306793</v>
      </c>
      <c r="BG57" s="122">
        <f t="shared" ca="1" si="117"/>
        <v>0</v>
      </c>
      <c r="BH57" s="243" t="str">
        <f ca="1">IF(BG57&lt;&gt;0,вПМ(BG57,BF57),"")</f>
        <v/>
      </c>
      <c r="BI57" s="122">
        <f ca="1">IF(BG57&lt;&gt;0,вРазн(BG57,BF57), 0)</f>
        <v>0</v>
      </c>
      <c r="BJ57" s="301">
        <f t="shared" ca="1" si="118"/>
        <v>900</v>
      </c>
      <c r="BK57" s="300">
        <f t="shared" ca="1" si="41"/>
        <v>2.777777798473835E-2</v>
      </c>
      <c r="BL57" s="122"/>
      <c r="BM57" s="294">
        <f t="shared" ca="1" si="119"/>
        <v>0</v>
      </c>
      <c r="BN57" s="242">
        <f t="shared" ca="1" si="120"/>
        <v>0.69305555948780628</v>
      </c>
      <c r="BO57" s="122">
        <f t="shared" ca="1" si="121"/>
        <v>0</v>
      </c>
      <c r="BP57" s="243" t="str">
        <f ca="1">IF(BO57&lt;&gt;0,вПМ(BO57,BN57),"")</f>
        <v/>
      </c>
      <c r="BQ57" s="122">
        <f ca="1">IF(BO57&lt;&gt;0,вРазн(BO57,BN57), 0)</f>
        <v>0</v>
      </c>
      <c r="BR57" s="244" t="str">
        <f t="shared" ca="1" si="122"/>
        <v>DNF</v>
      </c>
      <c r="BS57" s="242">
        <f t="shared" ca="1" si="46"/>
        <v>0</v>
      </c>
      <c r="BT57" s="122">
        <f t="shared" ca="1" si="123"/>
        <v>0</v>
      </c>
      <c r="BU57" s="122">
        <f t="shared" ca="1" si="124"/>
        <v>0</v>
      </c>
      <c r="BV57" s="248">
        <f t="shared" ca="1" si="125"/>
        <v>0</v>
      </c>
      <c r="BW57" s="248">
        <f t="shared" ca="1" si="126"/>
        <v>0</v>
      </c>
      <c r="BX57" s="243">
        <f t="shared" ca="1" si="127"/>
        <v>0</v>
      </c>
      <c r="BY57" s="243">
        <f t="shared" ca="1" si="128"/>
        <v>0</v>
      </c>
      <c r="BZ57" s="243">
        <f t="shared" ca="1" si="129"/>
        <v>0</v>
      </c>
      <c r="CA57" s="463">
        <f t="shared" ca="1" si="130"/>
        <v>900</v>
      </c>
      <c r="CB57" s="242">
        <f t="shared" ca="1" si="52"/>
        <v>0</v>
      </c>
      <c r="CC57" s="122">
        <f t="shared" ca="1" si="131"/>
        <v>0</v>
      </c>
      <c r="CD57" s="122">
        <f ca="1">IF(OR(CB57=0,CC57=0),0,вРазн(CC57,CB57))</f>
        <v>0</v>
      </c>
      <c r="CE57" s="122"/>
      <c r="CF57" s="122"/>
      <c r="CG57" s="247">
        <f t="shared" ca="1" si="132"/>
        <v>0</v>
      </c>
      <c r="CH57" s="245">
        <f t="shared" ca="1" si="54"/>
        <v>0</v>
      </c>
      <c r="CI57" s="240" t="str">
        <f ca="1">IF(CH57&lt;&gt;0,вПМ(CH57,CG57,"s"),"")</f>
        <v/>
      </c>
      <c r="CJ57" s="245">
        <f ca="1">IF(CH57&lt;&gt;0,вРазн(CH57,CG57,"s"), 0)</f>
        <v>0</v>
      </c>
      <c r="CK57" s="463">
        <f t="shared" ca="1" si="133"/>
        <v>1800</v>
      </c>
      <c r="CL57" s="247">
        <f t="shared" ca="1" si="134"/>
        <v>0</v>
      </c>
      <c r="CM57" s="245">
        <f t="shared" ca="1" si="57"/>
        <v>0</v>
      </c>
      <c r="CN57" s="243" t="str">
        <f ca="1">IF(AND(CM57&lt;&gt;0,CL57&lt;&gt;0),вПМ(CM57,CL57,"s"),"")</f>
        <v/>
      </c>
      <c r="CO57" s="245">
        <f ca="1">IF(AND(CM57&lt;&gt;0,CL57&lt;&gt;0),вРазн(CM57,CL57,"s"), 0)</f>
        <v>0</v>
      </c>
      <c r="CP57" s="463">
        <f t="shared" ca="1" si="135"/>
        <v>0</v>
      </c>
      <c r="CQ57" s="242">
        <f t="shared" ca="1" si="59"/>
        <v>0</v>
      </c>
      <c r="CR57" s="122">
        <f t="shared" ca="1" si="136"/>
        <v>0</v>
      </c>
      <c r="CS57" s="122">
        <f ca="1">IF(OR(CQ57=0,CR57=0),0,вРазн(CR57,CQ57))</f>
        <v>0</v>
      </c>
      <c r="CT57" s="122"/>
      <c r="CU57" s="122"/>
      <c r="CV57" s="247">
        <f t="shared" ca="1" si="137"/>
        <v>0</v>
      </c>
      <c r="CW57" s="245">
        <f t="shared" ca="1" si="61"/>
        <v>0</v>
      </c>
      <c r="CX57" s="240" t="str">
        <f ca="1">IF(CW57&lt;&gt;0,вПМ(CW57,CV57,"s"),"")</f>
        <v/>
      </c>
      <c r="CY57" s="245">
        <f ca="1">IF(CW57&lt;&gt;0,вРазн(CW57,CV57,"s"), 0)</f>
        <v>0</v>
      </c>
      <c r="CZ57" s="463">
        <f t="shared" ca="1" si="138"/>
        <v>1800</v>
      </c>
      <c r="DA57" s="247">
        <f t="shared" ca="1" si="139"/>
        <v>0</v>
      </c>
      <c r="DB57" s="245">
        <f t="shared" ca="1" si="64"/>
        <v>0</v>
      </c>
      <c r="DC57" s="243" t="str">
        <f ca="1">IF(AND(DB57&lt;&gt;0,DA57&lt;&gt;0),вПМ(DB57,DA57,"s"),"")</f>
        <v/>
      </c>
      <c r="DD57" s="245">
        <f ca="1">IF(AND(DB57&lt;&gt;0,DA57&lt;&gt;0),вРазн(DB57,DA57,"s"), 0)</f>
        <v>0</v>
      </c>
      <c r="DE57" s="463">
        <f t="shared" ca="1" si="140"/>
        <v>0</v>
      </c>
      <c r="DF57" s="242">
        <f t="shared" ca="1" si="66"/>
        <v>0</v>
      </c>
      <c r="DG57" s="122">
        <f t="shared" ca="1" si="141"/>
        <v>0</v>
      </c>
      <c r="DH57" s="122">
        <f t="shared" ca="1" si="142"/>
        <v>0</v>
      </c>
      <c r="DI57" s="248">
        <f t="shared" ca="1" si="143"/>
        <v>0</v>
      </c>
      <c r="DJ57" s="248">
        <f t="shared" ca="1" si="144"/>
        <v>0</v>
      </c>
      <c r="DK57" s="243">
        <f t="shared" ca="1" si="145"/>
        <v>0</v>
      </c>
      <c r="DL57" s="243">
        <f t="shared" ca="1" si="146"/>
        <v>0</v>
      </c>
      <c r="DM57" s="243">
        <f t="shared" ca="1" si="147"/>
        <v>0</v>
      </c>
      <c r="DN57" s="463">
        <f t="shared" ca="1" si="148"/>
        <v>900</v>
      </c>
      <c r="DO57" s="249">
        <f t="shared" ca="1" si="72"/>
        <v>0</v>
      </c>
      <c r="DP57" s="246">
        <f t="shared" ca="1" si="149"/>
        <v>0</v>
      </c>
      <c r="DQ57" s="249">
        <f t="shared" ca="1" si="72"/>
        <v>0</v>
      </c>
      <c r="DR57" s="246">
        <f t="shared" ca="1" si="150"/>
        <v>0</v>
      </c>
      <c r="DS57" s="242">
        <f t="shared" ca="1" si="164"/>
        <v>0</v>
      </c>
      <c r="DT57" s="244">
        <f t="shared" ca="1" si="151"/>
        <v>900</v>
      </c>
      <c r="DU57" s="242">
        <f t="shared" ca="1" si="164"/>
        <v>0</v>
      </c>
      <c r="DV57" s="244">
        <f t="shared" ca="1" si="152"/>
        <v>900</v>
      </c>
      <c r="DW57" s="459"/>
      <c r="DX57" s="459"/>
      <c r="DY57" s="459"/>
      <c r="DZ57" s="459"/>
      <c r="EA57" s="459"/>
      <c r="EB57" s="459"/>
      <c r="EC57" s="459"/>
      <c r="ED57" s="459"/>
      <c r="EE57" s="459"/>
      <c r="EF57" s="459"/>
      <c r="EG57" s="459"/>
      <c r="EH57" s="459"/>
      <c r="EI57" s="459"/>
      <c r="EJ57" s="459"/>
      <c r="EK57" s="459"/>
      <c r="EL57" s="459"/>
      <c r="EM57" s="459"/>
      <c r="EN57" s="459"/>
      <c r="EO57" s="459"/>
      <c r="EP57" s="459"/>
      <c r="EQ57" s="459"/>
      <c r="ER57" s="459"/>
      <c r="ES57" s="459"/>
      <c r="ET57" s="459"/>
      <c r="EU57" s="242" t="e">
        <f t="shared" ca="1" si="153"/>
        <v>#VALUE!</v>
      </c>
      <c r="EV57" s="122">
        <f t="shared" ca="1" si="154"/>
        <v>0</v>
      </c>
      <c r="EW57" s="243" t="e">
        <f ca="1">IF(AND(EV57&lt;&gt;0,EU57&lt;&gt;0),вПМ(EV57,EU57),"")</f>
        <v>#VALUE!</v>
      </c>
      <c r="EX57" s="122">
        <f ca="1">IF(EV57&lt;&gt;0,вРазн(EV57,EU57), 0)</f>
        <v>0</v>
      </c>
      <c r="EY57" s="244">
        <f t="shared" ca="1" si="155"/>
        <v>900</v>
      </c>
      <c r="EZ57" s="242">
        <f t="shared" ca="1" si="81"/>
        <v>0</v>
      </c>
      <c r="FA57" s="122">
        <f t="shared" ca="1" si="156"/>
        <v>0</v>
      </c>
      <c r="FB57" s="122">
        <f t="shared" ca="1" si="157"/>
        <v>0</v>
      </c>
      <c r="FC57" s="248">
        <f t="shared" ca="1" si="158"/>
        <v>0</v>
      </c>
      <c r="FD57" s="248">
        <f t="shared" ca="1" si="159"/>
        <v>0</v>
      </c>
      <c r="FE57" s="248">
        <f t="shared" ca="1" si="160"/>
        <v>0</v>
      </c>
      <c r="FF57" s="243">
        <f t="shared" ca="1" si="161"/>
        <v>0</v>
      </c>
      <c r="FG57" s="243">
        <f t="shared" ca="1" si="162"/>
        <v>0</v>
      </c>
      <c r="FH57" s="463">
        <f t="shared" ca="1" si="163"/>
        <v>1800</v>
      </c>
    </row>
    <row r="58" spans="1:165" s="236" customFormat="1" x14ac:dyDescent="0.25">
      <c r="A58" s="388" t="str">
        <f>стартоваяВедомость!B58</f>
        <v/>
      </c>
      <c r="B58" s="389">
        <f t="shared" ca="1" si="1"/>
        <v>0</v>
      </c>
      <c r="C58" s="389">
        <f t="shared" ca="1" si="2"/>
        <v>0</v>
      </c>
      <c r="D58" s="389">
        <f t="shared" ca="1" si="3"/>
        <v>0</v>
      </c>
      <c r="E58" s="389">
        <f t="shared" ca="1" si="4"/>
        <v>0</v>
      </c>
      <c r="F58" s="389">
        <f t="shared" ca="1" si="5"/>
        <v>0</v>
      </c>
      <c r="G58" s="486" t="str">
        <f t="shared" si="90"/>
        <v/>
      </c>
      <c r="H58" s="486" t="str">
        <f t="shared" ca="1" si="91"/>
        <v>DNS</v>
      </c>
      <c r="I58" s="486">
        <f t="shared" ca="1" si="92"/>
        <v>5400</v>
      </c>
      <c r="J58" s="486">
        <f t="shared" ca="1" si="93"/>
        <v>0</v>
      </c>
      <c r="K58" s="390">
        <f t="shared" ca="1" si="9"/>
        <v>0.44652777777777769</v>
      </c>
      <c r="L58" s="391">
        <f t="shared" ca="1" si="94"/>
        <v>0</v>
      </c>
      <c r="M58" s="392" t="str">
        <f ca="1">IF(L58&lt;&gt;0,вПМ(L58,K58),"")</f>
        <v/>
      </c>
      <c r="N58" s="391">
        <f ca="1">IF(L58&lt;&gt;0,вРазн(L58,K58), 0)</f>
        <v>0</v>
      </c>
      <c r="O58" s="393" t="str">
        <f t="shared" ca="1" si="95"/>
        <v>DNS</v>
      </c>
      <c r="P58" s="394">
        <f t="shared" ca="1" si="12"/>
        <v>4.86111119389534E-2</v>
      </c>
      <c r="Q58" s="395"/>
      <c r="R58" s="390">
        <f t="shared" ca="1" si="96"/>
        <v>0.49513888971673109</v>
      </c>
      <c r="S58" s="391">
        <f t="shared" ca="1" si="97"/>
        <v>0</v>
      </c>
      <c r="T58" s="392" t="str">
        <f ca="1">IF(S58&lt;&gt;0,вПМ(S58,R58),"")</f>
        <v/>
      </c>
      <c r="U58" s="391">
        <f ca="1">IF(S58&lt;&gt;0,вРазн(S58,R58), 0)</f>
        <v>0</v>
      </c>
      <c r="V58" s="393">
        <f t="shared" ca="1" si="98"/>
        <v>900</v>
      </c>
      <c r="W58" s="394">
        <f t="shared" ca="1" si="16"/>
        <v>4.86111119389534E-2</v>
      </c>
      <c r="X58" s="391"/>
      <c r="Y58" s="395">
        <f t="shared" ca="1" si="99"/>
        <v>0</v>
      </c>
      <c r="Z58" s="390">
        <f t="shared" ca="1" si="100"/>
        <v>0.54375000165568443</v>
      </c>
      <c r="AA58" s="391">
        <f t="shared" ca="1" si="101"/>
        <v>0</v>
      </c>
      <c r="AB58" s="392" t="str">
        <f ca="1">IF(AA58&lt;&gt;0,вПМ(AA58,Z58),"")</f>
        <v/>
      </c>
      <c r="AC58" s="391">
        <f ca="1">IF(AA58&lt;&gt;0,вРазн(AA58,Z58), 0)</f>
        <v>0</v>
      </c>
      <c r="AD58" s="393">
        <f t="shared" ca="1" si="102"/>
        <v>900</v>
      </c>
      <c r="AE58" s="394">
        <f t="shared" ca="1" si="21"/>
        <v>2.43055559694767E-2</v>
      </c>
      <c r="AF58" s="391"/>
      <c r="AG58" s="395">
        <f t="shared" ca="1" si="103"/>
        <v>0</v>
      </c>
      <c r="AH58" s="390">
        <f t="shared" ca="1" si="104"/>
        <v>0.56805555762516113</v>
      </c>
      <c r="AI58" s="391">
        <f t="shared" ca="1" si="105"/>
        <v>0</v>
      </c>
      <c r="AJ58" s="392" t="str">
        <f ca="1">IF(AI58&lt;&gt;0,вПМ(AI58,AH58),"")</f>
        <v/>
      </c>
      <c r="AK58" s="391">
        <f ca="1">IF(AI58&lt;&gt;0,вРазн(AI58,AH58), 0)</f>
        <v>0</v>
      </c>
      <c r="AL58" s="393">
        <f t="shared" ca="1" si="106"/>
        <v>900</v>
      </c>
      <c r="AM58" s="394">
        <f t="shared" ca="1" si="26"/>
        <v>2.43055559694767E-2</v>
      </c>
      <c r="AN58" s="391"/>
      <c r="AO58" s="395">
        <f t="shared" ca="1" si="107"/>
        <v>0</v>
      </c>
      <c r="AP58" s="390">
        <f t="shared" ca="1" si="108"/>
        <v>0.59236111359463783</v>
      </c>
      <c r="AQ58" s="391">
        <f t="shared" ca="1" si="109"/>
        <v>0</v>
      </c>
      <c r="AR58" s="392" t="str">
        <f ca="1">IF(AQ58&lt;&gt;0,вПМ(AQ58,AP58),"")</f>
        <v/>
      </c>
      <c r="AS58" s="391">
        <f ca="1">IF(AQ58&lt;&gt;0,вРазн(AQ58,AP58), 0)</f>
        <v>0</v>
      </c>
      <c r="AT58" s="393">
        <f t="shared" ca="1" si="110"/>
        <v>900</v>
      </c>
      <c r="AU58" s="394">
        <f t="shared" ca="1" si="31"/>
        <v>3.125E-2</v>
      </c>
      <c r="AV58" s="391"/>
      <c r="AW58" s="395">
        <f t="shared" ca="1" si="111"/>
        <v>0</v>
      </c>
      <c r="AX58" s="390">
        <f t="shared" ca="1" si="112"/>
        <v>0.62361111359463783</v>
      </c>
      <c r="AY58" s="391">
        <f t="shared" ca="1" si="113"/>
        <v>0</v>
      </c>
      <c r="AZ58" s="392" t="str">
        <f ca="1">IF(AY58&lt;&gt;0,вПМ(AY58,AX58),"")</f>
        <v/>
      </c>
      <c r="BA58" s="391">
        <f ca="1">IF(AY58&lt;&gt;0,вРазн(AY58,AX58), 0)</f>
        <v>0</v>
      </c>
      <c r="BB58" s="393">
        <f t="shared" ca="1" si="114"/>
        <v>900</v>
      </c>
      <c r="BC58" s="394">
        <f t="shared" ca="1" si="36"/>
        <v>4.1666667908430099E-2</v>
      </c>
      <c r="BD58" s="391"/>
      <c r="BE58" s="395">
        <f t="shared" ca="1" si="115"/>
        <v>0</v>
      </c>
      <c r="BF58" s="390">
        <f t="shared" ca="1" si="116"/>
        <v>0.66527778150306793</v>
      </c>
      <c r="BG58" s="391">
        <f t="shared" ca="1" si="117"/>
        <v>0</v>
      </c>
      <c r="BH58" s="392" t="str">
        <f ca="1">IF(BG58&lt;&gt;0,вПМ(BG58,BF58),"")</f>
        <v/>
      </c>
      <c r="BI58" s="391">
        <f ca="1">IF(BG58&lt;&gt;0,вРазн(BG58,BF58), 0)</f>
        <v>0</v>
      </c>
      <c r="BJ58" s="393">
        <f t="shared" ca="1" si="118"/>
        <v>900</v>
      </c>
      <c r="BK58" s="394">
        <f t="shared" ca="1" si="41"/>
        <v>2.777777798473835E-2</v>
      </c>
      <c r="BL58" s="391"/>
      <c r="BM58" s="395">
        <f t="shared" ca="1" si="119"/>
        <v>0</v>
      </c>
      <c r="BN58" s="390">
        <f t="shared" ca="1" si="120"/>
        <v>0.69305555948780628</v>
      </c>
      <c r="BO58" s="391">
        <f t="shared" ca="1" si="121"/>
        <v>0</v>
      </c>
      <c r="BP58" s="392" t="str">
        <f ca="1">IF(BO58&lt;&gt;0,вПМ(BO58,BN58),"")</f>
        <v/>
      </c>
      <c r="BQ58" s="391">
        <f ca="1">IF(BO58&lt;&gt;0,вРазн(BO58,BN58), 0)</f>
        <v>0</v>
      </c>
      <c r="BR58" s="396" t="str">
        <f t="shared" ca="1" si="122"/>
        <v>DNF</v>
      </c>
      <c r="BS58" s="390">
        <f t="shared" ca="1" si="46"/>
        <v>0</v>
      </c>
      <c r="BT58" s="391">
        <f t="shared" ca="1" si="123"/>
        <v>0</v>
      </c>
      <c r="BU58" s="391">
        <f t="shared" ca="1" si="124"/>
        <v>0</v>
      </c>
      <c r="BV58" s="401">
        <f t="shared" ca="1" si="125"/>
        <v>0</v>
      </c>
      <c r="BW58" s="401">
        <f t="shared" ca="1" si="126"/>
        <v>0</v>
      </c>
      <c r="BX58" s="392">
        <f t="shared" ca="1" si="127"/>
        <v>0</v>
      </c>
      <c r="BY58" s="392">
        <f t="shared" ca="1" si="128"/>
        <v>0</v>
      </c>
      <c r="BZ58" s="392">
        <f t="shared" ca="1" si="129"/>
        <v>0</v>
      </c>
      <c r="CA58" s="462">
        <f t="shared" ca="1" si="130"/>
        <v>900</v>
      </c>
      <c r="CB58" s="390">
        <f t="shared" ca="1" si="52"/>
        <v>0</v>
      </c>
      <c r="CC58" s="391">
        <f t="shared" ca="1" si="131"/>
        <v>0</v>
      </c>
      <c r="CD58" s="391">
        <f ca="1">IF(OR(CB58=0,CC58=0),0,вРазн(CC58,CB58))</f>
        <v>0</v>
      </c>
      <c r="CE58" s="391"/>
      <c r="CF58" s="391"/>
      <c r="CG58" s="397">
        <f t="shared" ca="1" si="132"/>
        <v>0</v>
      </c>
      <c r="CH58" s="398">
        <f t="shared" ca="1" si="54"/>
        <v>0</v>
      </c>
      <c r="CI58" s="399" t="str">
        <f ca="1">IF(CH58&lt;&gt;0,вПМ(CH58,CG58,"s"),"")</f>
        <v/>
      </c>
      <c r="CJ58" s="398">
        <f ca="1">IF(CH58&lt;&gt;0,вРазн(CH58,CG58,"s"), 0)</f>
        <v>0</v>
      </c>
      <c r="CK58" s="462">
        <f t="shared" ca="1" si="133"/>
        <v>1800</v>
      </c>
      <c r="CL58" s="397">
        <f t="shared" ca="1" si="134"/>
        <v>0</v>
      </c>
      <c r="CM58" s="398">
        <f t="shared" ca="1" si="57"/>
        <v>0</v>
      </c>
      <c r="CN58" s="392" t="str">
        <f ca="1">IF(AND(CM58&lt;&gt;0,CL58&lt;&gt;0),вПМ(CM58,CL58,"s"),"")</f>
        <v/>
      </c>
      <c r="CO58" s="398">
        <f ca="1">IF(AND(CM58&lt;&gt;0,CL58&lt;&gt;0),вРазн(CM58,CL58,"s"), 0)</f>
        <v>0</v>
      </c>
      <c r="CP58" s="462">
        <f t="shared" ca="1" si="135"/>
        <v>0</v>
      </c>
      <c r="CQ58" s="390">
        <f t="shared" ca="1" si="59"/>
        <v>0</v>
      </c>
      <c r="CR58" s="391">
        <f t="shared" ca="1" si="136"/>
        <v>0</v>
      </c>
      <c r="CS58" s="391">
        <f ca="1">IF(OR(CQ58=0,CR58=0),0,вРазн(CR58,CQ58))</f>
        <v>0</v>
      </c>
      <c r="CT58" s="391"/>
      <c r="CU58" s="391"/>
      <c r="CV58" s="397">
        <f t="shared" ca="1" si="137"/>
        <v>0</v>
      </c>
      <c r="CW58" s="398">
        <f t="shared" ca="1" si="61"/>
        <v>0</v>
      </c>
      <c r="CX58" s="399" t="str">
        <f ca="1">IF(CW58&lt;&gt;0,вПМ(CW58,CV58,"s"),"")</f>
        <v/>
      </c>
      <c r="CY58" s="398">
        <f ca="1">IF(CW58&lt;&gt;0,вРазн(CW58,CV58,"s"), 0)</f>
        <v>0</v>
      </c>
      <c r="CZ58" s="462">
        <f t="shared" ca="1" si="138"/>
        <v>1800</v>
      </c>
      <c r="DA58" s="397">
        <f t="shared" ca="1" si="139"/>
        <v>0</v>
      </c>
      <c r="DB58" s="398">
        <f t="shared" ca="1" si="64"/>
        <v>0</v>
      </c>
      <c r="DC58" s="392" t="str">
        <f ca="1">IF(AND(DB58&lt;&gt;0,DA58&lt;&gt;0),вПМ(DB58,DA58,"s"),"")</f>
        <v/>
      </c>
      <c r="DD58" s="398">
        <f ca="1">IF(AND(DB58&lt;&gt;0,DA58&lt;&gt;0),вРазн(DB58,DA58,"s"), 0)</f>
        <v>0</v>
      </c>
      <c r="DE58" s="462">
        <f t="shared" ca="1" si="140"/>
        <v>0</v>
      </c>
      <c r="DF58" s="390">
        <f t="shared" ca="1" si="66"/>
        <v>0</v>
      </c>
      <c r="DG58" s="391">
        <f t="shared" ca="1" si="141"/>
        <v>0</v>
      </c>
      <c r="DH58" s="391">
        <f t="shared" ca="1" si="142"/>
        <v>0</v>
      </c>
      <c r="DI58" s="401">
        <f t="shared" ca="1" si="143"/>
        <v>0</v>
      </c>
      <c r="DJ58" s="401">
        <f t="shared" ca="1" si="144"/>
        <v>0</v>
      </c>
      <c r="DK58" s="392">
        <f t="shared" ca="1" si="145"/>
        <v>0</v>
      </c>
      <c r="DL58" s="392">
        <f t="shared" ca="1" si="146"/>
        <v>0</v>
      </c>
      <c r="DM58" s="392">
        <f t="shared" ca="1" si="147"/>
        <v>0</v>
      </c>
      <c r="DN58" s="462">
        <f t="shared" ca="1" si="148"/>
        <v>900</v>
      </c>
      <c r="DO58" s="402">
        <f t="shared" ca="1" si="72"/>
        <v>0</v>
      </c>
      <c r="DP58" s="400">
        <f t="shared" ca="1" si="149"/>
        <v>0</v>
      </c>
      <c r="DQ58" s="402">
        <f t="shared" ca="1" si="72"/>
        <v>0</v>
      </c>
      <c r="DR58" s="400">
        <f t="shared" ca="1" si="150"/>
        <v>0</v>
      </c>
      <c r="DS58" s="390">
        <f t="shared" ca="1" si="164"/>
        <v>0</v>
      </c>
      <c r="DT58" s="396">
        <f t="shared" ca="1" si="151"/>
        <v>900</v>
      </c>
      <c r="DU58" s="390">
        <f t="shared" ca="1" si="164"/>
        <v>0</v>
      </c>
      <c r="DV58" s="396">
        <f t="shared" ca="1" si="152"/>
        <v>900</v>
      </c>
      <c r="DW58" s="459"/>
      <c r="DX58" s="459"/>
      <c r="DY58" s="459"/>
      <c r="DZ58" s="459"/>
      <c r="EA58" s="459"/>
      <c r="EB58" s="459"/>
      <c r="EC58" s="459"/>
      <c r="ED58" s="459"/>
      <c r="EE58" s="459"/>
      <c r="EF58" s="459"/>
      <c r="EG58" s="459"/>
      <c r="EH58" s="459"/>
      <c r="EI58" s="459"/>
      <c r="EJ58" s="459"/>
      <c r="EK58" s="459"/>
      <c r="EL58" s="459"/>
      <c r="EM58" s="459"/>
      <c r="EN58" s="459"/>
      <c r="EO58" s="459"/>
      <c r="EP58" s="459"/>
      <c r="EQ58" s="459"/>
      <c r="ER58" s="459"/>
      <c r="ES58" s="459"/>
      <c r="ET58" s="459"/>
      <c r="EU58" s="390" t="e">
        <f t="shared" ca="1" si="153"/>
        <v>#VALUE!</v>
      </c>
      <c r="EV58" s="391">
        <f t="shared" ca="1" si="154"/>
        <v>0</v>
      </c>
      <c r="EW58" s="392" t="e">
        <f ca="1">IF(AND(EV58&lt;&gt;0,EU58&lt;&gt;0),вПМ(EV58,EU58),"")</f>
        <v>#VALUE!</v>
      </c>
      <c r="EX58" s="391">
        <f ca="1">IF(EV58&lt;&gt;0,вРазн(EV58,EU58), 0)</f>
        <v>0</v>
      </c>
      <c r="EY58" s="396">
        <f t="shared" ca="1" si="155"/>
        <v>900</v>
      </c>
      <c r="EZ58" s="390">
        <f t="shared" ca="1" si="81"/>
        <v>0</v>
      </c>
      <c r="FA58" s="391">
        <f t="shared" ca="1" si="156"/>
        <v>0</v>
      </c>
      <c r="FB58" s="391">
        <f t="shared" ca="1" si="157"/>
        <v>0</v>
      </c>
      <c r="FC58" s="401">
        <f t="shared" ca="1" si="158"/>
        <v>0</v>
      </c>
      <c r="FD58" s="401">
        <f t="shared" ca="1" si="159"/>
        <v>0</v>
      </c>
      <c r="FE58" s="401">
        <f t="shared" ca="1" si="160"/>
        <v>0</v>
      </c>
      <c r="FF58" s="392">
        <f t="shared" ca="1" si="161"/>
        <v>0</v>
      </c>
      <c r="FG58" s="392">
        <f t="shared" ca="1" si="162"/>
        <v>0</v>
      </c>
      <c r="FH58" s="462">
        <f t="shared" ca="1" si="163"/>
        <v>1800</v>
      </c>
      <c r="FI58" s="403"/>
    </row>
    <row r="59" spans="1:165" s="20" customFormat="1" x14ac:dyDescent="0.25">
      <c r="A59" s="253" t="str">
        <f>стартоваяВедомость!B59</f>
        <v/>
      </c>
      <c r="B59" s="241">
        <f t="shared" ca="1" si="1"/>
        <v>0</v>
      </c>
      <c r="C59" s="241">
        <f t="shared" ca="1" si="2"/>
        <v>0</v>
      </c>
      <c r="D59" s="241">
        <f t="shared" ca="1" si="3"/>
        <v>0</v>
      </c>
      <c r="E59" s="241">
        <f t="shared" ca="1" si="4"/>
        <v>0</v>
      </c>
      <c r="F59" s="241">
        <f t="shared" ca="1" si="5"/>
        <v>0</v>
      </c>
      <c r="G59" s="487" t="str">
        <f t="shared" si="90"/>
        <v/>
      </c>
      <c r="H59" s="487" t="str">
        <f t="shared" ca="1" si="91"/>
        <v>DNS</v>
      </c>
      <c r="I59" s="487">
        <f t="shared" ca="1" si="92"/>
        <v>5400</v>
      </c>
      <c r="J59" s="487">
        <f t="shared" ca="1" si="93"/>
        <v>0</v>
      </c>
      <c r="K59" s="242">
        <f t="shared" ca="1" si="9"/>
        <v>0.44652777777777769</v>
      </c>
      <c r="L59" s="122">
        <f t="shared" ca="1" si="94"/>
        <v>0</v>
      </c>
      <c r="M59" s="243" t="str">
        <f ca="1">IF(L59&lt;&gt;0,вПМ(L59,K59),"")</f>
        <v/>
      </c>
      <c r="N59" s="122">
        <f ca="1">IF(L59&lt;&gt;0,вРазн(L59,K59), 0)</f>
        <v>0</v>
      </c>
      <c r="O59" s="301" t="str">
        <f t="shared" ca="1" si="95"/>
        <v>DNS</v>
      </c>
      <c r="P59" s="300">
        <f t="shared" ca="1" si="12"/>
        <v>4.86111119389534E-2</v>
      </c>
      <c r="Q59" s="294"/>
      <c r="R59" s="242">
        <f t="shared" ca="1" si="96"/>
        <v>0.49513888971673109</v>
      </c>
      <c r="S59" s="122">
        <f t="shared" ca="1" si="97"/>
        <v>0</v>
      </c>
      <c r="T59" s="243" t="str">
        <f ca="1">IF(S59&lt;&gt;0,вПМ(S59,R59),"")</f>
        <v/>
      </c>
      <c r="U59" s="122">
        <f ca="1">IF(S59&lt;&gt;0,вРазн(S59,R59), 0)</f>
        <v>0</v>
      </c>
      <c r="V59" s="301">
        <f t="shared" ca="1" si="98"/>
        <v>900</v>
      </c>
      <c r="W59" s="300">
        <f t="shared" ca="1" si="16"/>
        <v>4.86111119389534E-2</v>
      </c>
      <c r="X59" s="122"/>
      <c r="Y59" s="294">
        <f t="shared" ca="1" si="99"/>
        <v>0</v>
      </c>
      <c r="Z59" s="242">
        <f t="shared" ca="1" si="100"/>
        <v>0.54375000165568443</v>
      </c>
      <c r="AA59" s="122">
        <f t="shared" ca="1" si="101"/>
        <v>0</v>
      </c>
      <c r="AB59" s="243" t="str">
        <f ca="1">IF(AA59&lt;&gt;0,вПМ(AA59,Z59),"")</f>
        <v/>
      </c>
      <c r="AC59" s="122">
        <f ca="1">IF(AA59&lt;&gt;0,вРазн(AA59,Z59), 0)</f>
        <v>0</v>
      </c>
      <c r="AD59" s="301">
        <f t="shared" ca="1" si="102"/>
        <v>900</v>
      </c>
      <c r="AE59" s="300">
        <f t="shared" ca="1" si="21"/>
        <v>2.43055559694767E-2</v>
      </c>
      <c r="AF59" s="122"/>
      <c r="AG59" s="294">
        <f t="shared" ca="1" si="103"/>
        <v>0</v>
      </c>
      <c r="AH59" s="242">
        <f t="shared" ca="1" si="104"/>
        <v>0.56805555762516113</v>
      </c>
      <c r="AI59" s="122">
        <f t="shared" ca="1" si="105"/>
        <v>0</v>
      </c>
      <c r="AJ59" s="243" t="str">
        <f ca="1">IF(AI59&lt;&gt;0,вПМ(AI59,AH59),"")</f>
        <v/>
      </c>
      <c r="AK59" s="122">
        <f ca="1">IF(AI59&lt;&gt;0,вРазн(AI59,AH59), 0)</f>
        <v>0</v>
      </c>
      <c r="AL59" s="301">
        <f t="shared" ca="1" si="106"/>
        <v>900</v>
      </c>
      <c r="AM59" s="300">
        <f t="shared" ca="1" si="26"/>
        <v>2.43055559694767E-2</v>
      </c>
      <c r="AN59" s="122"/>
      <c r="AO59" s="294">
        <f t="shared" ca="1" si="107"/>
        <v>0</v>
      </c>
      <c r="AP59" s="242">
        <f t="shared" ca="1" si="108"/>
        <v>0.59236111359463783</v>
      </c>
      <c r="AQ59" s="122">
        <f t="shared" ca="1" si="109"/>
        <v>0</v>
      </c>
      <c r="AR59" s="243" t="str">
        <f ca="1">IF(AQ59&lt;&gt;0,вПМ(AQ59,AP59),"")</f>
        <v/>
      </c>
      <c r="AS59" s="122">
        <f ca="1">IF(AQ59&lt;&gt;0,вРазн(AQ59,AP59), 0)</f>
        <v>0</v>
      </c>
      <c r="AT59" s="301">
        <f t="shared" ca="1" si="110"/>
        <v>900</v>
      </c>
      <c r="AU59" s="300">
        <f t="shared" ca="1" si="31"/>
        <v>3.125E-2</v>
      </c>
      <c r="AV59" s="122"/>
      <c r="AW59" s="294">
        <f t="shared" ca="1" si="111"/>
        <v>0</v>
      </c>
      <c r="AX59" s="242">
        <f t="shared" ca="1" si="112"/>
        <v>0.62361111359463783</v>
      </c>
      <c r="AY59" s="122">
        <f t="shared" ca="1" si="113"/>
        <v>0</v>
      </c>
      <c r="AZ59" s="243" t="str">
        <f ca="1">IF(AY59&lt;&gt;0,вПМ(AY59,AX59),"")</f>
        <v/>
      </c>
      <c r="BA59" s="122">
        <f ca="1">IF(AY59&lt;&gt;0,вРазн(AY59,AX59), 0)</f>
        <v>0</v>
      </c>
      <c r="BB59" s="301">
        <f t="shared" ca="1" si="114"/>
        <v>900</v>
      </c>
      <c r="BC59" s="300">
        <f t="shared" ca="1" si="36"/>
        <v>4.1666667908430099E-2</v>
      </c>
      <c r="BD59" s="122"/>
      <c r="BE59" s="294">
        <f t="shared" ca="1" si="115"/>
        <v>0</v>
      </c>
      <c r="BF59" s="242">
        <f t="shared" ca="1" si="116"/>
        <v>0.66527778150306793</v>
      </c>
      <c r="BG59" s="122">
        <f t="shared" ca="1" si="117"/>
        <v>0</v>
      </c>
      <c r="BH59" s="243" t="str">
        <f ca="1">IF(BG59&lt;&gt;0,вПМ(BG59,BF59),"")</f>
        <v/>
      </c>
      <c r="BI59" s="122">
        <f ca="1">IF(BG59&lt;&gt;0,вРазн(BG59,BF59), 0)</f>
        <v>0</v>
      </c>
      <c r="BJ59" s="301">
        <f t="shared" ca="1" si="118"/>
        <v>900</v>
      </c>
      <c r="BK59" s="300">
        <f t="shared" ca="1" si="41"/>
        <v>2.777777798473835E-2</v>
      </c>
      <c r="BL59" s="122"/>
      <c r="BM59" s="294">
        <f t="shared" ca="1" si="119"/>
        <v>0</v>
      </c>
      <c r="BN59" s="242">
        <f t="shared" ca="1" si="120"/>
        <v>0.69305555948780628</v>
      </c>
      <c r="BO59" s="122">
        <f t="shared" ca="1" si="121"/>
        <v>0</v>
      </c>
      <c r="BP59" s="243" t="str">
        <f ca="1">IF(BO59&lt;&gt;0,вПМ(BO59,BN59),"")</f>
        <v/>
      </c>
      <c r="BQ59" s="122">
        <f ca="1">IF(BO59&lt;&gt;0,вРазн(BO59,BN59), 0)</f>
        <v>0</v>
      </c>
      <c r="BR59" s="244" t="str">
        <f t="shared" ca="1" si="122"/>
        <v>DNF</v>
      </c>
      <c r="BS59" s="242">
        <f t="shared" ca="1" si="46"/>
        <v>0</v>
      </c>
      <c r="BT59" s="122">
        <f t="shared" ca="1" si="123"/>
        <v>0</v>
      </c>
      <c r="BU59" s="122">
        <f t="shared" ca="1" si="124"/>
        <v>0</v>
      </c>
      <c r="BV59" s="248">
        <f t="shared" ca="1" si="125"/>
        <v>0</v>
      </c>
      <c r="BW59" s="248">
        <f t="shared" ca="1" si="126"/>
        <v>0</v>
      </c>
      <c r="BX59" s="243">
        <f t="shared" ca="1" si="127"/>
        <v>0</v>
      </c>
      <c r="BY59" s="243">
        <f t="shared" ca="1" si="128"/>
        <v>0</v>
      </c>
      <c r="BZ59" s="243">
        <f t="shared" ca="1" si="129"/>
        <v>0</v>
      </c>
      <c r="CA59" s="463">
        <f t="shared" ca="1" si="130"/>
        <v>900</v>
      </c>
      <c r="CB59" s="242">
        <f t="shared" ca="1" si="52"/>
        <v>0</v>
      </c>
      <c r="CC59" s="122">
        <f t="shared" ca="1" si="131"/>
        <v>0</v>
      </c>
      <c r="CD59" s="122">
        <f ca="1">IF(OR(CB59=0,CC59=0),0,вРазн(CC59,CB59))</f>
        <v>0</v>
      </c>
      <c r="CE59" s="122"/>
      <c r="CF59" s="122"/>
      <c r="CG59" s="247">
        <f t="shared" ca="1" si="132"/>
        <v>0</v>
      </c>
      <c r="CH59" s="245">
        <f t="shared" ca="1" si="54"/>
        <v>0</v>
      </c>
      <c r="CI59" s="240" t="str">
        <f ca="1">IF(CH59&lt;&gt;0,вПМ(CH59,CG59,"s"),"")</f>
        <v/>
      </c>
      <c r="CJ59" s="245">
        <f ca="1">IF(CH59&lt;&gt;0,вРазн(CH59,CG59,"s"), 0)</f>
        <v>0</v>
      </c>
      <c r="CK59" s="463">
        <f t="shared" ca="1" si="133"/>
        <v>1800</v>
      </c>
      <c r="CL59" s="247">
        <f t="shared" ca="1" si="134"/>
        <v>0</v>
      </c>
      <c r="CM59" s="245">
        <f t="shared" ca="1" si="57"/>
        <v>0</v>
      </c>
      <c r="CN59" s="243" t="str">
        <f ca="1">IF(AND(CM59&lt;&gt;0,CL59&lt;&gt;0),вПМ(CM59,CL59,"s"),"")</f>
        <v/>
      </c>
      <c r="CO59" s="245">
        <f ca="1">IF(AND(CM59&lt;&gt;0,CL59&lt;&gt;0),вРазн(CM59,CL59,"s"), 0)</f>
        <v>0</v>
      </c>
      <c r="CP59" s="463">
        <f t="shared" ca="1" si="135"/>
        <v>0</v>
      </c>
      <c r="CQ59" s="242">
        <f t="shared" ca="1" si="59"/>
        <v>0</v>
      </c>
      <c r="CR59" s="122">
        <f t="shared" ca="1" si="136"/>
        <v>0</v>
      </c>
      <c r="CS59" s="122">
        <f ca="1">IF(OR(CQ59=0,CR59=0),0,вРазн(CR59,CQ59))</f>
        <v>0</v>
      </c>
      <c r="CT59" s="122"/>
      <c r="CU59" s="122"/>
      <c r="CV59" s="247">
        <f t="shared" ca="1" si="137"/>
        <v>0</v>
      </c>
      <c r="CW59" s="245">
        <f t="shared" ca="1" si="61"/>
        <v>0</v>
      </c>
      <c r="CX59" s="240" t="str">
        <f ca="1">IF(CW59&lt;&gt;0,вПМ(CW59,CV59,"s"),"")</f>
        <v/>
      </c>
      <c r="CY59" s="245">
        <f ca="1">IF(CW59&lt;&gt;0,вРазн(CW59,CV59,"s"), 0)</f>
        <v>0</v>
      </c>
      <c r="CZ59" s="463">
        <f t="shared" ca="1" si="138"/>
        <v>1800</v>
      </c>
      <c r="DA59" s="247">
        <f t="shared" ca="1" si="139"/>
        <v>0</v>
      </c>
      <c r="DB59" s="245">
        <f t="shared" ca="1" si="64"/>
        <v>0</v>
      </c>
      <c r="DC59" s="243" t="str">
        <f ca="1">IF(AND(DB59&lt;&gt;0,DA59&lt;&gt;0),вПМ(DB59,DA59,"s"),"")</f>
        <v/>
      </c>
      <c r="DD59" s="245">
        <f ca="1">IF(AND(DB59&lt;&gt;0,DA59&lt;&gt;0),вРазн(DB59,DA59,"s"), 0)</f>
        <v>0</v>
      </c>
      <c r="DE59" s="463">
        <f t="shared" ca="1" si="140"/>
        <v>0</v>
      </c>
      <c r="DF59" s="242">
        <f t="shared" ca="1" si="66"/>
        <v>0</v>
      </c>
      <c r="DG59" s="122">
        <f t="shared" ca="1" si="141"/>
        <v>0</v>
      </c>
      <c r="DH59" s="122">
        <f t="shared" ca="1" si="142"/>
        <v>0</v>
      </c>
      <c r="DI59" s="248">
        <f t="shared" ca="1" si="143"/>
        <v>0</v>
      </c>
      <c r="DJ59" s="248">
        <f t="shared" ca="1" si="144"/>
        <v>0</v>
      </c>
      <c r="DK59" s="243">
        <f t="shared" ca="1" si="145"/>
        <v>0</v>
      </c>
      <c r="DL59" s="243">
        <f t="shared" ca="1" si="146"/>
        <v>0</v>
      </c>
      <c r="DM59" s="243">
        <f t="shared" ca="1" si="147"/>
        <v>0</v>
      </c>
      <c r="DN59" s="463">
        <f t="shared" ca="1" si="148"/>
        <v>900</v>
      </c>
      <c r="DO59" s="249">
        <f t="shared" ca="1" si="72"/>
        <v>0</v>
      </c>
      <c r="DP59" s="246">
        <f t="shared" ca="1" si="149"/>
        <v>0</v>
      </c>
      <c r="DQ59" s="249">
        <f t="shared" ca="1" si="72"/>
        <v>0</v>
      </c>
      <c r="DR59" s="246">
        <f t="shared" ca="1" si="150"/>
        <v>0</v>
      </c>
      <c r="DS59" s="242">
        <f t="shared" ca="1" si="164"/>
        <v>0</v>
      </c>
      <c r="DT59" s="244">
        <f t="shared" ca="1" si="151"/>
        <v>900</v>
      </c>
      <c r="DU59" s="242">
        <f t="shared" ca="1" si="164"/>
        <v>0</v>
      </c>
      <c r="DV59" s="244">
        <f t="shared" ca="1" si="152"/>
        <v>900</v>
      </c>
      <c r="DW59" s="459"/>
      <c r="DX59" s="459"/>
      <c r="DY59" s="459"/>
      <c r="DZ59" s="459"/>
      <c r="EA59" s="459"/>
      <c r="EB59" s="459"/>
      <c r="EC59" s="459"/>
      <c r="ED59" s="459"/>
      <c r="EE59" s="459"/>
      <c r="EF59" s="459"/>
      <c r="EG59" s="459"/>
      <c r="EH59" s="459"/>
      <c r="EI59" s="459"/>
      <c r="EJ59" s="459"/>
      <c r="EK59" s="459"/>
      <c r="EL59" s="459"/>
      <c r="EM59" s="459"/>
      <c r="EN59" s="459"/>
      <c r="EO59" s="459"/>
      <c r="EP59" s="459"/>
      <c r="EQ59" s="459"/>
      <c r="ER59" s="459"/>
      <c r="ES59" s="459"/>
      <c r="ET59" s="459"/>
      <c r="EU59" s="242" t="e">
        <f t="shared" ca="1" si="153"/>
        <v>#VALUE!</v>
      </c>
      <c r="EV59" s="122">
        <f t="shared" ca="1" si="154"/>
        <v>0</v>
      </c>
      <c r="EW59" s="243" t="e">
        <f ca="1">IF(AND(EV59&lt;&gt;0,EU59&lt;&gt;0),вПМ(EV59,EU59),"")</f>
        <v>#VALUE!</v>
      </c>
      <c r="EX59" s="122">
        <f ca="1">IF(EV59&lt;&gt;0,вРазн(EV59,EU59), 0)</f>
        <v>0</v>
      </c>
      <c r="EY59" s="244">
        <f t="shared" ca="1" si="155"/>
        <v>900</v>
      </c>
      <c r="EZ59" s="242">
        <f t="shared" ca="1" si="81"/>
        <v>0</v>
      </c>
      <c r="FA59" s="122">
        <f t="shared" ca="1" si="156"/>
        <v>0</v>
      </c>
      <c r="FB59" s="122">
        <f t="shared" ca="1" si="157"/>
        <v>0</v>
      </c>
      <c r="FC59" s="248">
        <f t="shared" ca="1" si="158"/>
        <v>0</v>
      </c>
      <c r="FD59" s="248">
        <f t="shared" ca="1" si="159"/>
        <v>0</v>
      </c>
      <c r="FE59" s="248">
        <f t="shared" ca="1" si="160"/>
        <v>0</v>
      </c>
      <c r="FF59" s="243">
        <f t="shared" ca="1" si="161"/>
        <v>0</v>
      </c>
      <c r="FG59" s="243">
        <f t="shared" ca="1" si="162"/>
        <v>0</v>
      </c>
      <c r="FH59" s="463">
        <f t="shared" ca="1" si="163"/>
        <v>1800</v>
      </c>
    </row>
    <row r="60" spans="1:165" s="236" customFormat="1" x14ac:dyDescent="0.25">
      <c r="A60" s="388" t="str">
        <f>стартоваяВедомость!B60</f>
        <v/>
      </c>
      <c r="B60" s="389">
        <f t="shared" ca="1" si="1"/>
        <v>0</v>
      </c>
      <c r="C60" s="389">
        <f t="shared" ca="1" si="2"/>
        <v>0</v>
      </c>
      <c r="D60" s="389">
        <f t="shared" ca="1" si="3"/>
        <v>0</v>
      </c>
      <c r="E60" s="389">
        <f t="shared" ca="1" si="4"/>
        <v>0</v>
      </c>
      <c r="F60" s="389">
        <f t="shared" ca="1" si="5"/>
        <v>0</v>
      </c>
      <c r="G60" s="486" t="str">
        <f t="shared" si="90"/>
        <v/>
      </c>
      <c r="H60" s="486" t="str">
        <f t="shared" ca="1" si="91"/>
        <v>DNS</v>
      </c>
      <c r="I60" s="486">
        <f t="shared" ca="1" si="92"/>
        <v>5400</v>
      </c>
      <c r="J60" s="486">
        <f t="shared" ca="1" si="93"/>
        <v>0</v>
      </c>
      <c r="K60" s="390">
        <f t="shared" ca="1" si="9"/>
        <v>0.44652777777777769</v>
      </c>
      <c r="L60" s="391">
        <f t="shared" ca="1" si="94"/>
        <v>0</v>
      </c>
      <c r="M60" s="392" t="str">
        <f ca="1">IF(L60&lt;&gt;0,вПМ(L60,K60),"")</f>
        <v/>
      </c>
      <c r="N60" s="391">
        <f ca="1">IF(L60&lt;&gt;0,вРазн(L60,K60), 0)</f>
        <v>0</v>
      </c>
      <c r="O60" s="393" t="str">
        <f t="shared" ca="1" si="95"/>
        <v>DNS</v>
      </c>
      <c r="P60" s="394">
        <f t="shared" ca="1" si="12"/>
        <v>4.86111119389534E-2</v>
      </c>
      <c r="Q60" s="395"/>
      <c r="R60" s="390">
        <f t="shared" ca="1" si="96"/>
        <v>0.49513888971673109</v>
      </c>
      <c r="S60" s="391">
        <f t="shared" ca="1" si="97"/>
        <v>0</v>
      </c>
      <c r="T60" s="392" t="str">
        <f ca="1">IF(S60&lt;&gt;0,вПМ(S60,R60),"")</f>
        <v/>
      </c>
      <c r="U60" s="391">
        <f ca="1">IF(S60&lt;&gt;0,вРазн(S60,R60), 0)</f>
        <v>0</v>
      </c>
      <c r="V60" s="393">
        <f t="shared" ca="1" si="98"/>
        <v>900</v>
      </c>
      <c r="W60" s="394">
        <f t="shared" ca="1" si="16"/>
        <v>4.86111119389534E-2</v>
      </c>
      <c r="X60" s="391"/>
      <c r="Y60" s="395">
        <f t="shared" ca="1" si="99"/>
        <v>0</v>
      </c>
      <c r="Z60" s="390">
        <f t="shared" ca="1" si="100"/>
        <v>0.54375000165568443</v>
      </c>
      <c r="AA60" s="391">
        <f t="shared" ca="1" si="101"/>
        <v>0</v>
      </c>
      <c r="AB60" s="392" t="str">
        <f ca="1">IF(AA60&lt;&gt;0,вПМ(AA60,Z60),"")</f>
        <v/>
      </c>
      <c r="AC60" s="391">
        <f ca="1">IF(AA60&lt;&gt;0,вРазн(AA60,Z60), 0)</f>
        <v>0</v>
      </c>
      <c r="AD60" s="393">
        <f t="shared" ca="1" si="102"/>
        <v>900</v>
      </c>
      <c r="AE60" s="394">
        <f t="shared" ca="1" si="21"/>
        <v>2.43055559694767E-2</v>
      </c>
      <c r="AF60" s="391"/>
      <c r="AG60" s="395">
        <f t="shared" ca="1" si="103"/>
        <v>0</v>
      </c>
      <c r="AH60" s="390">
        <f t="shared" ca="1" si="104"/>
        <v>0.56805555762516113</v>
      </c>
      <c r="AI60" s="391">
        <f t="shared" ca="1" si="105"/>
        <v>0</v>
      </c>
      <c r="AJ60" s="392" t="str">
        <f ca="1">IF(AI60&lt;&gt;0,вПМ(AI60,AH60),"")</f>
        <v/>
      </c>
      <c r="AK60" s="391">
        <f ca="1">IF(AI60&lt;&gt;0,вРазн(AI60,AH60), 0)</f>
        <v>0</v>
      </c>
      <c r="AL60" s="393">
        <f t="shared" ca="1" si="106"/>
        <v>900</v>
      </c>
      <c r="AM60" s="394">
        <f t="shared" ca="1" si="26"/>
        <v>2.43055559694767E-2</v>
      </c>
      <c r="AN60" s="391"/>
      <c r="AO60" s="395">
        <f t="shared" ca="1" si="107"/>
        <v>0</v>
      </c>
      <c r="AP60" s="390">
        <f t="shared" ca="1" si="108"/>
        <v>0.59236111359463783</v>
      </c>
      <c r="AQ60" s="391">
        <f t="shared" ca="1" si="109"/>
        <v>0</v>
      </c>
      <c r="AR60" s="392" t="str">
        <f ca="1">IF(AQ60&lt;&gt;0,вПМ(AQ60,AP60),"")</f>
        <v/>
      </c>
      <c r="AS60" s="391">
        <f ca="1">IF(AQ60&lt;&gt;0,вРазн(AQ60,AP60), 0)</f>
        <v>0</v>
      </c>
      <c r="AT60" s="393">
        <f t="shared" ca="1" si="110"/>
        <v>900</v>
      </c>
      <c r="AU60" s="394">
        <f t="shared" ca="1" si="31"/>
        <v>3.125E-2</v>
      </c>
      <c r="AV60" s="391"/>
      <c r="AW60" s="395">
        <f t="shared" ca="1" si="111"/>
        <v>0</v>
      </c>
      <c r="AX60" s="390">
        <f t="shared" ca="1" si="112"/>
        <v>0.62361111359463783</v>
      </c>
      <c r="AY60" s="391">
        <f t="shared" ca="1" si="113"/>
        <v>0</v>
      </c>
      <c r="AZ60" s="392" t="str">
        <f ca="1">IF(AY60&lt;&gt;0,вПМ(AY60,AX60),"")</f>
        <v/>
      </c>
      <c r="BA60" s="391">
        <f ca="1">IF(AY60&lt;&gt;0,вРазн(AY60,AX60), 0)</f>
        <v>0</v>
      </c>
      <c r="BB60" s="393">
        <f t="shared" ca="1" si="114"/>
        <v>900</v>
      </c>
      <c r="BC60" s="394">
        <f t="shared" ca="1" si="36"/>
        <v>4.1666667908430099E-2</v>
      </c>
      <c r="BD60" s="391"/>
      <c r="BE60" s="395">
        <f t="shared" ca="1" si="115"/>
        <v>0</v>
      </c>
      <c r="BF60" s="390">
        <f t="shared" ca="1" si="116"/>
        <v>0.66527778150306793</v>
      </c>
      <c r="BG60" s="391">
        <f t="shared" ca="1" si="117"/>
        <v>0</v>
      </c>
      <c r="BH60" s="392" t="str">
        <f ca="1">IF(BG60&lt;&gt;0,вПМ(BG60,BF60),"")</f>
        <v/>
      </c>
      <c r="BI60" s="391">
        <f ca="1">IF(BG60&lt;&gt;0,вРазн(BG60,BF60), 0)</f>
        <v>0</v>
      </c>
      <c r="BJ60" s="393">
        <f t="shared" ca="1" si="118"/>
        <v>900</v>
      </c>
      <c r="BK60" s="394">
        <f t="shared" ca="1" si="41"/>
        <v>2.777777798473835E-2</v>
      </c>
      <c r="BL60" s="391"/>
      <c r="BM60" s="395">
        <f t="shared" ca="1" si="119"/>
        <v>0</v>
      </c>
      <c r="BN60" s="390">
        <f t="shared" ca="1" si="120"/>
        <v>0.69305555948780628</v>
      </c>
      <c r="BO60" s="391">
        <f t="shared" ca="1" si="121"/>
        <v>0</v>
      </c>
      <c r="BP60" s="392" t="str">
        <f ca="1">IF(BO60&lt;&gt;0,вПМ(BO60,BN60),"")</f>
        <v/>
      </c>
      <c r="BQ60" s="391">
        <f ca="1">IF(BO60&lt;&gt;0,вРазн(BO60,BN60), 0)</f>
        <v>0</v>
      </c>
      <c r="BR60" s="396" t="str">
        <f t="shared" ca="1" si="122"/>
        <v>DNF</v>
      </c>
      <c r="BS60" s="390">
        <f t="shared" ca="1" si="46"/>
        <v>0</v>
      </c>
      <c r="BT60" s="391">
        <f t="shared" ca="1" si="123"/>
        <v>0</v>
      </c>
      <c r="BU60" s="391">
        <f t="shared" ca="1" si="124"/>
        <v>0</v>
      </c>
      <c r="BV60" s="401">
        <f t="shared" ca="1" si="125"/>
        <v>0</v>
      </c>
      <c r="BW60" s="401">
        <f t="shared" ca="1" si="126"/>
        <v>0</v>
      </c>
      <c r="BX60" s="392">
        <f t="shared" ca="1" si="127"/>
        <v>0</v>
      </c>
      <c r="BY60" s="392">
        <f t="shared" ca="1" si="128"/>
        <v>0</v>
      </c>
      <c r="BZ60" s="392">
        <f t="shared" ca="1" si="129"/>
        <v>0</v>
      </c>
      <c r="CA60" s="462">
        <f t="shared" ca="1" si="130"/>
        <v>900</v>
      </c>
      <c r="CB60" s="390">
        <f t="shared" ca="1" si="52"/>
        <v>0</v>
      </c>
      <c r="CC60" s="391">
        <f t="shared" ca="1" si="131"/>
        <v>0</v>
      </c>
      <c r="CD60" s="391">
        <f ca="1">IF(OR(CB60=0,CC60=0),0,вРазн(CC60,CB60))</f>
        <v>0</v>
      </c>
      <c r="CE60" s="391"/>
      <c r="CF60" s="391"/>
      <c r="CG60" s="397">
        <f t="shared" ca="1" si="132"/>
        <v>0</v>
      </c>
      <c r="CH60" s="398">
        <f t="shared" ca="1" si="54"/>
        <v>0</v>
      </c>
      <c r="CI60" s="399" t="str">
        <f ca="1">IF(CH60&lt;&gt;0,вПМ(CH60,CG60,"s"),"")</f>
        <v/>
      </c>
      <c r="CJ60" s="398">
        <f ca="1">IF(CH60&lt;&gt;0,вРазн(CH60,CG60,"s"), 0)</f>
        <v>0</v>
      </c>
      <c r="CK60" s="462">
        <f t="shared" ca="1" si="133"/>
        <v>1800</v>
      </c>
      <c r="CL60" s="397">
        <f t="shared" ca="1" si="134"/>
        <v>0</v>
      </c>
      <c r="CM60" s="398">
        <f t="shared" ca="1" si="57"/>
        <v>0</v>
      </c>
      <c r="CN60" s="392" t="str">
        <f ca="1">IF(AND(CM60&lt;&gt;0,CL60&lt;&gt;0),вПМ(CM60,CL60,"s"),"")</f>
        <v/>
      </c>
      <c r="CO60" s="398">
        <f ca="1">IF(AND(CM60&lt;&gt;0,CL60&lt;&gt;0),вРазн(CM60,CL60,"s"), 0)</f>
        <v>0</v>
      </c>
      <c r="CP60" s="462">
        <f t="shared" ca="1" si="135"/>
        <v>0</v>
      </c>
      <c r="CQ60" s="390">
        <f t="shared" ca="1" si="59"/>
        <v>0</v>
      </c>
      <c r="CR60" s="391">
        <f t="shared" ca="1" si="136"/>
        <v>0</v>
      </c>
      <c r="CS60" s="391">
        <f ca="1">IF(OR(CQ60=0,CR60=0),0,вРазн(CR60,CQ60))</f>
        <v>0</v>
      </c>
      <c r="CT60" s="391"/>
      <c r="CU60" s="391"/>
      <c r="CV60" s="397">
        <f t="shared" ca="1" si="137"/>
        <v>0</v>
      </c>
      <c r="CW60" s="398">
        <f t="shared" ca="1" si="61"/>
        <v>0</v>
      </c>
      <c r="CX60" s="399" t="str">
        <f ca="1">IF(CW60&lt;&gt;0,вПМ(CW60,CV60,"s"),"")</f>
        <v/>
      </c>
      <c r="CY60" s="398">
        <f ca="1">IF(CW60&lt;&gt;0,вРазн(CW60,CV60,"s"), 0)</f>
        <v>0</v>
      </c>
      <c r="CZ60" s="462">
        <f t="shared" ca="1" si="138"/>
        <v>1800</v>
      </c>
      <c r="DA60" s="397">
        <f t="shared" ca="1" si="139"/>
        <v>0</v>
      </c>
      <c r="DB60" s="398">
        <f t="shared" ca="1" si="64"/>
        <v>0</v>
      </c>
      <c r="DC60" s="392" t="str">
        <f ca="1">IF(AND(DB60&lt;&gt;0,DA60&lt;&gt;0),вПМ(DB60,DA60,"s"),"")</f>
        <v/>
      </c>
      <c r="DD60" s="398">
        <f ca="1">IF(AND(DB60&lt;&gt;0,DA60&lt;&gt;0),вРазн(DB60,DA60,"s"), 0)</f>
        <v>0</v>
      </c>
      <c r="DE60" s="462">
        <f t="shared" ca="1" si="140"/>
        <v>0</v>
      </c>
      <c r="DF60" s="390">
        <f t="shared" ca="1" si="66"/>
        <v>0</v>
      </c>
      <c r="DG60" s="391">
        <f t="shared" ca="1" si="141"/>
        <v>0</v>
      </c>
      <c r="DH60" s="391">
        <f t="shared" ca="1" si="142"/>
        <v>0</v>
      </c>
      <c r="DI60" s="401">
        <f t="shared" ca="1" si="143"/>
        <v>0</v>
      </c>
      <c r="DJ60" s="401">
        <f t="shared" ca="1" si="144"/>
        <v>0</v>
      </c>
      <c r="DK60" s="392">
        <f t="shared" ca="1" si="145"/>
        <v>0</v>
      </c>
      <c r="DL60" s="392">
        <f t="shared" ca="1" si="146"/>
        <v>0</v>
      </c>
      <c r="DM60" s="392">
        <f t="shared" ca="1" si="147"/>
        <v>0</v>
      </c>
      <c r="DN60" s="462">
        <f t="shared" ca="1" si="148"/>
        <v>900</v>
      </c>
      <c r="DO60" s="402">
        <f t="shared" ca="1" si="72"/>
        <v>0</v>
      </c>
      <c r="DP60" s="400">
        <f t="shared" ca="1" si="149"/>
        <v>0</v>
      </c>
      <c r="DQ60" s="402">
        <f t="shared" ca="1" si="72"/>
        <v>0</v>
      </c>
      <c r="DR60" s="400">
        <f t="shared" ca="1" si="150"/>
        <v>0</v>
      </c>
      <c r="DS60" s="390">
        <f t="shared" ca="1" si="164"/>
        <v>0</v>
      </c>
      <c r="DT60" s="396">
        <f t="shared" ca="1" si="151"/>
        <v>900</v>
      </c>
      <c r="DU60" s="390">
        <f t="shared" ca="1" si="164"/>
        <v>0</v>
      </c>
      <c r="DV60" s="396">
        <f t="shared" ca="1" si="152"/>
        <v>900</v>
      </c>
      <c r="DW60" s="459"/>
      <c r="DX60" s="459"/>
      <c r="DY60" s="459"/>
      <c r="DZ60" s="459"/>
      <c r="EA60" s="459"/>
      <c r="EB60" s="459"/>
      <c r="EC60" s="459"/>
      <c r="ED60" s="459"/>
      <c r="EE60" s="459"/>
      <c r="EF60" s="459"/>
      <c r="EG60" s="459"/>
      <c r="EH60" s="459"/>
      <c r="EI60" s="459"/>
      <c r="EJ60" s="459"/>
      <c r="EK60" s="459"/>
      <c r="EL60" s="459"/>
      <c r="EM60" s="459"/>
      <c r="EN60" s="459"/>
      <c r="EO60" s="459"/>
      <c r="EP60" s="459"/>
      <c r="EQ60" s="459"/>
      <c r="ER60" s="459"/>
      <c r="ES60" s="459"/>
      <c r="ET60" s="459"/>
      <c r="EU60" s="390" t="e">
        <f t="shared" ca="1" si="153"/>
        <v>#VALUE!</v>
      </c>
      <c r="EV60" s="391">
        <f t="shared" ca="1" si="154"/>
        <v>0</v>
      </c>
      <c r="EW60" s="392" t="e">
        <f ca="1">IF(AND(EV60&lt;&gt;0,EU60&lt;&gt;0),вПМ(EV60,EU60),"")</f>
        <v>#VALUE!</v>
      </c>
      <c r="EX60" s="391">
        <f ca="1">IF(EV60&lt;&gt;0,вРазн(EV60,EU60), 0)</f>
        <v>0</v>
      </c>
      <c r="EY60" s="396">
        <f t="shared" ca="1" si="155"/>
        <v>900</v>
      </c>
      <c r="EZ60" s="390">
        <f t="shared" ca="1" si="81"/>
        <v>0</v>
      </c>
      <c r="FA60" s="391">
        <f t="shared" ca="1" si="156"/>
        <v>0</v>
      </c>
      <c r="FB60" s="391">
        <f t="shared" ca="1" si="157"/>
        <v>0</v>
      </c>
      <c r="FC60" s="401">
        <f t="shared" ca="1" si="158"/>
        <v>0</v>
      </c>
      <c r="FD60" s="401">
        <f t="shared" ca="1" si="159"/>
        <v>0</v>
      </c>
      <c r="FE60" s="401">
        <f t="shared" ca="1" si="160"/>
        <v>0</v>
      </c>
      <c r="FF60" s="392">
        <f t="shared" ca="1" si="161"/>
        <v>0</v>
      </c>
      <c r="FG60" s="392">
        <f t="shared" ca="1" si="162"/>
        <v>0</v>
      </c>
      <c r="FH60" s="462">
        <f t="shared" ca="1" si="163"/>
        <v>1800</v>
      </c>
      <c r="FI60" s="403"/>
    </row>
    <row r="61" spans="1:165" s="20" customFormat="1" x14ac:dyDescent="0.25">
      <c r="A61" s="253" t="str">
        <f>стартоваяВедомость!B61</f>
        <v/>
      </c>
      <c r="B61" s="241">
        <f t="shared" ca="1" si="1"/>
        <v>0</v>
      </c>
      <c r="C61" s="241">
        <f t="shared" ca="1" si="2"/>
        <v>0</v>
      </c>
      <c r="D61" s="241">
        <f t="shared" ca="1" si="3"/>
        <v>0</v>
      </c>
      <c r="E61" s="241">
        <f t="shared" ca="1" si="4"/>
        <v>0</v>
      </c>
      <c r="F61" s="241">
        <f t="shared" ca="1" si="5"/>
        <v>0</v>
      </c>
      <c r="G61" s="487" t="str">
        <f t="shared" si="90"/>
        <v/>
      </c>
      <c r="H61" s="487" t="str">
        <f t="shared" ca="1" si="91"/>
        <v>DNS</v>
      </c>
      <c r="I61" s="487">
        <f t="shared" ca="1" si="92"/>
        <v>5400</v>
      </c>
      <c r="J61" s="487">
        <f t="shared" ca="1" si="93"/>
        <v>0</v>
      </c>
      <c r="K61" s="242">
        <f t="shared" ca="1" si="9"/>
        <v>0.44652777777777769</v>
      </c>
      <c r="L61" s="122">
        <f t="shared" ca="1" si="94"/>
        <v>0</v>
      </c>
      <c r="M61" s="243" t="str">
        <f ca="1">IF(L61&lt;&gt;0,вПМ(L61,K61),"")</f>
        <v/>
      </c>
      <c r="N61" s="122">
        <f ca="1">IF(L61&lt;&gt;0,вРазн(L61,K61), 0)</f>
        <v>0</v>
      </c>
      <c r="O61" s="301" t="str">
        <f t="shared" ca="1" si="95"/>
        <v>DNS</v>
      </c>
      <c r="P61" s="300">
        <f t="shared" ca="1" si="12"/>
        <v>4.86111119389534E-2</v>
      </c>
      <c r="Q61" s="294"/>
      <c r="R61" s="242">
        <f t="shared" ca="1" si="96"/>
        <v>0.49513888971673109</v>
      </c>
      <c r="S61" s="122">
        <f t="shared" ca="1" si="97"/>
        <v>0</v>
      </c>
      <c r="T61" s="243" t="str">
        <f ca="1">IF(S61&lt;&gt;0,вПМ(S61,R61),"")</f>
        <v/>
      </c>
      <c r="U61" s="122">
        <f ca="1">IF(S61&lt;&gt;0,вРазн(S61,R61), 0)</f>
        <v>0</v>
      </c>
      <c r="V61" s="301">
        <f t="shared" ca="1" si="98"/>
        <v>900</v>
      </c>
      <c r="W61" s="300">
        <f t="shared" ca="1" si="16"/>
        <v>4.86111119389534E-2</v>
      </c>
      <c r="X61" s="122"/>
      <c r="Y61" s="294">
        <f t="shared" ca="1" si="99"/>
        <v>0</v>
      </c>
      <c r="Z61" s="242">
        <f t="shared" ca="1" si="100"/>
        <v>0.54375000165568443</v>
      </c>
      <c r="AA61" s="122">
        <f t="shared" ca="1" si="101"/>
        <v>0</v>
      </c>
      <c r="AB61" s="243" t="str">
        <f ca="1">IF(AA61&lt;&gt;0,вПМ(AA61,Z61),"")</f>
        <v/>
      </c>
      <c r="AC61" s="122">
        <f ca="1">IF(AA61&lt;&gt;0,вРазн(AA61,Z61), 0)</f>
        <v>0</v>
      </c>
      <c r="AD61" s="301">
        <f t="shared" ca="1" si="102"/>
        <v>900</v>
      </c>
      <c r="AE61" s="300">
        <f t="shared" ca="1" si="21"/>
        <v>2.43055559694767E-2</v>
      </c>
      <c r="AF61" s="122"/>
      <c r="AG61" s="294">
        <f t="shared" ca="1" si="103"/>
        <v>0</v>
      </c>
      <c r="AH61" s="242">
        <f t="shared" ca="1" si="104"/>
        <v>0.56805555762516113</v>
      </c>
      <c r="AI61" s="122">
        <f t="shared" ca="1" si="105"/>
        <v>0</v>
      </c>
      <c r="AJ61" s="243" t="str">
        <f ca="1">IF(AI61&lt;&gt;0,вПМ(AI61,AH61),"")</f>
        <v/>
      </c>
      <c r="AK61" s="122">
        <f ca="1">IF(AI61&lt;&gt;0,вРазн(AI61,AH61), 0)</f>
        <v>0</v>
      </c>
      <c r="AL61" s="301">
        <f t="shared" ca="1" si="106"/>
        <v>900</v>
      </c>
      <c r="AM61" s="300">
        <f t="shared" ca="1" si="26"/>
        <v>2.43055559694767E-2</v>
      </c>
      <c r="AN61" s="122"/>
      <c r="AO61" s="294">
        <f t="shared" ca="1" si="107"/>
        <v>0</v>
      </c>
      <c r="AP61" s="242">
        <f t="shared" ca="1" si="108"/>
        <v>0.59236111359463783</v>
      </c>
      <c r="AQ61" s="122">
        <f t="shared" ca="1" si="109"/>
        <v>0</v>
      </c>
      <c r="AR61" s="243" t="str">
        <f ca="1">IF(AQ61&lt;&gt;0,вПМ(AQ61,AP61),"")</f>
        <v/>
      </c>
      <c r="AS61" s="122">
        <f ca="1">IF(AQ61&lt;&gt;0,вРазн(AQ61,AP61), 0)</f>
        <v>0</v>
      </c>
      <c r="AT61" s="301">
        <f t="shared" ca="1" si="110"/>
        <v>900</v>
      </c>
      <c r="AU61" s="300">
        <f t="shared" ca="1" si="31"/>
        <v>3.125E-2</v>
      </c>
      <c r="AV61" s="122"/>
      <c r="AW61" s="294">
        <f t="shared" ca="1" si="111"/>
        <v>0</v>
      </c>
      <c r="AX61" s="242">
        <f t="shared" ca="1" si="112"/>
        <v>0.62361111359463783</v>
      </c>
      <c r="AY61" s="122">
        <f t="shared" ca="1" si="113"/>
        <v>0</v>
      </c>
      <c r="AZ61" s="243" t="str">
        <f ca="1">IF(AY61&lt;&gt;0,вПМ(AY61,AX61),"")</f>
        <v/>
      </c>
      <c r="BA61" s="122">
        <f ca="1">IF(AY61&lt;&gt;0,вРазн(AY61,AX61), 0)</f>
        <v>0</v>
      </c>
      <c r="BB61" s="301">
        <f t="shared" ca="1" si="114"/>
        <v>900</v>
      </c>
      <c r="BC61" s="300">
        <f t="shared" ca="1" si="36"/>
        <v>4.1666667908430099E-2</v>
      </c>
      <c r="BD61" s="122"/>
      <c r="BE61" s="294">
        <f t="shared" ca="1" si="115"/>
        <v>0</v>
      </c>
      <c r="BF61" s="242">
        <f t="shared" ca="1" si="116"/>
        <v>0.66527778150306793</v>
      </c>
      <c r="BG61" s="122">
        <f t="shared" ca="1" si="117"/>
        <v>0</v>
      </c>
      <c r="BH61" s="243" t="str">
        <f ca="1">IF(BG61&lt;&gt;0,вПМ(BG61,BF61),"")</f>
        <v/>
      </c>
      <c r="BI61" s="122">
        <f ca="1">IF(BG61&lt;&gt;0,вРазн(BG61,BF61), 0)</f>
        <v>0</v>
      </c>
      <c r="BJ61" s="301">
        <f t="shared" ca="1" si="118"/>
        <v>900</v>
      </c>
      <c r="BK61" s="300">
        <f t="shared" ca="1" si="41"/>
        <v>2.777777798473835E-2</v>
      </c>
      <c r="BL61" s="122"/>
      <c r="BM61" s="294">
        <f t="shared" ca="1" si="119"/>
        <v>0</v>
      </c>
      <c r="BN61" s="242">
        <f t="shared" ca="1" si="120"/>
        <v>0.69305555948780628</v>
      </c>
      <c r="BO61" s="122">
        <f t="shared" ca="1" si="121"/>
        <v>0</v>
      </c>
      <c r="BP61" s="243" t="str">
        <f ca="1">IF(BO61&lt;&gt;0,вПМ(BO61,BN61),"")</f>
        <v/>
      </c>
      <c r="BQ61" s="122">
        <f ca="1">IF(BO61&lt;&gt;0,вРазн(BO61,BN61), 0)</f>
        <v>0</v>
      </c>
      <c r="BR61" s="244" t="str">
        <f t="shared" ca="1" si="122"/>
        <v>DNF</v>
      </c>
      <c r="BS61" s="242">
        <f t="shared" ca="1" si="46"/>
        <v>0</v>
      </c>
      <c r="BT61" s="122">
        <f t="shared" ca="1" si="123"/>
        <v>0</v>
      </c>
      <c r="BU61" s="122">
        <f t="shared" ca="1" si="124"/>
        <v>0</v>
      </c>
      <c r="BV61" s="248">
        <f t="shared" ca="1" si="125"/>
        <v>0</v>
      </c>
      <c r="BW61" s="248">
        <f t="shared" ca="1" si="126"/>
        <v>0</v>
      </c>
      <c r="BX61" s="243">
        <f t="shared" ca="1" si="127"/>
        <v>0</v>
      </c>
      <c r="BY61" s="243">
        <f t="shared" ca="1" si="128"/>
        <v>0</v>
      </c>
      <c r="BZ61" s="243">
        <f t="shared" ca="1" si="129"/>
        <v>0</v>
      </c>
      <c r="CA61" s="463">
        <f t="shared" ca="1" si="130"/>
        <v>900</v>
      </c>
      <c r="CB61" s="242">
        <f t="shared" ca="1" si="52"/>
        <v>0</v>
      </c>
      <c r="CC61" s="122">
        <f t="shared" ca="1" si="131"/>
        <v>0</v>
      </c>
      <c r="CD61" s="122">
        <f ca="1">IF(OR(CB61=0,CC61=0),0,вРазн(CC61,CB61))</f>
        <v>0</v>
      </c>
      <c r="CE61" s="122"/>
      <c r="CF61" s="122"/>
      <c r="CG61" s="247">
        <f t="shared" ca="1" si="132"/>
        <v>0</v>
      </c>
      <c r="CH61" s="245">
        <f t="shared" ca="1" si="54"/>
        <v>0</v>
      </c>
      <c r="CI61" s="240" t="str">
        <f ca="1">IF(CH61&lt;&gt;0,вПМ(CH61,CG61,"s"),"")</f>
        <v/>
      </c>
      <c r="CJ61" s="245">
        <f ca="1">IF(CH61&lt;&gt;0,вРазн(CH61,CG61,"s"), 0)</f>
        <v>0</v>
      </c>
      <c r="CK61" s="463">
        <f t="shared" ca="1" si="133"/>
        <v>1800</v>
      </c>
      <c r="CL61" s="247">
        <f t="shared" ca="1" si="134"/>
        <v>0</v>
      </c>
      <c r="CM61" s="245">
        <f t="shared" ca="1" si="57"/>
        <v>0</v>
      </c>
      <c r="CN61" s="243" t="str">
        <f ca="1">IF(AND(CM61&lt;&gt;0,CL61&lt;&gt;0),вПМ(CM61,CL61,"s"),"")</f>
        <v/>
      </c>
      <c r="CO61" s="245">
        <f ca="1">IF(AND(CM61&lt;&gt;0,CL61&lt;&gt;0),вРазн(CM61,CL61,"s"), 0)</f>
        <v>0</v>
      </c>
      <c r="CP61" s="463">
        <f t="shared" ca="1" si="135"/>
        <v>0</v>
      </c>
      <c r="CQ61" s="242">
        <f t="shared" ca="1" si="59"/>
        <v>0</v>
      </c>
      <c r="CR61" s="122">
        <f t="shared" ca="1" si="136"/>
        <v>0</v>
      </c>
      <c r="CS61" s="122">
        <f ca="1">IF(OR(CQ61=0,CR61=0),0,вРазн(CR61,CQ61))</f>
        <v>0</v>
      </c>
      <c r="CT61" s="122"/>
      <c r="CU61" s="122"/>
      <c r="CV61" s="247">
        <f t="shared" ca="1" si="137"/>
        <v>0</v>
      </c>
      <c r="CW61" s="245">
        <f t="shared" ca="1" si="61"/>
        <v>0</v>
      </c>
      <c r="CX61" s="240" t="str">
        <f ca="1">IF(CW61&lt;&gt;0,вПМ(CW61,CV61,"s"),"")</f>
        <v/>
      </c>
      <c r="CY61" s="245">
        <f ca="1">IF(CW61&lt;&gt;0,вРазн(CW61,CV61,"s"), 0)</f>
        <v>0</v>
      </c>
      <c r="CZ61" s="463">
        <f t="shared" ca="1" si="138"/>
        <v>1800</v>
      </c>
      <c r="DA61" s="247">
        <f t="shared" ca="1" si="139"/>
        <v>0</v>
      </c>
      <c r="DB61" s="245">
        <f t="shared" ca="1" si="64"/>
        <v>0</v>
      </c>
      <c r="DC61" s="243" t="str">
        <f ca="1">IF(AND(DB61&lt;&gt;0,DA61&lt;&gt;0),вПМ(DB61,DA61,"s"),"")</f>
        <v/>
      </c>
      <c r="DD61" s="245">
        <f ca="1">IF(AND(DB61&lt;&gt;0,DA61&lt;&gt;0),вРазн(DB61,DA61,"s"), 0)</f>
        <v>0</v>
      </c>
      <c r="DE61" s="463">
        <f t="shared" ca="1" si="140"/>
        <v>0</v>
      </c>
      <c r="DF61" s="242">
        <f t="shared" ca="1" si="66"/>
        <v>0</v>
      </c>
      <c r="DG61" s="122">
        <f t="shared" ca="1" si="141"/>
        <v>0</v>
      </c>
      <c r="DH61" s="122">
        <f t="shared" ca="1" si="142"/>
        <v>0</v>
      </c>
      <c r="DI61" s="248">
        <f t="shared" ca="1" si="143"/>
        <v>0</v>
      </c>
      <c r="DJ61" s="248">
        <f t="shared" ca="1" si="144"/>
        <v>0</v>
      </c>
      <c r="DK61" s="243">
        <f t="shared" ca="1" si="145"/>
        <v>0</v>
      </c>
      <c r="DL61" s="243">
        <f t="shared" ca="1" si="146"/>
        <v>0</v>
      </c>
      <c r="DM61" s="243">
        <f t="shared" ca="1" si="147"/>
        <v>0</v>
      </c>
      <c r="DN61" s="463">
        <f t="shared" ca="1" si="148"/>
        <v>900</v>
      </c>
      <c r="DO61" s="249">
        <f t="shared" ca="1" si="72"/>
        <v>0</v>
      </c>
      <c r="DP61" s="246">
        <f t="shared" ca="1" si="149"/>
        <v>0</v>
      </c>
      <c r="DQ61" s="249">
        <f t="shared" ca="1" si="72"/>
        <v>0</v>
      </c>
      <c r="DR61" s="246">
        <f t="shared" ca="1" si="150"/>
        <v>0</v>
      </c>
      <c r="DS61" s="242">
        <f t="shared" ca="1" si="164"/>
        <v>0</v>
      </c>
      <c r="DT61" s="244">
        <f t="shared" ca="1" si="151"/>
        <v>900</v>
      </c>
      <c r="DU61" s="242">
        <f t="shared" ca="1" si="164"/>
        <v>0</v>
      </c>
      <c r="DV61" s="244">
        <f t="shared" ca="1" si="152"/>
        <v>900</v>
      </c>
      <c r="DW61" s="459"/>
      <c r="DX61" s="459"/>
      <c r="DY61" s="459"/>
      <c r="DZ61" s="459"/>
      <c r="EA61" s="459"/>
      <c r="EB61" s="459"/>
      <c r="EC61" s="459"/>
      <c r="ED61" s="459"/>
      <c r="EE61" s="459"/>
      <c r="EF61" s="459"/>
      <c r="EG61" s="459"/>
      <c r="EH61" s="459"/>
      <c r="EI61" s="459"/>
      <c r="EJ61" s="459"/>
      <c r="EK61" s="459"/>
      <c r="EL61" s="459"/>
      <c r="EM61" s="459"/>
      <c r="EN61" s="459"/>
      <c r="EO61" s="459"/>
      <c r="EP61" s="459"/>
      <c r="EQ61" s="459"/>
      <c r="ER61" s="459"/>
      <c r="ES61" s="459"/>
      <c r="ET61" s="459"/>
      <c r="EU61" s="242" t="e">
        <f t="shared" ca="1" si="153"/>
        <v>#VALUE!</v>
      </c>
      <c r="EV61" s="122">
        <f t="shared" ca="1" si="154"/>
        <v>0</v>
      </c>
      <c r="EW61" s="243" t="e">
        <f ca="1">IF(AND(EV61&lt;&gt;0,EU61&lt;&gt;0),вПМ(EV61,EU61),"")</f>
        <v>#VALUE!</v>
      </c>
      <c r="EX61" s="122">
        <f ca="1">IF(EV61&lt;&gt;0,вРазн(EV61,EU61), 0)</f>
        <v>0</v>
      </c>
      <c r="EY61" s="244">
        <f t="shared" ca="1" si="155"/>
        <v>900</v>
      </c>
      <c r="EZ61" s="242">
        <f t="shared" ca="1" si="81"/>
        <v>0</v>
      </c>
      <c r="FA61" s="122">
        <f t="shared" ca="1" si="156"/>
        <v>0</v>
      </c>
      <c r="FB61" s="122">
        <f t="shared" ca="1" si="157"/>
        <v>0</v>
      </c>
      <c r="FC61" s="248">
        <f t="shared" ca="1" si="158"/>
        <v>0</v>
      </c>
      <c r="FD61" s="248">
        <f t="shared" ca="1" si="159"/>
        <v>0</v>
      </c>
      <c r="FE61" s="248">
        <f t="shared" ca="1" si="160"/>
        <v>0</v>
      </c>
      <c r="FF61" s="243">
        <f t="shared" ca="1" si="161"/>
        <v>0</v>
      </c>
      <c r="FG61" s="243">
        <f t="shared" ca="1" si="162"/>
        <v>0</v>
      </c>
      <c r="FH61" s="463">
        <f t="shared" ca="1" si="163"/>
        <v>1800</v>
      </c>
    </row>
    <row r="62" spans="1:165" s="236" customFormat="1" x14ac:dyDescent="0.25">
      <c r="A62" s="388" t="str">
        <f>стартоваяВедомость!B62</f>
        <v/>
      </c>
      <c r="B62" s="389">
        <f t="shared" ca="1" si="1"/>
        <v>0</v>
      </c>
      <c r="C62" s="389">
        <f t="shared" ca="1" si="2"/>
        <v>0</v>
      </c>
      <c r="D62" s="389">
        <f t="shared" ca="1" si="3"/>
        <v>0</v>
      </c>
      <c r="E62" s="389">
        <f t="shared" ca="1" si="4"/>
        <v>0</v>
      </c>
      <c r="F62" s="389">
        <f t="shared" ca="1" si="5"/>
        <v>0</v>
      </c>
      <c r="G62" s="486" t="str">
        <f t="shared" si="90"/>
        <v/>
      </c>
      <c r="H62" s="486" t="str">
        <f t="shared" ca="1" si="91"/>
        <v>DNS</v>
      </c>
      <c r="I62" s="486">
        <f t="shared" ca="1" si="92"/>
        <v>5400</v>
      </c>
      <c r="J62" s="486">
        <f t="shared" ca="1" si="93"/>
        <v>0</v>
      </c>
      <c r="K62" s="390">
        <f t="shared" ca="1" si="9"/>
        <v>0.44652777777777769</v>
      </c>
      <c r="L62" s="391">
        <f t="shared" ca="1" si="94"/>
        <v>0</v>
      </c>
      <c r="M62" s="392" t="str">
        <f ca="1">IF(L62&lt;&gt;0,вПМ(L62,K62),"")</f>
        <v/>
      </c>
      <c r="N62" s="391">
        <f ca="1">IF(L62&lt;&gt;0,вРазн(L62,K62), 0)</f>
        <v>0</v>
      </c>
      <c r="O62" s="393" t="str">
        <f t="shared" ca="1" si="95"/>
        <v>DNS</v>
      </c>
      <c r="P62" s="394">
        <f t="shared" ca="1" si="12"/>
        <v>4.86111119389534E-2</v>
      </c>
      <c r="Q62" s="395"/>
      <c r="R62" s="390">
        <f t="shared" ca="1" si="96"/>
        <v>0.49513888971673109</v>
      </c>
      <c r="S62" s="391">
        <f t="shared" ca="1" si="97"/>
        <v>0</v>
      </c>
      <c r="T62" s="392" t="str">
        <f ca="1">IF(S62&lt;&gt;0,вПМ(S62,R62),"")</f>
        <v/>
      </c>
      <c r="U62" s="391">
        <f ca="1">IF(S62&lt;&gt;0,вРазн(S62,R62), 0)</f>
        <v>0</v>
      </c>
      <c r="V62" s="393">
        <f t="shared" ca="1" si="98"/>
        <v>900</v>
      </c>
      <c r="W62" s="394">
        <f t="shared" ca="1" si="16"/>
        <v>4.86111119389534E-2</v>
      </c>
      <c r="X62" s="391"/>
      <c r="Y62" s="395">
        <f t="shared" ca="1" si="99"/>
        <v>0</v>
      </c>
      <c r="Z62" s="390">
        <f t="shared" ca="1" si="100"/>
        <v>0.54375000165568443</v>
      </c>
      <c r="AA62" s="391">
        <f t="shared" ca="1" si="101"/>
        <v>0</v>
      </c>
      <c r="AB62" s="392" t="str">
        <f ca="1">IF(AA62&lt;&gt;0,вПМ(AA62,Z62),"")</f>
        <v/>
      </c>
      <c r="AC62" s="391">
        <f ca="1">IF(AA62&lt;&gt;0,вРазн(AA62,Z62), 0)</f>
        <v>0</v>
      </c>
      <c r="AD62" s="393">
        <f t="shared" ca="1" si="102"/>
        <v>900</v>
      </c>
      <c r="AE62" s="394">
        <f t="shared" ca="1" si="21"/>
        <v>2.43055559694767E-2</v>
      </c>
      <c r="AF62" s="391"/>
      <c r="AG62" s="395">
        <f t="shared" ca="1" si="103"/>
        <v>0</v>
      </c>
      <c r="AH62" s="390">
        <f t="shared" ca="1" si="104"/>
        <v>0.56805555762516113</v>
      </c>
      <c r="AI62" s="391">
        <f t="shared" ca="1" si="105"/>
        <v>0</v>
      </c>
      <c r="AJ62" s="392" t="str">
        <f ca="1">IF(AI62&lt;&gt;0,вПМ(AI62,AH62),"")</f>
        <v/>
      </c>
      <c r="AK62" s="391">
        <f ca="1">IF(AI62&lt;&gt;0,вРазн(AI62,AH62), 0)</f>
        <v>0</v>
      </c>
      <c r="AL62" s="393">
        <f t="shared" ca="1" si="106"/>
        <v>900</v>
      </c>
      <c r="AM62" s="394">
        <f t="shared" ca="1" si="26"/>
        <v>2.43055559694767E-2</v>
      </c>
      <c r="AN62" s="391"/>
      <c r="AO62" s="395">
        <f t="shared" ca="1" si="107"/>
        <v>0</v>
      </c>
      <c r="AP62" s="390">
        <f t="shared" ca="1" si="108"/>
        <v>0.59236111359463783</v>
      </c>
      <c r="AQ62" s="391">
        <f t="shared" ca="1" si="109"/>
        <v>0</v>
      </c>
      <c r="AR62" s="392" t="str">
        <f ca="1">IF(AQ62&lt;&gt;0,вПМ(AQ62,AP62),"")</f>
        <v/>
      </c>
      <c r="AS62" s="391">
        <f ca="1">IF(AQ62&lt;&gt;0,вРазн(AQ62,AP62), 0)</f>
        <v>0</v>
      </c>
      <c r="AT62" s="393">
        <f t="shared" ca="1" si="110"/>
        <v>900</v>
      </c>
      <c r="AU62" s="394">
        <f t="shared" ca="1" si="31"/>
        <v>3.125E-2</v>
      </c>
      <c r="AV62" s="391"/>
      <c r="AW62" s="395">
        <f t="shared" ca="1" si="111"/>
        <v>0</v>
      </c>
      <c r="AX62" s="390">
        <f t="shared" ca="1" si="112"/>
        <v>0.62361111359463783</v>
      </c>
      <c r="AY62" s="391">
        <f t="shared" ca="1" si="113"/>
        <v>0</v>
      </c>
      <c r="AZ62" s="392" t="str">
        <f ca="1">IF(AY62&lt;&gt;0,вПМ(AY62,AX62),"")</f>
        <v/>
      </c>
      <c r="BA62" s="391">
        <f ca="1">IF(AY62&lt;&gt;0,вРазн(AY62,AX62), 0)</f>
        <v>0</v>
      </c>
      <c r="BB62" s="393">
        <f t="shared" ca="1" si="114"/>
        <v>900</v>
      </c>
      <c r="BC62" s="394">
        <f t="shared" ca="1" si="36"/>
        <v>4.1666667908430099E-2</v>
      </c>
      <c r="BD62" s="391"/>
      <c r="BE62" s="395">
        <f t="shared" ca="1" si="115"/>
        <v>0</v>
      </c>
      <c r="BF62" s="390">
        <f t="shared" ca="1" si="116"/>
        <v>0.66527778150306793</v>
      </c>
      <c r="BG62" s="391">
        <f t="shared" ca="1" si="117"/>
        <v>0</v>
      </c>
      <c r="BH62" s="392" t="str">
        <f ca="1">IF(BG62&lt;&gt;0,вПМ(BG62,BF62),"")</f>
        <v/>
      </c>
      <c r="BI62" s="391">
        <f ca="1">IF(BG62&lt;&gt;0,вРазн(BG62,BF62), 0)</f>
        <v>0</v>
      </c>
      <c r="BJ62" s="393">
        <f t="shared" ca="1" si="118"/>
        <v>900</v>
      </c>
      <c r="BK62" s="394">
        <f t="shared" ca="1" si="41"/>
        <v>2.777777798473835E-2</v>
      </c>
      <c r="BL62" s="391"/>
      <c r="BM62" s="395">
        <f t="shared" ca="1" si="119"/>
        <v>0</v>
      </c>
      <c r="BN62" s="390">
        <f t="shared" ca="1" si="120"/>
        <v>0.69305555948780628</v>
      </c>
      <c r="BO62" s="391">
        <f t="shared" ca="1" si="121"/>
        <v>0</v>
      </c>
      <c r="BP62" s="392" t="str">
        <f ca="1">IF(BO62&lt;&gt;0,вПМ(BO62,BN62),"")</f>
        <v/>
      </c>
      <c r="BQ62" s="391">
        <f ca="1">IF(BO62&lt;&gt;0,вРазн(BO62,BN62), 0)</f>
        <v>0</v>
      </c>
      <c r="BR62" s="396" t="str">
        <f t="shared" ca="1" si="122"/>
        <v>DNF</v>
      </c>
      <c r="BS62" s="390">
        <f t="shared" ca="1" si="46"/>
        <v>0</v>
      </c>
      <c r="BT62" s="391">
        <f t="shared" ca="1" si="123"/>
        <v>0</v>
      </c>
      <c r="BU62" s="391">
        <f t="shared" ca="1" si="124"/>
        <v>0</v>
      </c>
      <c r="BV62" s="401">
        <f t="shared" ca="1" si="125"/>
        <v>0</v>
      </c>
      <c r="BW62" s="401">
        <f t="shared" ca="1" si="126"/>
        <v>0</v>
      </c>
      <c r="BX62" s="392">
        <f t="shared" ca="1" si="127"/>
        <v>0</v>
      </c>
      <c r="BY62" s="392">
        <f t="shared" ca="1" si="128"/>
        <v>0</v>
      </c>
      <c r="BZ62" s="392">
        <f t="shared" ca="1" si="129"/>
        <v>0</v>
      </c>
      <c r="CA62" s="462">
        <f t="shared" ca="1" si="130"/>
        <v>900</v>
      </c>
      <c r="CB62" s="390">
        <f t="shared" ca="1" si="52"/>
        <v>0</v>
      </c>
      <c r="CC62" s="391">
        <f t="shared" ca="1" si="131"/>
        <v>0</v>
      </c>
      <c r="CD62" s="391">
        <f ca="1">IF(OR(CB62=0,CC62=0),0,вРазн(CC62,CB62))</f>
        <v>0</v>
      </c>
      <c r="CE62" s="391"/>
      <c r="CF62" s="391"/>
      <c r="CG62" s="397">
        <f t="shared" ca="1" si="132"/>
        <v>0</v>
      </c>
      <c r="CH62" s="398">
        <f t="shared" ca="1" si="54"/>
        <v>0</v>
      </c>
      <c r="CI62" s="399" t="str">
        <f ca="1">IF(CH62&lt;&gt;0,вПМ(CH62,CG62,"s"),"")</f>
        <v/>
      </c>
      <c r="CJ62" s="398">
        <f ca="1">IF(CH62&lt;&gt;0,вРазн(CH62,CG62,"s"), 0)</f>
        <v>0</v>
      </c>
      <c r="CK62" s="462">
        <f t="shared" ca="1" si="133"/>
        <v>1800</v>
      </c>
      <c r="CL62" s="397">
        <f t="shared" ca="1" si="134"/>
        <v>0</v>
      </c>
      <c r="CM62" s="398">
        <f t="shared" ca="1" si="57"/>
        <v>0</v>
      </c>
      <c r="CN62" s="392" t="str">
        <f ca="1">IF(AND(CM62&lt;&gt;0,CL62&lt;&gt;0),вПМ(CM62,CL62,"s"),"")</f>
        <v/>
      </c>
      <c r="CO62" s="398">
        <f ca="1">IF(AND(CM62&lt;&gt;0,CL62&lt;&gt;0),вРазн(CM62,CL62,"s"), 0)</f>
        <v>0</v>
      </c>
      <c r="CP62" s="462">
        <f t="shared" ca="1" si="135"/>
        <v>0</v>
      </c>
      <c r="CQ62" s="390">
        <f t="shared" ca="1" si="59"/>
        <v>0</v>
      </c>
      <c r="CR62" s="391">
        <f t="shared" ca="1" si="136"/>
        <v>0</v>
      </c>
      <c r="CS62" s="391">
        <f ca="1">IF(OR(CQ62=0,CR62=0),0,вРазн(CR62,CQ62))</f>
        <v>0</v>
      </c>
      <c r="CT62" s="391"/>
      <c r="CU62" s="391"/>
      <c r="CV62" s="397">
        <f t="shared" ca="1" si="137"/>
        <v>0</v>
      </c>
      <c r="CW62" s="398">
        <f t="shared" ca="1" si="61"/>
        <v>0</v>
      </c>
      <c r="CX62" s="399" t="str">
        <f ca="1">IF(CW62&lt;&gt;0,вПМ(CW62,CV62,"s"),"")</f>
        <v/>
      </c>
      <c r="CY62" s="398">
        <f ca="1">IF(CW62&lt;&gt;0,вРазн(CW62,CV62,"s"), 0)</f>
        <v>0</v>
      </c>
      <c r="CZ62" s="462">
        <f t="shared" ca="1" si="138"/>
        <v>1800</v>
      </c>
      <c r="DA62" s="397">
        <f t="shared" ca="1" si="139"/>
        <v>0</v>
      </c>
      <c r="DB62" s="398">
        <f t="shared" ca="1" si="64"/>
        <v>0</v>
      </c>
      <c r="DC62" s="392" t="str">
        <f ca="1">IF(AND(DB62&lt;&gt;0,DA62&lt;&gt;0),вПМ(DB62,DA62,"s"),"")</f>
        <v/>
      </c>
      <c r="DD62" s="398">
        <f ca="1">IF(AND(DB62&lt;&gt;0,DA62&lt;&gt;0),вРазн(DB62,DA62,"s"), 0)</f>
        <v>0</v>
      </c>
      <c r="DE62" s="462">
        <f t="shared" ca="1" si="140"/>
        <v>0</v>
      </c>
      <c r="DF62" s="390">
        <f t="shared" ca="1" si="66"/>
        <v>0</v>
      </c>
      <c r="DG62" s="391">
        <f t="shared" ca="1" si="141"/>
        <v>0</v>
      </c>
      <c r="DH62" s="391">
        <f t="shared" ca="1" si="142"/>
        <v>0</v>
      </c>
      <c r="DI62" s="401">
        <f t="shared" ca="1" si="143"/>
        <v>0</v>
      </c>
      <c r="DJ62" s="401">
        <f t="shared" ca="1" si="144"/>
        <v>0</v>
      </c>
      <c r="DK62" s="392">
        <f t="shared" ca="1" si="145"/>
        <v>0</v>
      </c>
      <c r="DL62" s="392">
        <f t="shared" ca="1" si="146"/>
        <v>0</v>
      </c>
      <c r="DM62" s="392">
        <f t="shared" ca="1" si="147"/>
        <v>0</v>
      </c>
      <c r="DN62" s="462">
        <f t="shared" ca="1" si="148"/>
        <v>900</v>
      </c>
      <c r="DO62" s="402">
        <f t="shared" ca="1" si="72"/>
        <v>0</v>
      </c>
      <c r="DP62" s="400">
        <f t="shared" ca="1" si="149"/>
        <v>0</v>
      </c>
      <c r="DQ62" s="402">
        <f t="shared" ca="1" si="72"/>
        <v>0</v>
      </c>
      <c r="DR62" s="400">
        <f t="shared" ca="1" si="150"/>
        <v>0</v>
      </c>
      <c r="DS62" s="390">
        <f t="shared" ca="1" si="164"/>
        <v>0</v>
      </c>
      <c r="DT62" s="396">
        <f t="shared" ca="1" si="151"/>
        <v>900</v>
      </c>
      <c r="DU62" s="390">
        <f t="shared" ca="1" si="164"/>
        <v>0</v>
      </c>
      <c r="DV62" s="396">
        <f t="shared" ca="1" si="152"/>
        <v>900</v>
      </c>
      <c r="DW62" s="459"/>
      <c r="DX62" s="459"/>
      <c r="DY62" s="459"/>
      <c r="DZ62" s="459"/>
      <c r="EA62" s="459"/>
      <c r="EB62" s="459"/>
      <c r="EC62" s="459"/>
      <c r="ED62" s="459"/>
      <c r="EE62" s="459"/>
      <c r="EF62" s="459"/>
      <c r="EG62" s="459"/>
      <c r="EH62" s="459"/>
      <c r="EI62" s="459"/>
      <c r="EJ62" s="459"/>
      <c r="EK62" s="459"/>
      <c r="EL62" s="459"/>
      <c r="EM62" s="459"/>
      <c r="EN62" s="459"/>
      <c r="EO62" s="459"/>
      <c r="EP62" s="459"/>
      <c r="EQ62" s="459"/>
      <c r="ER62" s="459"/>
      <c r="ES62" s="459"/>
      <c r="ET62" s="459"/>
      <c r="EU62" s="390" t="e">
        <f t="shared" ca="1" si="153"/>
        <v>#VALUE!</v>
      </c>
      <c r="EV62" s="391">
        <f t="shared" ca="1" si="154"/>
        <v>0</v>
      </c>
      <c r="EW62" s="392" t="e">
        <f ca="1">IF(AND(EV62&lt;&gt;0,EU62&lt;&gt;0),вПМ(EV62,EU62),"")</f>
        <v>#VALUE!</v>
      </c>
      <c r="EX62" s="391">
        <f ca="1">IF(EV62&lt;&gt;0,вРазн(EV62,EU62), 0)</f>
        <v>0</v>
      </c>
      <c r="EY62" s="396">
        <f t="shared" ca="1" si="155"/>
        <v>900</v>
      </c>
      <c r="EZ62" s="390">
        <f t="shared" ca="1" si="81"/>
        <v>0</v>
      </c>
      <c r="FA62" s="391">
        <f t="shared" ca="1" si="156"/>
        <v>0</v>
      </c>
      <c r="FB62" s="391">
        <f t="shared" ca="1" si="157"/>
        <v>0</v>
      </c>
      <c r="FC62" s="401">
        <f t="shared" ca="1" si="158"/>
        <v>0</v>
      </c>
      <c r="FD62" s="401">
        <f t="shared" ca="1" si="159"/>
        <v>0</v>
      </c>
      <c r="FE62" s="401">
        <f t="shared" ca="1" si="160"/>
        <v>0</v>
      </c>
      <c r="FF62" s="392">
        <f t="shared" ca="1" si="161"/>
        <v>0</v>
      </c>
      <c r="FG62" s="392">
        <f t="shared" ca="1" si="162"/>
        <v>0</v>
      </c>
      <c r="FH62" s="462">
        <f t="shared" ca="1" si="163"/>
        <v>1800</v>
      </c>
      <c r="FI62" s="403"/>
    </row>
    <row r="63" spans="1:165" s="20" customFormat="1" x14ac:dyDescent="0.25">
      <c r="A63" s="253" t="str">
        <f>стартоваяВедомость!B63</f>
        <v/>
      </c>
      <c r="B63" s="241">
        <f t="shared" ca="1" si="1"/>
        <v>0</v>
      </c>
      <c r="C63" s="241">
        <f t="shared" ca="1" si="2"/>
        <v>0</v>
      </c>
      <c r="D63" s="241">
        <f t="shared" ca="1" si="3"/>
        <v>0</v>
      </c>
      <c r="E63" s="241">
        <f t="shared" ca="1" si="4"/>
        <v>0</v>
      </c>
      <c r="F63" s="241">
        <f t="shared" ca="1" si="5"/>
        <v>0</v>
      </c>
      <c r="G63" s="487" t="str">
        <f t="shared" si="90"/>
        <v/>
      </c>
      <c r="H63" s="487" t="str">
        <f t="shared" ca="1" si="91"/>
        <v>DNS</v>
      </c>
      <c r="I63" s="487">
        <f t="shared" ca="1" si="92"/>
        <v>5400</v>
      </c>
      <c r="J63" s="487">
        <f t="shared" ca="1" si="93"/>
        <v>0</v>
      </c>
      <c r="K63" s="242">
        <f t="shared" ca="1" si="9"/>
        <v>0.44652777777777769</v>
      </c>
      <c r="L63" s="122">
        <f t="shared" ca="1" si="94"/>
        <v>0</v>
      </c>
      <c r="M63" s="243" t="str">
        <f ca="1">IF(L63&lt;&gt;0,вПМ(L63,K63),"")</f>
        <v/>
      </c>
      <c r="N63" s="122">
        <f ca="1">IF(L63&lt;&gt;0,вРазн(L63,K63), 0)</f>
        <v>0</v>
      </c>
      <c r="O63" s="301" t="str">
        <f t="shared" ca="1" si="95"/>
        <v>DNS</v>
      </c>
      <c r="P63" s="300">
        <f t="shared" ca="1" si="12"/>
        <v>4.86111119389534E-2</v>
      </c>
      <c r="Q63" s="294"/>
      <c r="R63" s="242">
        <f t="shared" ca="1" si="96"/>
        <v>0.49513888971673109</v>
      </c>
      <c r="S63" s="122">
        <f t="shared" ca="1" si="97"/>
        <v>0</v>
      </c>
      <c r="T63" s="243" t="str">
        <f ca="1">IF(S63&lt;&gt;0,вПМ(S63,R63),"")</f>
        <v/>
      </c>
      <c r="U63" s="122">
        <f ca="1">IF(S63&lt;&gt;0,вРазн(S63,R63), 0)</f>
        <v>0</v>
      </c>
      <c r="V63" s="301">
        <f t="shared" ca="1" si="98"/>
        <v>900</v>
      </c>
      <c r="W63" s="300">
        <f t="shared" ca="1" si="16"/>
        <v>4.86111119389534E-2</v>
      </c>
      <c r="X63" s="122"/>
      <c r="Y63" s="294">
        <f t="shared" ca="1" si="99"/>
        <v>0</v>
      </c>
      <c r="Z63" s="242">
        <f t="shared" ca="1" si="100"/>
        <v>0.54375000165568443</v>
      </c>
      <c r="AA63" s="122">
        <f t="shared" ca="1" si="101"/>
        <v>0</v>
      </c>
      <c r="AB63" s="243" t="str">
        <f ca="1">IF(AA63&lt;&gt;0,вПМ(AA63,Z63),"")</f>
        <v/>
      </c>
      <c r="AC63" s="122">
        <f ca="1">IF(AA63&lt;&gt;0,вРазн(AA63,Z63), 0)</f>
        <v>0</v>
      </c>
      <c r="AD63" s="301">
        <f t="shared" ca="1" si="102"/>
        <v>900</v>
      </c>
      <c r="AE63" s="300">
        <f t="shared" ca="1" si="21"/>
        <v>2.43055559694767E-2</v>
      </c>
      <c r="AF63" s="122"/>
      <c r="AG63" s="294">
        <f t="shared" ca="1" si="103"/>
        <v>0</v>
      </c>
      <c r="AH63" s="242">
        <f t="shared" ca="1" si="104"/>
        <v>0.56805555762516113</v>
      </c>
      <c r="AI63" s="122">
        <f t="shared" ca="1" si="105"/>
        <v>0</v>
      </c>
      <c r="AJ63" s="243" t="str">
        <f ca="1">IF(AI63&lt;&gt;0,вПМ(AI63,AH63),"")</f>
        <v/>
      </c>
      <c r="AK63" s="122">
        <f ca="1">IF(AI63&lt;&gt;0,вРазн(AI63,AH63), 0)</f>
        <v>0</v>
      </c>
      <c r="AL63" s="301">
        <f t="shared" ca="1" si="106"/>
        <v>900</v>
      </c>
      <c r="AM63" s="300">
        <f t="shared" ca="1" si="26"/>
        <v>2.43055559694767E-2</v>
      </c>
      <c r="AN63" s="122"/>
      <c r="AO63" s="294">
        <f t="shared" ca="1" si="107"/>
        <v>0</v>
      </c>
      <c r="AP63" s="242">
        <f t="shared" ca="1" si="108"/>
        <v>0.59236111359463783</v>
      </c>
      <c r="AQ63" s="122">
        <f t="shared" ca="1" si="109"/>
        <v>0</v>
      </c>
      <c r="AR63" s="243" t="str">
        <f ca="1">IF(AQ63&lt;&gt;0,вПМ(AQ63,AP63),"")</f>
        <v/>
      </c>
      <c r="AS63" s="122">
        <f ca="1">IF(AQ63&lt;&gt;0,вРазн(AQ63,AP63), 0)</f>
        <v>0</v>
      </c>
      <c r="AT63" s="301">
        <f t="shared" ca="1" si="110"/>
        <v>900</v>
      </c>
      <c r="AU63" s="300">
        <f t="shared" ca="1" si="31"/>
        <v>3.125E-2</v>
      </c>
      <c r="AV63" s="122"/>
      <c r="AW63" s="294">
        <f t="shared" ca="1" si="111"/>
        <v>0</v>
      </c>
      <c r="AX63" s="242">
        <f t="shared" ca="1" si="112"/>
        <v>0.62361111359463783</v>
      </c>
      <c r="AY63" s="122">
        <f t="shared" ca="1" si="113"/>
        <v>0</v>
      </c>
      <c r="AZ63" s="243" t="str">
        <f ca="1">IF(AY63&lt;&gt;0,вПМ(AY63,AX63),"")</f>
        <v/>
      </c>
      <c r="BA63" s="122">
        <f ca="1">IF(AY63&lt;&gt;0,вРазн(AY63,AX63), 0)</f>
        <v>0</v>
      </c>
      <c r="BB63" s="301">
        <f t="shared" ca="1" si="114"/>
        <v>900</v>
      </c>
      <c r="BC63" s="300">
        <f t="shared" ca="1" si="36"/>
        <v>4.1666667908430099E-2</v>
      </c>
      <c r="BD63" s="122"/>
      <c r="BE63" s="294">
        <f t="shared" ca="1" si="115"/>
        <v>0</v>
      </c>
      <c r="BF63" s="242">
        <f t="shared" ca="1" si="116"/>
        <v>0.66527778150306793</v>
      </c>
      <c r="BG63" s="122">
        <f t="shared" ca="1" si="117"/>
        <v>0</v>
      </c>
      <c r="BH63" s="243" t="str">
        <f ca="1">IF(BG63&lt;&gt;0,вПМ(BG63,BF63),"")</f>
        <v/>
      </c>
      <c r="BI63" s="122">
        <f ca="1">IF(BG63&lt;&gt;0,вРазн(BG63,BF63), 0)</f>
        <v>0</v>
      </c>
      <c r="BJ63" s="301">
        <f t="shared" ca="1" si="118"/>
        <v>900</v>
      </c>
      <c r="BK63" s="300">
        <f t="shared" ca="1" si="41"/>
        <v>2.777777798473835E-2</v>
      </c>
      <c r="BL63" s="122"/>
      <c r="BM63" s="294">
        <f t="shared" ca="1" si="119"/>
        <v>0</v>
      </c>
      <c r="BN63" s="242">
        <f t="shared" ca="1" si="120"/>
        <v>0.69305555948780628</v>
      </c>
      <c r="BO63" s="122">
        <f t="shared" ca="1" si="121"/>
        <v>0</v>
      </c>
      <c r="BP63" s="243" t="str">
        <f ca="1">IF(BO63&lt;&gt;0,вПМ(BO63,BN63),"")</f>
        <v/>
      </c>
      <c r="BQ63" s="122">
        <f ca="1">IF(BO63&lt;&gt;0,вРазн(BO63,BN63), 0)</f>
        <v>0</v>
      </c>
      <c r="BR63" s="244" t="str">
        <f t="shared" ca="1" si="122"/>
        <v>DNF</v>
      </c>
      <c r="BS63" s="242">
        <f t="shared" ca="1" si="46"/>
        <v>0</v>
      </c>
      <c r="BT63" s="122">
        <f t="shared" ca="1" si="123"/>
        <v>0</v>
      </c>
      <c r="BU63" s="122">
        <f t="shared" ca="1" si="124"/>
        <v>0</v>
      </c>
      <c r="BV63" s="248">
        <f t="shared" ca="1" si="125"/>
        <v>0</v>
      </c>
      <c r="BW63" s="248">
        <f t="shared" ca="1" si="126"/>
        <v>0</v>
      </c>
      <c r="BX63" s="243">
        <f t="shared" ca="1" si="127"/>
        <v>0</v>
      </c>
      <c r="BY63" s="243">
        <f t="shared" ca="1" si="128"/>
        <v>0</v>
      </c>
      <c r="BZ63" s="243">
        <f t="shared" ca="1" si="129"/>
        <v>0</v>
      </c>
      <c r="CA63" s="463">
        <f t="shared" ca="1" si="130"/>
        <v>900</v>
      </c>
      <c r="CB63" s="242">
        <f t="shared" ca="1" si="52"/>
        <v>0</v>
      </c>
      <c r="CC63" s="122">
        <f t="shared" ca="1" si="131"/>
        <v>0</v>
      </c>
      <c r="CD63" s="122">
        <f ca="1">IF(OR(CB63=0,CC63=0),0,вРазн(CC63,CB63))</f>
        <v>0</v>
      </c>
      <c r="CE63" s="122"/>
      <c r="CF63" s="122"/>
      <c r="CG63" s="247">
        <f t="shared" ca="1" si="132"/>
        <v>0</v>
      </c>
      <c r="CH63" s="245">
        <f t="shared" ca="1" si="54"/>
        <v>0</v>
      </c>
      <c r="CI63" s="240" t="str">
        <f ca="1">IF(CH63&lt;&gt;0,вПМ(CH63,CG63,"s"),"")</f>
        <v/>
      </c>
      <c r="CJ63" s="245">
        <f ca="1">IF(CH63&lt;&gt;0,вРазн(CH63,CG63,"s"), 0)</f>
        <v>0</v>
      </c>
      <c r="CK63" s="463">
        <f t="shared" ca="1" si="133"/>
        <v>1800</v>
      </c>
      <c r="CL63" s="247">
        <f t="shared" ca="1" si="134"/>
        <v>0</v>
      </c>
      <c r="CM63" s="245">
        <f t="shared" ca="1" si="57"/>
        <v>0</v>
      </c>
      <c r="CN63" s="243" t="str">
        <f ca="1">IF(AND(CM63&lt;&gt;0,CL63&lt;&gt;0),вПМ(CM63,CL63,"s"),"")</f>
        <v/>
      </c>
      <c r="CO63" s="245">
        <f ca="1">IF(AND(CM63&lt;&gt;0,CL63&lt;&gt;0),вРазн(CM63,CL63,"s"), 0)</f>
        <v>0</v>
      </c>
      <c r="CP63" s="463">
        <f t="shared" ca="1" si="135"/>
        <v>0</v>
      </c>
      <c r="CQ63" s="242">
        <f t="shared" ca="1" si="59"/>
        <v>0</v>
      </c>
      <c r="CR63" s="122">
        <f t="shared" ca="1" si="136"/>
        <v>0</v>
      </c>
      <c r="CS63" s="122">
        <f ca="1">IF(OR(CQ63=0,CR63=0),0,вРазн(CR63,CQ63))</f>
        <v>0</v>
      </c>
      <c r="CT63" s="122"/>
      <c r="CU63" s="122"/>
      <c r="CV63" s="247">
        <f t="shared" ca="1" si="137"/>
        <v>0</v>
      </c>
      <c r="CW63" s="245">
        <f t="shared" ca="1" si="61"/>
        <v>0</v>
      </c>
      <c r="CX63" s="240" t="str">
        <f ca="1">IF(CW63&lt;&gt;0,вПМ(CW63,CV63,"s"),"")</f>
        <v/>
      </c>
      <c r="CY63" s="245">
        <f ca="1">IF(CW63&lt;&gt;0,вРазн(CW63,CV63,"s"), 0)</f>
        <v>0</v>
      </c>
      <c r="CZ63" s="463">
        <f t="shared" ca="1" si="138"/>
        <v>1800</v>
      </c>
      <c r="DA63" s="247">
        <f t="shared" ca="1" si="139"/>
        <v>0</v>
      </c>
      <c r="DB63" s="245">
        <f t="shared" ca="1" si="64"/>
        <v>0</v>
      </c>
      <c r="DC63" s="243" t="str">
        <f ca="1">IF(AND(DB63&lt;&gt;0,DA63&lt;&gt;0),вПМ(DB63,DA63,"s"),"")</f>
        <v/>
      </c>
      <c r="DD63" s="245">
        <f ca="1">IF(AND(DB63&lt;&gt;0,DA63&lt;&gt;0),вРазн(DB63,DA63,"s"), 0)</f>
        <v>0</v>
      </c>
      <c r="DE63" s="463">
        <f t="shared" ca="1" si="140"/>
        <v>0</v>
      </c>
      <c r="DF63" s="242">
        <f t="shared" ca="1" si="66"/>
        <v>0</v>
      </c>
      <c r="DG63" s="122">
        <f t="shared" ca="1" si="141"/>
        <v>0</v>
      </c>
      <c r="DH63" s="122">
        <f t="shared" ca="1" si="142"/>
        <v>0</v>
      </c>
      <c r="DI63" s="248">
        <f t="shared" ca="1" si="143"/>
        <v>0</v>
      </c>
      <c r="DJ63" s="248">
        <f t="shared" ca="1" si="144"/>
        <v>0</v>
      </c>
      <c r="DK63" s="243">
        <f t="shared" ca="1" si="145"/>
        <v>0</v>
      </c>
      <c r="DL63" s="243">
        <f t="shared" ca="1" si="146"/>
        <v>0</v>
      </c>
      <c r="DM63" s="243">
        <f t="shared" ca="1" si="147"/>
        <v>0</v>
      </c>
      <c r="DN63" s="463">
        <f t="shared" ca="1" si="148"/>
        <v>900</v>
      </c>
      <c r="DO63" s="249">
        <f t="shared" ca="1" si="72"/>
        <v>0</v>
      </c>
      <c r="DP63" s="246">
        <f t="shared" ca="1" si="149"/>
        <v>0</v>
      </c>
      <c r="DQ63" s="249">
        <f t="shared" ca="1" si="72"/>
        <v>0</v>
      </c>
      <c r="DR63" s="246">
        <f t="shared" ca="1" si="150"/>
        <v>0</v>
      </c>
      <c r="DS63" s="242">
        <f t="shared" ca="1" si="164"/>
        <v>0</v>
      </c>
      <c r="DT63" s="244">
        <f t="shared" ca="1" si="151"/>
        <v>900</v>
      </c>
      <c r="DU63" s="242">
        <f t="shared" ca="1" si="164"/>
        <v>0</v>
      </c>
      <c r="DV63" s="244">
        <f t="shared" ca="1" si="152"/>
        <v>900</v>
      </c>
      <c r="DW63" s="459"/>
      <c r="DX63" s="459"/>
      <c r="DY63" s="459"/>
      <c r="DZ63" s="459"/>
      <c r="EA63" s="459"/>
      <c r="EB63" s="459"/>
      <c r="EC63" s="459"/>
      <c r="ED63" s="459"/>
      <c r="EE63" s="459"/>
      <c r="EF63" s="459"/>
      <c r="EG63" s="459"/>
      <c r="EH63" s="459"/>
      <c r="EI63" s="459"/>
      <c r="EJ63" s="459"/>
      <c r="EK63" s="459"/>
      <c r="EL63" s="459"/>
      <c r="EM63" s="459"/>
      <c r="EN63" s="459"/>
      <c r="EO63" s="459"/>
      <c r="EP63" s="459"/>
      <c r="EQ63" s="459"/>
      <c r="ER63" s="459"/>
      <c r="ES63" s="459"/>
      <c r="ET63" s="459"/>
      <c r="EU63" s="242" t="e">
        <f t="shared" ca="1" si="153"/>
        <v>#VALUE!</v>
      </c>
      <c r="EV63" s="122">
        <f t="shared" ca="1" si="154"/>
        <v>0</v>
      </c>
      <c r="EW63" s="243" t="e">
        <f ca="1">IF(AND(EV63&lt;&gt;0,EU63&lt;&gt;0),вПМ(EV63,EU63),"")</f>
        <v>#VALUE!</v>
      </c>
      <c r="EX63" s="122">
        <f ca="1">IF(EV63&lt;&gt;0,вРазн(EV63,EU63), 0)</f>
        <v>0</v>
      </c>
      <c r="EY63" s="244">
        <f t="shared" ca="1" si="155"/>
        <v>900</v>
      </c>
      <c r="EZ63" s="242">
        <f t="shared" ca="1" si="81"/>
        <v>0</v>
      </c>
      <c r="FA63" s="122">
        <f t="shared" ca="1" si="156"/>
        <v>0</v>
      </c>
      <c r="FB63" s="122">
        <f t="shared" ca="1" si="157"/>
        <v>0</v>
      </c>
      <c r="FC63" s="248">
        <f t="shared" ca="1" si="158"/>
        <v>0</v>
      </c>
      <c r="FD63" s="248">
        <f t="shared" ca="1" si="159"/>
        <v>0</v>
      </c>
      <c r="FE63" s="248">
        <f t="shared" ca="1" si="160"/>
        <v>0</v>
      </c>
      <c r="FF63" s="243">
        <f t="shared" ca="1" si="161"/>
        <v>0</v>
      </c>
      <c r="FG63" s="243">
        <f t="shared" ca="1" si="162"/>
        <v>0</v>
      </c>
      <c r="FH63" s="463">
        <f t="shared" ca="1" si="163"/>
        <v>1800</v>
      </c>
    </row>
    <row r="64" spans="1:165" s="236" customFormat="1" x14ac:dyDescent="0.25">
      <c r="A64" s="388" t="str">
        <f>стартоваяВедомость!B64</f>
        <v/>
      </c>
      <c r="B64" s="389">
        <f t="shared" ca="1" si="1"/>
        <v>0</v>
      </c>
      <c r="C64" s="389">
        <f t="shared" ca="1" si="2"/>
        <v>0</v>
      </c>
      <c r="D64" s="389">
        <f t="shared" ca="1" si="3"/>
        <v>0</v>
      </c>
      <c r="E64" s="389">
        <f t="shared" ca="1" si="4"/>
        <v>0</v>
      </c>
      <c r="F64" s="389">
        <f t="shared" ca="1" si="5"/>
        <v>0</v>
      </c>
      <c r="G64" s="486" t="str">
        <f t="shared" si="90"/>
        <v/>
      </c>
      <c r="H64" s="486" t="str">
        <f t="shared" ca="1" si="91"/>
        <v>DNS</v>
      </c>
      <c r="I64" s="486">
        <f t="shared" ca="1" si="92"/>
        <v>5400</v>
      </c>
      <c r="J64" s="486">
        <f t="shared" ca="1" si="93"/>
        <v>0</v>
      </c>
      <c r="K64" s="390">
        <f t="shared" ca="1" si="9"/>
        <v>0.44652777777777769</v>
      </c>
      <c r="L64" s="391">
        <f t="shared" ca="1" si="94"/>
        <v>0</v>
      </c>
      <c r="M64" s="392" t="str">
        <f ca="1">IF(L64&lt;&gt;0,вПМ(L64,K64),"")</f>
        <v/>
      </c>
      <c r="N64" s="391">
        <f ca="1">IF(L64&lt;&gt;0,вРазн(L64,K64), 0)</f>
        <v>0</v>
      </c>
      <c r="O64" s="393" t="str">
        <f t="shared" ca="1" si="95"/>
        <v>DNS</v>
      </c>
      <c r="P64" s="394">
        <f t="shared" ca="1" si="12"/>
        <v>4.86111119389534E-2</v>
      </c>
      <c r="Q64" s="395"/>
      <c r="R64" s="390">
        <f t="shared" ca="1" si="96"/>
        <v>0.49513888971673109</v>
      </c>
      <c r="S64" s="391">
        <f t="shared" ca="1" si="97"/>
        <v>0</v>
      </c>
      <c r="T64" s="392" t="str">
        <f ca="1">IF(S64&lt;&gt;0,вПМ(S64,R64),"")</f>
        <v/>
      </c>
      <c r="U64" s="391">
        <f ca="1">IF(S64&lt;&gt;0,вРазн(S64,R64), 0)</f>
        <v>0</v>
      </c>
      <c r="V64" s="393">
        <f t="shared" ca="1" si="98"/>
        <v>900</v>
      </c>
      <c r="W64" s="394">
        <f t="shared" ca="1" si="16"/>
        <v>4.86111119389534E-2</v>
      </c>
      <c r="X64" s="391"/>
      <c r="Y64" s="395">
        <f t="shared" ca="1" si="99"/>
        <v>0</v>
      </c>
      <c r="Z64" s="390">
        <f t="shared" ca="1" si="100"/>
        <v>0.54375000165568443</v>
      </c>
      <c r="AA64" s="391">
        <f t="shared" ca="1" si="101"/>
        <v>0</v>
      </c>
      <c r="AB64" s="392" t="str">
        <f ca="1">IF(AA64&lt;&gt;0,вПМ(AA64,Z64),"")</f>
        <v/>
      </c>
      <c r="AC64" s="391">
        <f ca="1">IF(AA64&lt;&gt;0,вРазн(AA64,Z64), 0)</f>
        <v>0</v>
      </c>
      <c r="AD64" s="393">
        <f t="shared" ca="1" si="102"/>
        <v>900</v>
      </c>
      <c r="AE64" s="394">
        <f t="shared" ca="1" si="21"/>
        <v>2.43055559694767E-2</v>
      </c>
      <c r="AF64" s="391"/>
      <c r="AG64" s="395">
        <f t="shared" ca="1" si="103"/>
        <v>0</v>
      </c>
      <c r="AH64" s="390">
        <f t="shared" ca="1" si="104"/>
        <v>0.56805555762516113</v>
      </c>
      <c r="AI64" s="391">
        <f t="shared" ca="1" si="105"/>
        <v>0</v>
      </c>
      <c r="AJ64" s="392" t="str">
        <f ca="1">IF(AI64&lt;&gt;0,вПМ(AI64,AH64),"")</f>
        <v/>
      </c>
      <c r="AK64" s="391">
        <f ca="1">IF(AI64&lt;&gt;0,вРазн(AI64,AH64), 0)</f>
        <v>0</v>
      </c>
      <c r="AL64" s="393">
        <f t="shared" ca="1" si="106"/>
        <v>900</v>
      </c>
      <c r="AM64" s="394">
        <f t="shared" ca="1" si="26"/>
        <v>2.43055559694767E-2</v>
      </c>
      <c r="AN64" s="391"/>
      <c r="AO64" s="395">
        <f t="shared" ca="1" si="107"/>
        <v>0</v>
      </c>
      <c r="AP64" s="390">
        <f t="shared" ca="1" si="108"/>
        <v>0.59236111359463783</v>
      </c>
      <c r="AQ64" s="391">
        <f t="shared" ca="1" si="109"/>
        <v>0</v>
      </c>
      <c r="AR64" s="392" t="str">
        <f ca="1">IF(AQ64&lt;&gt;0,вПМ(AQ64,AP64),"")</f>
        <v/>
      </c>
      <c r="AS64" s="391">
        <f ca="1">IF(AQ64&lt;&gt;0,вРазн(AQ64,AP64), 0)</f>
        <v>0</v>
      </c>
      <c r="AT64" s="393">
        <f t="shared" ca="1" si="110"/>
        <v>900</v>
      </c>
      <c r="AU64" s="394">
        <f t="shared" ca="1" si="31"/>
        <v>3.125E-2</v>
      </c>
      <c r="AV64" s="391"/>
      <c r="AW64" s="395">
        <f t="shared" ca="1" si="111"/>
        <v>0</v>
      </c>
      <c r="AX64" s="390">
        <f t="shared" ca="1" si="112"/>
        <v>0.62361111359463783</v>
      </c>
      <c r="AY64" s="391">
        <f t="shared" ca="1" si="113"/>
        <v>0</v>
      </c>
      <c r="AZ64" s="392" t="str">
        <f ca="1">IF(AY64&lt;&gt;0,вПМ(AY64,AX64),"")</f>
        <v/>
      </c>
      <c r="BA64" s="391">
        <f ca="1">IF(AY64&lt;&gt;0,вРазн(AY64,AX64), 0)</f>
        <v>0</v>
      </c>
      <c r="BB64" s="393">
        <f t="shared" ca="1" si="114"/>
        <v>900</v>
      </c>
      <c r="BC64" s="394">
        <f t="shared" ca="1" si="36"/>
        <v>4.1666667908430099E-2</v>
      </c>
      <c r="BD64" s="391"/>
      <c r="BE64" s="395">
        <f t="shared" ca="1" si="115"/>
        <v>0</v>
      </c>
      <c r="BF64" s="390">
        <f t="shared" ca="1" si="116"/>
        <v>0.66527778150306793</v>
      </c>
      <c r="BG64" s="391">
        <f t="shared" ca="1" si="117"/>
        <v>0</v>
      </c>
      <c r="BH64" s="392" t="str">
        <f ca="1">IF(BG64&lt;&gt;0,вПМ(BG64,BF64),"")</f>
        <v/>
      </c>
      <c r="BI64" s="391">
        <f ca="1">IF(BG64&lt;&gt;0,вРазн(BG64,BF64), 0)</f>
        <v>0</v>
      </c>
      <c r="BJ64" s="393">
        <f t="shared" ca="1" si="118"/>
        <v>900</v>
      </c>
      <c r="BK64" s="394">
        <f t="shared" ca="1" si="41"/>
        <v>2.777777798473835E-2</v>
      </c>
      <c r="BL64" s="391"/>
      <c r="BM64" s="395">
        <f t="shared" ca="1" si="119"/>
        <v>0</v>
      </c>
      <c r="BN64" s="390">
        <f t="shared" ca="1" si="120"/>
        <v>0.69305555948780628</v>
      </c>
      <c r="BO64" s="391">
        <f t="shared" ca="1" si="121"/>
        <v>0</v>
      </c>
      <c r="BP64" s="392" t="str">
        <f ca="1">IF(BO64&lt;&gt;0,вПМ(BO64,BN64),"")</f>
        <v/>
      </c>
      <c r="BQ64" s="391">
        <f ca="1">IF(BO64&lt;&gt;0,вРазн(BO64,BN64), 0)</f>
        <v>0</v>
      </c>
      <c r="BR64" s="396" t="str">
        <f t="shared" ca="1" si="122"/>
        <v>DNF</v>
      </c>
      <c r="BS64" s="390">
        <f t="shared" ca="1" si="46"/>
        <v>0</v>
      </c>
      <c r="BT64" s="391">
        <f t="shared" ca="1" si="123"/>
        <v>0</v>
      </c>
      <c r="BU64" s="391">
        <f t="shared" ca="1" si="124"/>
        <v>0</v>
      </c>
      <c r="BV64" s="401">
        <f t="shared" ca="1" si="125"/>
        <v>0</v>
      </c>
      <c r="BW64" s="401">
        <f t="shared" ca="1" si="126"/>
        <v>0</v>
      </c>
      <c r="BX64" s="392">
        <f t="shared" ca="1" si="127"/>
        <v>0</v>
      </c>
      <c r="BY64" s="392">
        <f t="shared" ca="1" si="128"/>
        <v>0</v>
      </c>
      <c r="BZ64" s="392">
        <f t="shared" ca="1" si="129"/>
        <v>0</v>
      </c>
      <c r="CA64" s="462">
        <f t="shared" ca="1" si="130"/>
        <v>900</v>
      </c>
      <c r="CB64" s="390">
        <f t="shared" ca="1" si="52"/>
        <v>0</v>
      </c>
      <c r="CC64" s="391">
        <f t="shared" ca="1" si="131"/>
        <v>0</v>
      </c>
      <c r="CD64" s="391">
        <f ca="1">IF(OR(CB64=0,CC64=0),0,вРазн(CC64,CB64))</f>
        <v>0</v>
      </c>
      <c r="CE64" s="391"/>
      <c r="CF64" s="391"/>
      <c r="CG64" s="397">
        <f t="shared" ca="1" si="132"/>
        <v>0</v>
      </c>
      <c r="CH64" s="398">
        <f t="shared" ca="1" si="54"/>
        <v>0</v>
      </c>
      <c r="CI64" s="399" t="str">
        <f ca="1">IF(CH64&lt;&gt;0,вПМ(CH64,CG64,"s"),"")</f>
        <v/>
      </c>
      <c r="CJ64" s="398">
        <f ca="1">IF(CH64&lt;&gt;0,вРазн(CH64,CG64,"s"), 0)</f>
        <v>0</v>
      </c>
      <c r="CK64" s="462">
        <f t="shared" ca="1" si="133"/>
        <v>1800</v>
      </c>
      <c r="CL64" s="397">
        <f t="shared" ca="1" si="134"/>
        <v>0</v>
      </c>
      <c r="CM64" s="398">
        <f t="shared" ca="1" si="57"/>
        <v>0</v>
      </c>
      <c r="CN64" s="392" t="str">
        <f ca="1">IF(AND(CM64&lt;&gt;0,CL64&lt;&gt;0),вПМ(CM64,CL64,"s"),"")</f>
        <v/>
      </c>
      <c r="CO64" s="398">
        <f ca="1">IF(AND(CM64&lt;&gt;0,CL64&lt;&gt;0),вРазн(CM64,CL64,"s"), 0)</f>
        <v>0</v>
      </c>
      <c r="CP64" s="462">
        <f t="shared" ca="1" si="135"/>
        <v>0</v>
      </c>
      <c r="CQ64" s="390">
        <f t="shared" ca="1" si="59"/>
        <v>0</v>
      </c>
      <c r="CR64" s="391">
        <f t="shared" ca="1" si="136"/>
        <v>0</v>
      </c>
      <c r="CS64" s="391">
        <f ca="1">IF(OR(CQ64=0,CR64=0),0,вРазн(CR64,CQ64))</f>
        <v>0</v>
      </c>
      <c r="CT64" s="391"/>
      <c r="CU64" s="391"/>
      <c r="CV64" s="397">
        <f t="shared" ca="1" si="137"/>
        <v>0</v>
      </c>
      <c r="CW64" s="398">
        <f t="shared" ca="1" si="61"/>
        <v>0</v>
      </c>
      <c r="CX64" s="399" t="str">
        <f ca="1">IF(CW64&lt;&gt;0,вПМ(CW64,CV64,"s"),"")</f>
        <v/>
      </c>
      <c r="CY64" s="398">
        <f ca="1">IF(CW64&lt;&gt;0,вРазн(CW64,CV64,"s"), 0)</f>
        <v>0</v>
      </c>
      <c r="CZ64" s="462">
        <f t="shared" ca="1" si="138"/>
        <v>1800</v>
      </c>
      <c r="DA64" s="397">
        <f t="shared" ca="1" si="139"/>
        <v>0</v>
      </c>
      <c r="DB64" s="398">
        <f t="shared" ca="1" si="64"/>
        <v>0</v>
      </c>
      <c r="DC64" s="392" t="str">
        <f ca="1">IF(AND(DB64&lt;&gt;0,DA64&lt;&gt;0),вПМ(DB64,DA64,"s"),"")</f>
        <v/>
      </c>
      <c r="DD64" s="398">
        <f ca="1">IF(AND(DB64&lt;&gt;0,DA64&lt;&gt;0),вРазн(DB64,DA64,"s"), 0)</f>
        <v>0</v>
      </c>
      <c r="DE64" s="462">
        <f t="shared" ca="1" si="140"/>
        <v>0</v>
      </c>
      <c r="DF64" s="390">
        <f t="shared" ca="1" si="66"/>
        <v>0</v>
      </c>
      <c r="DG64" s="391">
        <f t="shared" ca="1" si="141"/>
        <v>0</v>
      </c>
      <c r="DH64" s="391">
        <f t="shared" ca="1" si="142"/>
        <v>0</v>
      </c>
      <c r="DI64" s="401">
        <f t="shared" ca="1" si="143"/>
        <v>0</v>
      </c>
      <c r="DJ64" s="401">
        <f t="shared" ca="1" si="144"/>
        <v>0</v>
      </c>
      <c r="DK64" s="392">
        <f t="shared" ca="1" si="145"/>
        <v>0</v>
      </c>
      <c r="DL64" s="392">
        <f t="shared" ca="1" si="146"/>
        <v>0</v>
      </c>
      <c r="DM64" s="392">
        <f t="shared" ca="1" si="147"/>
        <v>0</v>
      </c>
      <c r="DN64" s="462">
        <f t="shared" ca="1" si="148"/>
        <v>900</v>
      </c>
      <c r="DO64" s="402">
        <f t="shared" ca="1" si="72"/>
        <v>0</v>
      </c>
      <c r="DP64" s="400">
        <f t="shared" ca="1" si="149"/>
        <v>0</v>
      </c>
      <c r="DQ64" s="402">
        <f t="shared" ca="1" si="72"/>
        <v>0</v>
      </c>
      <c r="DR64" s="400">
        <f t="shared" ca="1" si="150"/>
        <v>0</v>
      </c>
      <c r="DS64" s="390">
        <f t="shared" ca="1" si="164"/>
        <v>0</v>
      </c>
      <c r="DT64" s="396">
        <f t="shared" ca="1" si="151"/>
        <v>900</v>
      </c>
      <c r="DU64" s="390">
        <f t="shared" ca="1" si="164"/>
        <v>0</v>
      </c>
      <c r="DV64" s="396">
        <f t="shared" ca="1" si="152"/>
        <v>900</v>
      </c>
      <c r="DW64" s="459"/>
      <c r="DX64" s="459"/>
      <c r="DY64" s="459"/>
      <c r="DZ64" s="459"/>
      <c r="EA64" s="459"/>
      <c r="EB64" s="459"/>
      <c r="EC64" s="459"/>
      <c r="ED64" s="459"/>
      <c r="EE64" s="459"/>
      <c r="EF64" s="459"/>
      <c r="EG64" s="459"/>
      <c r="EH64" s="459"/>
      <c r="EI64" s="459"/>
      <c r="EJ64" s="459"/>
      <c r="EK64" s="459"/>
      <c r="EL64" s="459"/>
      <c r="EM64" s="459"/>
      <c r="EN64" s="459"/>
      <c r="EO64" s="459"/>
      <c r="EP64" s="459"/>
      <c r="EQ64" s="459"/>
      <c r="ER64" s="459"/>
      <c r="ES64" s="459"/>
      <c r="ET64" s="459"/>
      <c r="EU64" s="390" t="e">
        <f t="shared" ca="1" si="153"/>
        <v>#VALUE!</v>
      </c>
      <c r="EV64" s="391">
        <f t="shared" ca="1" si="154"/>
        <v>0</v>
      </c>
      <c r="EW64" s="392" t="e">
        <f ca="1">IF(AND(EV64&lt;&gt;0,EU64&lt;&gt;0),вПМ(EV64,EU64),"")</f>
        <v>#VALUE!</v>
      </c>
      <c r="EX64" s="391">
        <f ca="1">IF(EV64&lt;&gt;0,вРазн(EV64,EU64), 0)</f>
        <v>0</v>
      </c>
      <c r="EY64" s="396">
        <f t="shared" ca="1" si="155"/>
        <v>900</v>
      </c>
      <c r="EZ64" s="390">
        <f t="shared" ca="1" si="81"/>
        <v>0</v>
      </c>
      <c r="FA64" s="391">
        <f t="shared" ca="1" si="156"/>
        <v>0</v>
      </c>
      <c r="FB64" s="391">
        <f t="shared" ca="1" si="157"/>
        <v>0</v>
      </c>
      <c r="FC64" s="401">
        <f t="shared" ca="1" si="158"/>
        <v>0</v>
      </c>
      <c r="FD64" s="401">
        <f t="shared" ca="1" si="159"/>
        <v>0</v>
      </c>
      <c r="FE64" s="401">
        <f t="shared" ca="1" si="160"/>
        <v>0</v>
      </c>
      <c r="FF64" s="392">
        <f t="shared" ca="1" si="161"/>
        <v>0</v>
      </c>
      <c r="FG64" s="392">
        <f t="shared" ca="1" si="162"/>
        <v>0</v>
      </c>
      <c r="FH64" s="462">
        <f t="shared" ca="1" si="163"/>
        <v>1800</v>
      </c>
      <c r="FI64" s="403"/>
    </row>
    <row r="65" spans="1:165" s="20" customFormat="1" x14ac:dyDescent="0.25">
      <c r="A65" s="253" t="str">
        <f>стартоваяВедомость!B65</f>
        <v/>
      </c>
      <c r="B65" s="241">
        <f t="shared" ca="1" si="1"/>
        <v>0</v>
      </c>
      <c r="C65" s="241">
        <f t="shared" ca="1" si="2"/>
        <v>0</v>
      </c>
      <c r="D65" s="241">
        <f t="shared" ca="1" si="3"/>
        <v>0</v>
      </c>
      <c r="E65" s="241">
        <f t="shared" ca="1" si="4"/>
        <v>0</v>
      </c>
      <c r="F65" s="241">
        <f t="shared" ca="1" si="5"/>
        <v>0</v>
      </c>
      <c r="G65" s="487" t="str">
        <f t="shared" si="90"/>
        <v/>
      </c>
      <c r="H65" s="487" t="str">
        <f t="shared" ca="1" si="91"/>
        <v>DNS</v>
      </c>
      <c r="I65" s="487">
        <f t="shared" ca="1" si="92"/>
        <v>5400</v>
      </c>
      <c r="J65" s="487">
        <f t="shared" ca="1" si="93"/>
        <v>0</v>
      </c>
      <c r="K65" s="242">
        <f t="shared" ca="1" si="9"/>
        <v>0.44652777777777769</v>
      </c>
      <c r="L65" s="122">
        <f t="shared" ca="1" si="94"/>
        <v>0</v>
      </c>
      <c r="M65" s="243" t="str">
        <f ca="1">IF(L65&lt;&gt;0,вПМ(L65,K65),"")</f>
        <v/>
      </c>
      <c r="N65" s="122">
        <f ca="1">IF(L65&lt;&gt;0,вРазн(L65,K65), 0)</f>
        <v>0</v>
      </c>
      <c r="O65" s="301" t="str">
        <f t="shared" ca="1" si="95"/>
        <v>DNS</v>
      </c>
      <c r="P65" s="300">
        <f t="shared" ca="1" si="12"/>
        <v>4.86111119389534E-2</v>
      </c>
      <c r="Q65" s="294"/>
      <c r="R65" s="242">
        <f t="shared" ca="1" si="96"/>
        <v>0.49513888971673109</v>
      </c>
      <c r="S65" s="122">
        <f t="shared" ca="1" si="97"/>
        <v>0</v>
      </c>
      <c r="T65" s="243" t="str">
        <f ca="1">IF(S65&lt;&gt;0,вПМ(S65,R65),"")</f>
        <v/>
      </c>
      <c r="U65" s="122">
        <f ca="1">IF(S65&lt;&gt;0,вРазн(S65,R65), 0)</f>
        <v>0</v>
      </c>
      <c r="V65" s="301">
        <f t="shared" ca="1" si="98"/>
        <v>900</v>
      </c>
      <c r="W65" s="300">
        <f t="shared" ca="1" si="16"/>
        <v>4.86111119389534E-2</v>
      </c>
      <c r="X65" s="122"/>
      <c r="Y65" s="294">
        <f t="shared" ca="1" si="99"/>
        <v>0</v>
      </c>
      <c r="Z65" s="242">
        <f t="shared" ca="1" si="100"/>
        <v>0.54375000165568443</v>
      </c>
      <c r="AA65" s="122">
        <f t="shared" ca="1" si="101"/>
        <v>0</v>
      </c>
      <c r="AB65" s="243" t="str">
        <f ca="1">IF(AA65&lt;&gt;0,вПМ(AA65,Z65),"")</f>
        <v/>
      </c>
      <c r="AC65" s="122">
        <f ca="1">IF(AA65&lt;&gt;0,вРазн(AA65,Z65), 0)</f>
        <v>0</v>
      </c>
      <c r="AD65" s="301">
        <f t="shared" ca="1" si="102"/>
        <v>900</v>
      </c>
      <c r="AE65" s="300">
        <f t="shared" ca="1" si="21"/>
        <v>2.43055559694767E-2</v>
      </c>
      <c r="AF65" s="122"/>
      <c r="AG65" s="294">
        <f t="shared" ca="1" si="103"/>
        <v>0</v>
      </c>
      <c r="AH65" s="242">
        <f t="shared" ca="1" si="104"/>
        <v>0.56805555762516113</v>
      </c>
      <c r="AI65" s="122">
        <f t="shared" ca="1" si="105"/>
        <v>0</v>
      </c>
      <c r="AJ65" s="243" t="str">
        <f ca="1">IF(AI65&lt;&gt;0,вПМ(AI65,AH65),"")</f>
        <v/>
      </c>
      <c r="AK65" s="122">
        <f ca="1">IF(AI65&lt;&gt;0,вРазн(AI65,AH65), 0)</f>
        <v>0</v>
      </c>
      <c r="AL65" s="301">
        <f t="shared" ca="1" si="106"/>
        <v>900</v>
      </c>
      <c r="AM65" s="300">
        <f t="shared" ca="1" si="26"/>
        <v>2.43055559694767E-2</v>
      </c>
      <c r="AN65" s="122"/>
      <c r="AO65" s="294">
        <f t="shared" ca="1" si="107"/>
        <v>0</v>
      </c>
      <c r="AP65" s="242">
        <f t="shared" ca="1" si="108"/>
        <v>0.59236111359463783</v>
      </c>
      <c r="AQ65" s="122">
        <f t="shared" ca="1" si="109"/>
        <v>0</v>
      </c>
      <c r="AR65" s="243" t="str">
        <f ca="1">IF(AQ65&lt;&gt;0,вПМ(AQ65,AP65),"")</f>
        <v/>
      </c>
      <c r="AS65" s="122">
        <f ca="1">IF(AQ65&lt;&gt;0,вРазн(AQ65,AP65), 0)</f>
        <v>0</v>
      </c>
      <c r="AT65" s="301">
        <f t="shared" ca="1" si="110"/>
        <v>900</v>
      </c>
      <c r="AU65" s="300">
        <f t="shared" ca="1" si="31"/>
        <v>3.125E-2</v>
      </c>
      <c r="AV65" s="122"/>
      <c r="AW65" s="294">
        <f t="shared" ca="1" si="111"/>
        <v>0</v>
      </c>
      <c r="AX65" s="242">
        <f t="shared" ca="1" si="112"/>
        <v>0.62361111359463783</v>
      </c>
      <c r="AY65" s="122">
        <f t="shared" ca="1" si="113"/>
        <v>0</v>
      </c>
      <c r="AZ65" s="243" t="str">
        <f ca="1">IF(AY65&lt;&gt;0,вПМ(AY65,AX65),"")</f>
        <v/>
      </c>
      <c r="BA65" s="122">
        <f ca="1">IF(AY65&lt;&gt;0,вРазн(AY65,AX65), 0)</f>
        <v>0</v>
      </c>
      <c r="BB65" s="301">
        <f t="shared" ca="1" si="114"/>
        <v>900</v>
      </c>
      <c r="BC65" s="300">
        <f t="shared" ca="1" si="36"/>
        <v>4.1666667908430099E-2</v>
      </c>
      <c r="BD65" s="122"/>
      <c r="BE65" s="294">
        <f t="shared" ca="1" si="115"/>
        <v>0</v>
      </c>
      <c r="BF65" s="242">
        <f t="shared" ca="1" si="116"/>
        <v>0.66527778150306793</v>
      </c>
      <c r="BG65" s="122">
        <f t="shared" ca="1" si="117"/>
        <v>0</v>
      </c>
      <c r="BH65" s="243" t="str">
        <f ca="1">IF(BG65&lt;&gt;0,вПМ(BG65,BF65),"")</f>
        <v/>
      </c>
      <c r="BI65" s="122">
        <f ca="1">IF(BG65&lt;&gt;0,вРазн(BG65,BF65), 0)</f>
        <v>0</v>
      </c>
      <c r="BJ65" s="301">
        <f t="shared" ca="1" si="118"/>
        <v>900</v>
      </c>
      <c r="BK65" s="300">
        <f t="shared" ca="1" si="41"/>
        <v>2.777777798473835E-2</v>
      </c>
      <c r="BL65" s="122"/>
      <c r="BM65" s="294">
        <f t="shared" ca="1" si="119"/>
        <v>0</v>
      </c>
      <c r="BN65" s="242">
        <f t="shared" ca="1" si="120"/>
        <v>0.69305555948780628</v>
      </c>
      <c r="BO65" s="122">
        <f t="shared" ca="1" si="121"/>
        <v>0</v>
      </c>
      <c r="BP65" s="243" t="str">
        <f ca="1">IF(BO65&lt;&gt;0,вПМ(BO65,BN65),"")</f>
        <v/>
      </c>
      <c r="BQ65" s="122">
        <f ca="1">IF(BO65&lt;&gt;0,вРазн(BO65,BN65), 0)</f>
        <v>0</v>
      </c>
      <c r="BR65" s="244" t="str">
        <f t="shared" ca="1" si="122"/>
        <v>DNF</v>
      </c>
      <c r="BS65" s="242">
        <f t="shared" ca="1" si="46"/>
        <v>0</v>
      </c>
      <c r="BT65" s="122">
        <f t="shared" ca="1" si="123"/>
        <v>0</v>
      </c>
      <c r="BU65" s="122">
        <f t="shared" ca="1" si="124"/>
        <v>0</v>
      </c>
      <c r="BV65" s="248">
        <f t="shared" ca="1" si="125"/>
        <v>0</v>
      </c>
      <c r="BW65" s="248">
        <f t="shared" ca="1" si="126"/>
        <v>0</v>
      </c>
      <c r="BX65" s="243">
        <f t="shared" ca="1" si="127"/>
        <v>0</v>
      </c>
      <c r="BY65" s="243">
        <f t="shared" ca="1" si="128"/>
        <v>0</v>
      </c>
      <c r="BZ65" s="243">
        <f t="shared" ca="1" si="129"/>
        <v>0</v>
      </c>
      <c r="CA65" s="463">
        <f t="shared" ca="1" si="130"/>
        <v>900</v>
      </c>
      <c r="CB65" s="242">
        <f t="shared" ca="1" si="52"/>
        <v>0</v>
      </c>
      <c r="CC65" s="122">
        <f t="shared" ca="1" si="131"/>
        <v>0</v>
      </c>
      <c r="CD65" s="122">
        <f ca="1">IF(OR(CB65=0,CC65=0),0,вРазн(CC65,CB65))</f>
        <v>0</v>
      </c>
      <c r="CE65" s="122"/>
      <c r="CF65" s="122"/>
      <c r="CG65" s="247">
        <f t="shared" ca="1" si="132"/>
        <v>0</v>
      </c>
      <c r="CH65" s="245">
        <f t="shared" ca="1" si="54"/>
        <v>0</v>
      </c>
      <c r="CI65" s="240" t="str">
        <f ca="1">IF(CH65&lt;&gt;0,вПМ(CH65,CG65,"s"),"")</f>
        <v/>
      </c>
      <c r="CJ65" s="245">
        <f ca="1">IF(CH65&lt;&gt;0,вРазн(CH65,CG65,"s"), 0)</f>
        <v>0</v>
      </c>
      <c r="CK65" s="463">
        <f t="shared" ca="1" si="133"/>
        <v>1800</v>
      </c>
      <c r="CL65" s="247">
        <f t="shared" ca="1" si="134"/>
        <v>0</v>
      </c>
      <c r="CM65" s="245">
        <f t="shared" ca="1" si="57"/>
        <v>0</v>
      </c>
      <c r="CN65" s="243" t="str">
        <f ca="1">IF(AND(CM65&lt;&gt;0,CL65&lt;&gt;0),вПМ(CM65,CL65,"s"),"")</f>
        <v/>
      </c>
      <c r="CO65" s="245">
        <f ca="1">IF(AND(CM65&lt;&gt;0,CL65&lt;&gt;0),вРазн(CM65,CL65,"s"), 0)</f>
        <v>0</v>
      </c>
      <c r="CP65" s="463">
        <f t="shared" ca="1" si="135"/>
        <v>0</v>
      </c>
      <c r="CQ65" s="242">
        <f t="shared" ca="1" si="59"/>
        <v>0</v>
      </c>
      <c r="CR65" s="122">
        <f t="shared" ca="1" si="136"/>
        <v>0</v>
      </c>
      <c r="CS65" s="122">
        <f ca="1">IF(OR(CQ65=0,CR65=0),0,вРазн(CR65,CQ65))</f>
        <v>0</v>
      </c>
      <c r="CT65" s="122"/>
      <c r="CU65" s="122"/>
      <c r="CV65" s="247">
        <f t="shared" ca="1" si="137"/>
        <v>0</v>
      </c>
      <c r="CW65" s="245">
        <f t="shared" ca="1" si="61"/>
        <v>0</v>
      </c>
      <c r="CX65" s="240" t="str">
        <f ca="1">IF(CW65&lt;&gt;0,вПМ(CW65,CV65,"s"),"")</f>
        <v/>
      </c>
      <c r="CY65" s="245">
        <f ca="1">IF(CW65&lt;&gt;0,вРазн(CW65,CV65,"s"), 0)</f>
        <v>0</v>
      </c>
      <c r="CZ65" s="463">
        <f t="shared" ca="1" si="138"/>
        <v>1800</v>
      </c>
      <c r="DA65" s="247">
        <f t="shared" ca="1" si="139"/>
        <v>0</v>
      </c>
      <c r="DB65" s="245">
        <f t="shared" ca="1" si="64"/>
        <v>0</v>
      </c>
      <c r="DC65" s="243" t="str">
        <f ca="1">IF(AND(DB65&lt;&gt;0,DA65&lt;&gt;0),вПМ(DB65,DA65,"s"),"")</f>
        <v/>
      </c>
      <c r="DD65" s="245">
        <f ca="1">IF(AND(DB65&lt;&gt;0,DA65&lt;&gt;0),вРазн(DB65,DA65,"s"), 0)</f>
        <v>0</v>
      </c>
      <c r="DE65" s="463">
        <f t="shared" ca="1" si="140"/>
        <v>0</v>
      </c>
      <c r="DF65" s="242">
        <f t="shared" ca="1" si="66"/>
        <v>0</v>
      </c>
      <c r="DG65" s="122">
        <f t="shared" ca="1" si="141"/>
        <v>0</v>
      </c>
      <c r="DH65" s="122">
        <f t="shared" ca="1" si="142"/>
        <v>0</v>
      </c>
      <c r="DI65" s="248">
        <f t="shared" ca="1" si="143"/>
        <v>0</v>
      </c>
      <c r="DJ65" s="248">
        <f t="shared" ca="1" si="144"/>
        <v>0</v>
      </c>
      <c r="DK65" s="243">
        <f t="shared" ca="1" si="145"/>
        <v>0</v>
      </c>
      <c r="DL65" s="243">
        <f t="shared" ca="1" si="146"/>
        <v>0</v>
      </c>
      <c r="DM65" s="243">
        <f t="shared" ca="1" si="147"/>
        <v>0</v>
      </c>
      <c r="DN65" s="463">
        <f t="shared" ca="1" si="148"/>
        <v>900</v>
      </c>
      <c r="DO65" s="249">
        <f t="shared" ca="1" si="72"/>
        <v>0</v>
      </c>
      <c r="DP65" s="246">
        <f t="shared" ca="1" si="149"/>
        <v>0</v>
      </c>
      <c r="DQ65" s="249">
        <f t="shared" ca="1" si="72"/>
        <v>0</v>
      </c>
      <c r="DR65" s="246">
        <f t="shared" ca="1" si="150"/>
        <v>0</v>
      </c>
      <c r="DS65" s="242">
        <f t="shared" ca="1" si="164"/>
        <v>0</v>
      </c>
      <c r="DT65" s="244">
        <f t="shared" ca="1" si="151"/>
        <v>900</v>
      </c>
      <c r="DU65" s="242">
        <f t="shared" ca="1" si="164"/>
        <v>0</v>
      </c>
      <c r="DV65" s="244">
        <f t="shared" ca="1" si="152"/>
        <v>900</v>
      </c>
      <c r="DW65" s="459"/>
      <c r="DX65" s="459"/>
      <c r="DY65" s="459"/>
      <c r="DZ65" s="459"/>
      <c r="EA65" s="459"/>
      <c r="EB65" s="459"/>
      <c r="EC65" s="459"/>
      <c r="ED65" s="459"/>
      <c r="EE65" s="459"/>
      <c r="EF65" s="459"/>
      <c r="EG65" s="459"/>
      <c r="EH65" s="459"/>
      <c r="EI65" s="459"/>
      <c r="EJ65" s="459"/>
      <c r="EK65" s="459"/>
      <c r="EL65" s="459"/>
      <c r="EM65" s="459"/>
      <c r="EN65" s="459"/>
      <c r="EO65" s="459"/>
      <c r="EP65" s="459"/>
      <c r="EQ65" s="459"/>
      <c r="ER65" s="459"/>
      <c r="ES65" s="459"/>
      <c r="ET65" s="459"/>
      <c r="EU65" s="242" t="e">
        <f t="shared" ca="1" si="153"/>
        <v>#VALUE!</v>
      </c>
      <c r="EV65" s="122">
        <f t="shared" ca="1" si="154"/>
        <v>0</v>
      </c>
      <c r="EW65" s="243" t="e">
        <f ca="1">IF(AND(EV65&lt;&gt;0,EU65&lt;&gt;0),вПМ(EV65,EU65),"")</f>
        <v>#VALUE!</v>
      </c>
      <c r="EX65" s="122">
        <f ca="1">IF(EV65&lt;&gt;0,вРазн(EV65,EU65), 0)</f>
        <v>0</v>
      </c>
      <c r="EY65" s="244">
        <f t="shared" ca="1" si="155"/>
        <v>900</v>
      </c>
      <c r="EZ65" s="242">
        <f t="shared" ca="1" si="81"/>
        <v>0</v>
      </c>
      <c r="FA65" s="122">
        <f t="shared" ca="1" si="156"/>
        <v>0</v>
      </c>
      <c r="FB65" s="122">
        <f t="shared" ca="1" si="157"/>
        <v>0</v>
      </c>
      <c r="FC65" s="248">
        <f t="shared" ca="1" si="158"/>
        <v>0</v>
      </c>
      <c r="FD65" s="248">
        <f t="shared" ca="1" si="159"/>
        <v>0</v>
      </c>
      <c r="FE65" s="248">
        <f t="shared" ca="1" si="160"/>
        <v>0</v>
      </c>
      <c r="FF65" s="243">
        <f t="shared" ca="1" si="161"/>
        <v>0</v>
      </c>
      <c r="FG65" s="243">
        <f t="shared" ca="1" si="162"/>
        <v>0</v>
      </c>
      <c r="FH65" s="463">
        <f t="shared" ca="1" si="163"/>
        <v>1800</v>
      </c>
    </row>
    <row r="66" spans="1:165" s="236" customFormat="1" x14ac:dyDescent="0.25">
      <c r="A66" s="388" t="str">
        <f>стартоваяВедомость!B66</f>
        <v/>
      </c>
      <c r="B66" s="389">
        <f t="shared" ca="1" si="1"/>
        <v>0</v>
      </c>
      <c r="C66" s="389">
        <f t="shared" ca="1" si="2"/>
        <v>0</v>
      </c>
      <c r="D66" s="389">
        <f t="shared" ca="1" si="3"/>
        <v>0</v>
      </c>
      <c r="E66" s="389">
        <f t="shared" ca="1" si="4"/>
        <v>0</v>
      </c>
      <c r="F66" s="389">
        <f t="shared" ca="1" si="5"/>
        <v>0</v>
      </c>
      <c r="G66" s="486" t="str">
        <f t="shared" si="90"/>
        <v/>
      </c>
      <c r="H66" s="486" t="str">
        <f t="shared" ca="1" si="91"/>
        <v>DNS</v>
      </c>
      <c r="I66" s="486">
        <f t="shared" ca="1" si="92"/>
        <v>5400</v>
      </c>
      <c r="J66" s="486">
        <f t="shared" ca="1" si="93"/>
        <v>0</v>
      </c>
      <c r="K66" s="390">
        <f t="shared" ca="1" si="9"/>
        <v>0.44652777777777769</v>
      </c>
      <c r="L66" s="391">
        <f t="shared" ca="1" si="94"/>
        <v>0</v>
      </c>
      <c r="M66" s="392" t="str">
        <f ca="1">IF(L66&lt;&gt;0,вПМ(L66,K66),"")</f>
        <v/>
      </c>
      <c r="N66" s="391">
        <f ca="1">IF(L66&lt;&gt;0,вРазн(L66,K66), 0)</f>
        <v>0</v>
      </c>
      <c r="O66" s="393" t="str">
        <f t="shared" ca="1" si="95"/>
        <v>DNS</v>
      </c>
      <c r="P66" s="394">
        <f t="shared" ca="1" si="12"/>
        <v>4.86111119389534E-2</v>
      </c>
      <c r="Q66" s="395"/>
      <c r="R66" s="390">
        <f t="shared" ca="1" si="96"/>
        <v>0.49513888971673109</v>
      </c>
      <c r="S66" s="391">
        <f t="shared" ca="1" si="97"/>
        <v>0</v>
      </c>
      <c r="T66" s="392" t="str">
        <f ca="1">IF(S66&lt;&gt;0,вПМ(S66,R66),"")</f>
        <v/>
      </c>
      <c r="U66" s="391">
        <f ca="1">IF(S66&lt;&gt;0,вРазн(S66,R66), 0)</f>
        <v>0</v>
      </c>
      <c r="V66" s="393">
        <f t="shared" ca="1" si="98"/>
        <v>900</v>
      </c>
      <c r="W66" s="394">
        <f t="shared" ca="1" si="16"/>
        <v>4.86111119389534E-2</v>
      </c>
      <c r="X66" s="391"/>
      <c r="Y66" s="395">
        <f t="shared" ca="1" si="99"/>
        <v>0</v>
      </c>
      <c r="Z66" s="390">
        <f t="shared" ca="1" si="100"/>
        <v>0.54375000165568443</v>
      </c>
      <c r="AA66" s="391">
        <f t="shared" ca="1" si="101"/>
        <v>0</v>
      </c>
      <c r="AB66" s="392" t="str">
        <f ca="1">IF(AA66&lt;&gt;0,вПМ(AA66,Z66),"")</f>
        <v/>
      </c>
      <c r="AC66" s="391">
        <f ca="1">IF(AA66&lt;&gt;0,вРазн(AA66,Z66), 0)</f>
        <v>0</v>
      </c>
      <c r="AD66" s="393">
        <f t="shared" ca="1" si="102"/>
        <v>900</v>
      </c>
      <c r="AE66" s="394">
        <f t="shared" ca="1" si="21"/>
        <v>2.43055559694767E-2</v>
      </c>
      <c r="AF66" s="391"/>
      <c r="AG66" s="395">
        <f t="shared" ca="1" si="103"/>
        <v>0</v>
      </c>
      <c r="AH66" s="390">
        <f t="shared" ca="1" si="104"/>
        <v>0.56805555762516113</v>
      </c>
      <c r="AI66" s="391">
        <f t="shared" ca="1" si="105"/>
        <v>0</v>
      </c>
      <c r="AJ66" s="392" t="str">
        <f ca="1">IF(AI66&lt;&gt;0,вПМ(AI66,AH66),"")</f>
        <v/>
      </c>
      <c r="AK66" s="391">
        <f ca="1">IF(AI66&lt;&gt;0,вРазн(AI66,AH66), 0)</f>
        <v>0</v>
      </c>
      <c r="AL66" s="393">
        <f t="shared" ca="1" si="106"/>
        <v>900</v>
      </c>
      <c r="AM66" s="394">
        <f t="shared" ca="1" si="26"/>
        <v>2.43055559694767E-2</v>
      </c>
      <c r="AN66" s="391"/>
      <c r="AO66" s="395">
        <f t="shared" ca="1" si="107"/>
        <v>0</v>
      </c>
      <c r="AP66" s="390">
        <f t="shared" ca="1" si="108"/>
        <v>0.59236111359463783</v>
      </c>
      <c r="AQ66" s="391">
        <f t="shared" ca="1" si="109"/>
        <v>0</v>
      </c>
      <c r="AR66" s="392" t="str">
        <f ca="1">IF(AQ66&lt;&gt;0,вПМ(AQ66,AP66),"")</f>
        <v/>
      </c>
      <c r="AS66" s="391">
        <f ca="1">IF(AQ66&lt;&gt;0,вРазн(AQ66,AP66), 0)</f>
        <v>0</v>
      </c>
      <c r="AT66" s="393">
        <f t="shared" ca="1" si="110"/>
        <v>900</v>
      </c>
      <c r="AU66" s="394">
        <f t="shared" ca="1" si="31"/>
        <v>3.125E-2</v>
      </c>
      <c r="AV66" s="391"/>
      <c r="AW66" s="395">
        <f t="shared" ca="1" si="111"/>
        <v>0</v>
      </c>
      <c r="AX66" s="390">
        <f t="shared" ca="1" si="112"/>
        <v>0.62361111359463783</v>
      </c>
      <c r="AY66" s="391">
        <f t="shared" ca="1" si="113"/>
        <v>0</v>
      </c>
      <c r="AZ66" s="392" t="str">
        <f ca="1">IF(AY66&lt;&gt;0,вПМ(AY66,AX66),"")</f>
        <v/>
      </c>
      <c r="BA66" s="391">
        <f ca="1">IF(AY66&lt;&gt;0,вРазн(AY66,AX66), 0)</f>
        <v>0</v>
      </c>
      <c r="BB66" s="393">
        <f t="shared" ca="1" si="114"/>
        <v>900</v>
      </c>
      <c r="BC66" s="394">
        <f t="shared" ca="1" si="36"/>
        <v>4.1666667908430099E-2</v>
      </c>
      <c r="BD66" s="391"/>
      <c r="BE66" s="395">
        <f t="shared" ca="1" si="115"/>
        <v>0</v>
      </c>
      <c r="BF66" s="390">
        <f t="shared" ca="1" si="116"/>
        <v>0.66527778150306793</v>
      </c>
      <c r="BG66" s="391">
        <f t="shared" ca="1" si="117"/>
        <v>0</v>
      </c>
      <c r="BH66" s="392" t="str">
        <f ca="1">IF(BG66&lt;&gt;0,вПМ(BG66,BF66),"")</f>
        <v/>
      </c>
      <c r="BI66" s="391">
        <f ca="1">IF(BG66&lt;&gt;0,вРазн(BG66,BF66), 0)</f>
        <v>0</v>
      </c>
      <c r="BJ66" s="393">
        <f t="shared" ca="1" si="118"/>
        <v>900</v>
      </c>
      <c r="BK66" s="394">
        <f t="shared" ca="1" si="41"/>
        <v>2.777777798473835E-2</v>
      </c>
      <c r="BL66" s="391"/>
      <c r="BM66" s="395">
        <f t="shared" ca="1" si="119"/>
        <v>0</v>
      </c>
      <c r="BN66" s="390">
        <f t="shared" ca="1" si="120"/>
        <v>0.69305555948780628</v>
      </c>
      <c r="BO66" s="391">
        <f t="shared" ca="1" si="121"/>
        <v>0</v>
      </c>
      <c r="BP66" s="392" t="str">
        <f ca="1">IF(BO66&lt;&gt;0,вПМ(BO66,BN66),"")</f>
        <v/>
      </c>
      <c r="BQ66" s="391">
        <f ca="1">IF(BO66&lt;&gt;0,вРазн(BO66,BN66), 0)</f>
        <v>0</v>
      </c>
      <c r="BR66" s="396" t="str">
        <f t="shared" ca="1" si="122"/>
        <v>DNF</v>
      </c>
      <c r="BS66" s="390">
        <f t="shared" ca="1" si="46"/>
        <v>0</v>
      </c>
      <c r="BT66" s="391">
        <f t="shared" ca="1" si="123"/>
        <v>0</v>
      </c>
      <c r="BU66" s="391">
        <f t="shared" ca="1" si="124"/>
        <v>0</v>
      </c>
      <c r="BV66" s="401">
        <f t="shared" ca="1" si="125"/>
        <v>0</v>
      </c>
      <c r="BW66" s="401">
        <f t="shared" ca="1" si="126"/>
        <v>0</v>
      </c>
      <c r="BX66" s="392">
        <f t="shared" ca="1" si="127"/>
        <v>0</v>
      </c>
      <c r="BY66" s="392">
        <f t="shared" ca="1" si="128"/>
        <v>0</v>
      </c>
      <c r="BZ66" s="392">
        <f t="shared" ca="1" si="129"/>
        <v>0</v>
      </c>
      <c r="CA66" s="462">
        <f t="shared" ca="1" si="130"/>
        <v>900</v>
      </c>
      <c r="CB66" s="390">
        <f t="shared" ca="1" si="52"/>
        <v>0</v>
      </c>
      <c r="CC66" s="391">
        <f t="shared" ca="1" si="131"/>
        <v>0</v>
      </c>
      <c r="CD66" s="391">
        <f ca="1">IF(OR(CB66=0,CC66=0),0,вРазн(CC66,CB66))</f>
        <v>0</v>
      </c>
      <c r="CE66" s="391"/>
      <c r="CF66" s="391"/>
      <c r="CG66" s="397">
        <f t="shared" ca="1" si="132"/>
        <v>0</v>
      </c>
      <c r="CH66" s="398">
        <f t="shared" ca="1" si="54"/>
        <v>0</v>
      </c>
      <c r="CI66" s="399" t="str">
        <f ca="1">IF(CH66&lt;&gt;0,вПМ(CH66,CG66,"s"),"")</f>
        <v/>
      </c>
      <c r="CJ66" s="398">
        <f ca="1">IF(CH66&lt;&gt;0,вРазн(CH66,CG66,"s"), 0)</f>
        <v>0</v>
      </c>
      <c r="CK66" s="462">
        <f t="shared" ca="1" si="133"/>
        <v>1800</v>
      </c>
      <c r="CL66" s="397">
        <f t="shared" ca="1" si="134"/>
        <v>0</v>
      </c>
      <c r="CM66" s="398">
        <f t="shared" ca="1" si="57"/>
        <v>0</v>
      </c>
      <c r="CN66" s="392" t="str">
        <f ca="1">IF(AND(CM66&lt;&gt;0,CL66&lt;&gt;0),вПМ(CM66,CL66,"s"),"")</f>
        <v/>
      </c>
      <c r="CO66" s="398">
        <f ca="1">IF(AND(CM66&lt;&gt;0,CL66&lt;&gt;0),вРазн(CM66,CL66,"s"), 0)</f>
        <v>0</v>
      </c>
      <c r="CP66" s="462">
        <f t="shared" ca="1" si="135"/>
        <v>0</v>
      </c>
      <c r="CQ66" s="390">
        <f t="shared" ca="1" si="59"/>
        <v>0</v>
      </c>
      <c r="CR66" s="391">
        <f t="shared" ca="1" si="136"/>
        <v>0</v>
      </c>
      <c r="CS66" s="391">
        <f ca="1">IF(OR(CQ66=0,CR66=0),0,вРазн(CR66,CQ66))</f>
        <v>0</v>
      </c>
      <c r="CT66" s="391"/>
      <c r="CU66" s="391"/>
      <c r="CV66" s="397">
        <f t="shared" ca="1" si="137"/>
        <v>0</v>
      </c>
      <c r="CW66" s="398">
        <f t="shared" ca="1" si="61"/>
        <v>0</v>
      </c>
      <c r="CX66" s="399" t="str">
        <f ca="1">IF(CW66&lt;&gt;0,вПМ(CW66,CV66,"s"),"")</f>
        <v/>
      </c>
      <c r="CY66" s="398">
        <f ca="1">IF(CW66&lt;&gt;0,вРазн(CW66,CV66,"s"), 0)</f>
        <v>0</v>
      </c>
      <c r="CZ66" s="462">
        <f t="shared" ca="1" si="138"/>
        <v>1800</v>
      </c>
      <c r="DA66" s="397">
        <f t="shared" ca="1" si="139"/>
        <v>0</v>
      </c>
      <c r="DB66" s="398">
        <f t="shared" ca="1" si="64"/>
        <v>0</v>
      </c>
      <c r="DC66" s="392" t="str">
        <f ca="1">IF(AND(DB66&lt;&gt;0,DA66&lt;&gt;0),вПМ(DB66,DA66,"s"),"")</f>
        <v/>
      </c>
      <c r="DD66" s="398">
        <f ca="1">IF(AND(DB66&lt;&gt;0,DA66&lt;&gt;0),вРазн(DB66,DA66,"s"), 0)</f>
        <v>0</v>
      </c>
      <c r="DE66" s="462">
        <f t="shared" ca="1" si="140"/>
        <v>0</v>
      </c>
      <c r="DF66" s="390">
        <f t="shared" ca="1" si="66"/>
        <v>0</v>
      </c>
      <c r="DG66" s="391">
        <f t="shared" ca="1" si="141"/>
        <v>0</v>
      </c>
      <c r="DH66" s="391">
        <f t="shared" ca="1" si="142"/>
        <v>0</v>
      </c>
      <c r="DI66" s="401">
        <f t="shared" ca="1" si="143"/>
        <v>0</v>
      </c>
      <c r="DJ66" s="401">
        <f t="shared" ca="1" si="144"/>
        <v>0</v>
      </c>
      <c r="DK66" s="392">
        <f t="shared" ca="1" si="145"/>
        <v>0</v>
      </c>
      <c r="DL66" s="392">
        <f t="shared" ca="1" si="146"/>
        <v>0</v>
      </c>
      <c r="DM66" s="392">
        <f t="shared" ca="1" si="147"/>
        <v>0</v>
      </c>
      <c r="DN66" s="462">
        <f t="shared" ca="1" si="148"/>
        <v>900</v>
      </c>
      <c r="DO66" s="402">
        <f t="shared" ca="1" si="72"/>
        <v>0</v>
      </c>
      <c r="DP66" s="400">
        <f t="shared" ca="1" si="149"/>
        <v>0</v>
      </c>
      <c r="DQ66" s="402">
        <f t="shared" ca="1" si="72"/>
        <v>0</v>
      </c>
      <c r="DR66" s="400">
        <f t="shared" ca="1" si="150"/>
        <v>0</v>
      </c>
      <c r="DS66" s="390">
        <f t="shared" ca="1" si="164"/>
        <v>0</v>
      </c>
      <c r="DT66" s="396">
        <f t="shared" ca="1" si="151"/>
        <v>900</v>
      </c>
      <c r="DU66" s="390">
        <f t="shared" ca="1" si="164"/>
        <v>0</v>
      </c>
      <c r="DV66" s="396">
        <f t="shared" ca="1" si="152"/>
        <v>900</v>
      </c>
      <c r="DW66" s="459"/>
      <c r="DX66" s="459"/>
      <c r="DY66" s="459"/>
      <c r="DZ66" s="459"/>
      <c r="EA66" s="459"/>
      <c r="EB66" s="459"/>
      <c r="EC66" s="459"/>
      <c r="ED66" s="459"/>
      <c r="EE66" s="459"/>
      <c r="EF66" s="459"/>
      <c r="EG66" s="459"/>
      <c r="EH66" s="459"/>
      <c r="EI66" s="459"/>
      <c r="EJ66" s="459"/>
      <c r="EK66" s="459"/>
      <c r="EL66" s="459"/>
      <c r="EM66" s="459"/>
      <c r="EN66" s="459"/>
      <c r="EO66" s="459"/>
      <c r="EP66" s="459"/>
      <c r="EQ66" s="459"/>
      <c r="ER66" s="459"/>
      <c r="ES66" s="459"/>
      <c r="ET66" s="459"/>
      <c r="EU66" s="390" t="e">
        <f t="shared" ca="1" si="153"/>
        <v>#VALUE!</v>
      </c>
      <c r="EV66" s="391">
        <f t="shared" ca="1" si="154"/>
        <v>0</v>
      </c>
      <c r="EW66" s="392" t="e">
        <f ca="1">IF(AND(EV66&lt;&gt;0,EU66&lt;&gt;0),вПМ(EV66,EU66),"")</f>
        <v>#VALUE!</v>
      </c>
      <c r="EX66" s="391">
        <f ca="1">IF(EV66&lt;&gt;0,вРазн(EV66,EU66), 0)</f>
        <v>0</v>
      </c>
      <c r="EY66" s="396">
        <f t="shared" ca="1" si="155"/>
        <v>900</v>
      </c>
      <c r="EZ66" s="390">
        <f t="shared" ca="1" si="81"/>
        <v>0</v>
      </c>
      <c r="FA66" s="391">
        <f t="shared" ca="1" si="156"/>
        <v>0</v>
      </c>
      <c r="FB66" s="391">
        <f t="shared" ca="1" si="157"/>
        <v>0</v>
      </c>
      <c r="FC66" s="401">
        <f t="shared" ca="1" si="158"/>
        <v>0</v>
      </c>
      <c r="FD66" s="401">
        <f t="shared" ca="1" si="159"/>
        <v>0</v>
      </c>
      <c r="FE66" s="401">
        <f t="shared" ca="1" si="160"/>
        <v>0</v>
      </c>
      <c r="FF66" s="392">
        <f t="shared" ca="1" si="161"/>
        <v>0</v>
      </c>
      <c r="FG66" s="392">
        <f t="shared" ca="1" si="162"/>
        <v>0</v>
      </c>
      <c r="FH66" s="462">
        <f t="shared" ca="1" si="163"/>
        <v>1800</v>
      </c>
      <c r="FI66" s="403"/>
    </row>
    <row r="67" spans="1:165" s="20" customFormat="1" x14ac:dyDescent="0.25">
      <c r="A67" s="253" t="str">
        <f>стартоваяВедомость!B67</f>
        <v/>
      </c>
      <c r="B67" s="241">
        <f t="shared" ca="1" si="1"/>
        <v>0</v>
      </c>
      <c r="C67" s="241">
        <f t="shared" ca="1" si="2"/>
        <v>0</v>
      </c>
      <c r="D67" s="241">
        <f t="shared" ca="1" si="3"/>
        <v>0</v>
      </c>
      <c r="E67" s="241">
        <f t="shared" ca="1" si="4"/>
        <v>0</v>
      </c>
      <c r="F67" s="241">
        <f t="shared" ca="1" si="5"/>
        <v>0</v>
      </c>
      <c r="G67" s="487" t="str">
        <f t="shared" si="90"/>
        <v/>
      </c>
      <c r="H67" s="487" t="str">
        <f t="shared" ca="1" si="91"/>
        <v>DNS</v>
      </c>
      <c r="I67" s="487">
        <f t="shared" ca="1" si="92"/>
        <v>5400</v>
      </c>
      <c r="J67" s="487">
        <f t="shared" ca="1" si="93"/>
        <v>0</v>
      </c>
      <c r="K67" s="242">
        <f t="shared" ca="1" si="9"/>
        <v>0.44652777777777769</v>
      </c>
      <c r="L67" s="122">
        <f t="shared" ca="1" si="94"/>
        <v>0</v>
      </c>
      <c r="M67" s="243" t="str">
        <f ca="1">IF(L67&lt;&gt;0,вПМ(L67,K67),"")</f>
        <v/>
      </c>
      <c r="N67" s="122">
        <f ca="1">IF(L67&lt;&gt;0,вРазн(L67,K67), 0)</f>
        <v>0</v>
      </c>
      <c r="O67" s="301" t="str">
        <f t="shared" ca="1" si="95"/>
        <v>DNS</v>
      </c>
      <c r="P67" s="300">
        <f t="shared" ca="1" si="12"/>
        <v>4.86111119389534E-2</v>
      </c>
      <c r="Q67" s="294"/>
      <c r="R67" s="242">
        <f t="shared" ca="1" si="96"/>
        <v>0.49513888971673109</v>
      </c>
      <c r="S67" s="122">
        <f t="shared" ca="1" si="97"/>
        <v>0</v>
      </c>
      <c r="T67" s="243" t="str">
        <f ca="1">IF(S67&lt;&gt;0,вПМ(S67,R67),"")</f>
        <v/>
      </c>
      <c r="U67" s="122">
        <f ca="1">IF(S67&lt;&gt;0,вРазн(S67,R67), 0)</f>
        <v>0</v>
      </c>
      <c r="V67" s="301">
        <f t="shared" ca="1" si="98"/>
        <v>900</v>
      </c>
      <c r="W67" s="300">
        <f t="shared" ca="1" si="16"/>
        <v>4.86111119389534E-2</v>
      </c>
      <c r="X67" s="122"/>
      <c r="Y67" s="294">
        <f t="shared" ca="1" si="99"/>
        <v>0</v>
      </c>
      <c r="Z67" s="242">
        <f t="shared" ca="1" si="100"/>
        <v>0.54375000165568443</v>
      </c>
      <c r="AA67" s="122">
        <f t="shared" ca="1" si="101"/>
        <v>0</v>
      </c>
      <c r="AB67" s="243" t="str">
        <f ca="1">IF(AA67&lt;&gt;0,вПМ(AA67,Z67),"")</f>
        <v/>
      </c>
      <c r="AC67" s="122">
        <f ca="1">IF(AA67&lt;&gt;0,вРазн(AA67,Z67), 0)</f>
        <v>0</v>
      </c>
      <c r="AD67" s="301">
        <f t="shared" ca="1" si="102"/>
        <v>900</v>
      </c>
      <c r="AE67" s="300">
        <f t="shared" ca="1" si="21"/>
        <v>2.43055559694767E-2</v>
      </c>
      <c r="AF67" s="122"/>
      <c r="AG67" s="294">
        <f t="shared" ca="1" si="103"/>
        <v>0</v>
      </c>
      <c r="AH67" s="242">
        <f t="shared" ca="1" si="104"/>
        <v>0.56805555762516113</v>
      </c>
      <c r="AI67" s="122">
        <f t="shared" ca="1" si="105"/>
        <v>0</v>
      </c>
      <c r="AJ67" s="243" t="str">
        <f ca="1">IF(AI67&lt;&gt;0,вПМ(AI67,AH67),"")</f>
        <v/>
      </c>
      <c r="AK67" s="122">
        <f ca="1">IF(AI67&lt;&gt;0,вРазн(AI67,AH67), 0)</f>
        <v>0</v>
      </c>
      <c r="AL67" s="301">
        <f t="shared" ca="1" si="106"/>
        <v>900</v>
      </c>
      <c r="AM67" s="300">
        <f t="shared" ca="1" si="26"/>
        <v>2.43055559694767E-2</v>
      </c>
      <c r="AN67" s="122"/>
      <c r="AO67" s="294">
        <f t="shared" ca="1" si="107"/>
        <v>0</v>
      </c>
      <c r="AP67" s="242">
        <f t="shared" ca="1" si="108"/>
        <v>0.59236111359463783</v>
      </c>
      <c r="AQ67" s="122">
        <f t="shared" ca="1" si="109"/>
        <v>0</v>
      </c>
      <c r="AR67" s="243" t="str">
        <f ca="1">IF(AQ67&lt;&gt;0,вПМ(AQ67,AP67),"")</f>
        <v/>
      </c>
      <c r="AS67" s="122">
        <f ca="1">IF(AQ67&lt;&gt;0,вРазн(AQ67,AP67), 0)</f>
        <v>0</v>
      </c>
      <c r="AT67" s="301">
        <f t="shared" ca="1" si="110"/>
        <v>900</v>
      </c>
      <c r="AU67" s="300">
        <f t="shared" ca="1" si="31"/>
        <v>3.125E-2</v>
      </c>
      <c r="AV67" s="122"/>
      <c r="AW67" s="294">
        <f t="shared" ca="1" si="111"/>
        <v>0</v>
      </c>
      <c r="AX67" s="242">
        <f t="shared" ca="1" si="112"/>
        <v>0.62361111359463783</v>
      </c>
      <c r="AY67" s="122">
        <f t="shared" ca="1" si="113"/>
        <v>0</v>
      </c>
      <c r="AZ67" s="243" t="str">
        <f ca="1">IF(AY67&lt;&gt;0,вПМ(AY67,AX67),"")</f>
        <v/>
      </c>
      <c r="BA67" s="122">
        <f ca="1">IF(AY67&lt;&gt;0,вРазн(AY67,AX67), 0)</f>
        <v>0</v>
      </c>
      <c r="BB67" s="301">
        <f t="shared" ca="1" si="114"/>
        <v>900</v>
      </c>
      <c r="BC67" s="300">
        <f t="shared" ca="1" si="36"/>
        <v>4.1666667908430099E-2</v>
      </c>
      <c r="BD67" s="122"/>
      <c r="BE67" s="294">
        <f t="shared" ca="1" si="115"/>
        <v>0</v>
      </c>
      <c r="BF67" s="242">
        <f t="shared" ca="1" si="116"/>
        <v>0.66527778150306793</v>
      </c>
      <c r="BG67" s="122">
        <f t="shared" ca="1" si="117"/>
        <v>0</v>
      </c>
      <c r="BH67" s="243" t="str">
        <f ca="1">IF(BG67&lt;&gt;0,вПМ(BG67,BF67),"")</f>
        <v/>
      </c>
      <c r="BI67" s="122">
        <f ca="1">IF(BG67&lt;&gt;0,вРазн(BG67,BF67), 0)</f>
        <v>0</v>
      </c>
      <c r="BJ67" s="301">
        <f t="shared" ca="1" si="118"/>
        <v>900</v>
      </c>
      <c r="BK67" s="300">
        <f t="shared" ca="1" si="41"/>
        <v>2.777777798473835E-2</v>
      </c>
      <c r="BL67" s="122"/>
      <c r="BM67" s="294">
        <f t="shared" ca="1" si="119"/>
        <v>0</v>
      </c>
      <c r="BN67" s="242">
        <f t="shared" ca="1" si="120"/>
        <v>0.69305555948780628</v>
      </c>
      <c r="BO67" s="122">
        <f t="shared" ca="1" si="121"/>
        <v>0</v>
      </c>
      <c r="BP67" s="243" t="str">
        <f ca="1">IF(BO67&lt;&gt;0,вПМ(BO67,BN67),"")</f>
        <v/>
      </c>
      <c r="BQ67" s="122">
        <f ca="1">IF(BO67&lt;&gt;0,вРазн(BO67,BN67), 0)</f>
        <v>0</v>
      </c>
      <c r="BR67" s="244" t="str">
        <f t="shared" ca="1" si="122"/>
        <v>DNF</v>
      </c>
      <c r="BS67" s="242">
        <f t="shared" ca="1" si="46"/>
        <v>0</v>
      </c>
      <c r="BT67" s="122">
        <f t="shared" ca="1" si="123"/>
        <v>0</v>
      </c>
      <c r="BU67" s="122">
        <f t="shared" ca="1" si="124"/>
        <v>0</v>
      </c>
      <c r="BV67" s="248">
        <f t="shared" ca="1" si="125"/>
        <v>0</v>
      </c>
      <c r="BW67" s="248">
        <f t="shared" ca="1" si="126"/>
        <v>0</v>
      </c>
      <c r="BX67" s="243">
        <f t="shared" ca="1" si="127"/>
        <v>0</v>
      </c>
      <c r="BY67" s="243">
        <f t="shared" ca="1" si="128"/>
        <v>0</v>
      </c>
      <c r="BZ67" s="243">
        <f t="shared" ca="1" si="129"/>
        <v>0</v>
      </c>
      <c r="CA67" s="463">
        <f t="shared" ca="1" si="130"/>
        <v>900</v>
      </c>
      <c r="CB67" s="242">
        <f t="shared" ca="1" si="52"/>
        <v>0</v>
      </c>
      <c r="CC67" s="122">
        <f t="shared" ca="1" si="131"/>
        <v>0</v>
      </c>
      <c r="CD67" s="122">
        <f ca="1">IF(OR(CB67=0,CC67=0),0,вРазн(CC67,CB67))</f>
        <v>0</v>
      </c>
      <c r="CE67" s="122"/>
      <c r="CF67" s="122"/>
      <c r="CG67" s="247">
        <f t="shared" ca="1" si="132"/>
        <v>0</v>
      </c>
      <c r="CH67" s="245">
        <f t="shared" ca="1" si="54"/>
        <v>0</v>
      </c>
      <c r="CI67" s="240" t="str">
        <f ca="1">IF(CH67&lt;&gt;0,вПМ(CH67,CG67,"s"),"")</f>
        <v/>
      </c>
      <c r="CJ67" s="245">
        <f ca="1">IF(CH67&lt;&gt;0,вРазн(CH67,CG67,"s"), 0)</f>
        <v>0</v>
      </c>
      <c r="CK67" s="463">
        <f t="shared" ca="1" si="133"/>
        <v>1800</v>
      </c>
      <c r="CL67" s="247">
        <f t="shared" ca="1" si="134"/>
        <v>0</v>
      </c>
      <c r="CM67" s="245">
        <f t="shared" ca="1" si="57"/>
        <v>0</v>
      </c>
      <c r="CN67" s="243" t="str">
        <f ca="1">IF(AND(CM67&lt;&gt;0,CL67&lt;&gt;0),вПМ(CM67,CL67,"s"),"")</f>
        <v/>
      </c>
      <c r="CO67" s="245">
        <f ca="1">IF(AND(CM67&lt;&gt;0,CL67&lt;&gt;0),вРазн(CM67,CL67,"s"), 0)</f>
        <v>0</v>
      </c>
      <c r="CP67" s="463">
        <f t="shared" ca="1" si="135"/>
        <v>0</v>
      </c>
      <c r="CQ67" s="242">
        <f t="shared" ca="1" si="59"/>
        <v>0</v>
      </c>
      <c r="CR67" s="122">
        <f t="shared" ca="1" si="136"/>
        <v>0</v>
      </c>
      <c r="CS67" s="122">
        <f ca="1">IF(OR(CQ67=0,CR67=0),0,вРазн(CR67,CQ67))</f>
        <v>0</v>
      </c>
      <c r="CT67" s="122"/>
      <c r="CU67" s="122"/>
      <c r="CV67" s="247">
        <f t="shared" ca="1" si="137"/>
        <v>0</v>
      </c>
      <c r="CW67" s="245">
        <f t="shared" ca="1" si="61"/>
        <v>0</v>
      </c>
      <c r="CX67" s="240" t="str">
        <f ca="1">IF(CW67&lt;&gt;0,вПМ(CW67,CV67,"s"),"")</f>
        <v/>
      </c>
      <c r="CY67" s="245">
        <f ca="1">IF(CW67&lt;&gt;0,вРазн(CW67,CV67,"s"), 0)</f>
        <v>0</v>
      </c>
      <c r="CZ67" s="463">
        <f t="shared" ca="1" si="138"/>
        <v>1800</v>
      </c>
      <c r="DA67" s="247">
        <f t="shared" ca="1" si="139"/>
        <v>0</v>
      </c>
      <c r="DB67" s="245">
        <f t="shared" ca="1" si="64"/>
        <v>0</v>
      </c>
      <c r="DC67" s="243" t="str">
        <f ca="1">IF(AND(DB67&lt;&gt;0,DA67&lt;&gt;0),вПМ(DB67,DA67,"s"),"")</f>
        <v/>
      </c>
      <c r="DD67" s="245">
        <f ca="1">IF(AND(DB67&lt;&gt;0,DA67&lt;&gt;0),вРазн(DB67,DA67,"s"), 0)</f>
        <v>0</v>
      </c>
      <c r="DE67" s="463">
        <f t="shared" ca="1" si="140"/>
        <v>0</v>
      </c>
      <c r="DF67" s="242">
        <f t="shared" ca="1" si="66"/>
        <v>0</v>
      </c>
      <c r="DG67" s="122">
        <f t="shared" ca="1" si="141"/>
        <v>0</v>
      </c>
      <c r="DH67" s="122">
        <f t="shared" ca="1" si="142"/>
        <v>0</v>
      </c>
      <c r="DI67" s="248">
        <f t="shared" ca="1" si="143"/>
        <v>0</v>
      </c>
      <c r="DJ67" s="248">
        <f t="shared" ca="1" si="144"/>
        <v>0</v>
      </c>
      <c r="DK67" s="243">
        <f t="shared" ca="1" si="145"/>
        <v>0</v>
      </c>
      <c r="DL67" s="243">
        <f t="shared" ca="1" si="146"/>
        <v>0</v>
      </c>
      <c r="DM67" s="243">
        <f t="shared" ca="1" si="147"/>
        <v>0</v>
      </c>
      <c r="DN67" s="463">
        <f t="shared" ca="1" si="148"/>
        <v>900</v>
      </c>
      <c r="DO67" s="249">
        <f t="shared" ca="1" si="72"/>
        <v>0</v>
      </c>
      <c r="DP67" s="246">
        <f t="shared" ca="1" si="149"/>
        <v>0</v>
      </c>
      <c r="DQ67" s="249">
        <f t="shared" ca="1" si="72"/>
        <v>0</v>
      </c>
      <c r="DR67" s="246">
        <f t="shared" ca="1" si="150"/>
        <v>0</v>
      </c>
      <c r="DS67" s="242">
        <f t="shared" ca="1" si="164"/>
        <v>0</v>
      </c>
      <c r="DT67" s="244">
        <f t="shared" ca="1" si="151"/>
        <v>900</v>
      </c>
      <c r="DU67" s="242">
        <f t="shared" ca="1" si="164"/>
        <v>0</v>
      </c>
      <c r="DV67" s="244">
        <f t="shared" ca="1" si="152"/>
        <v>900</v>
      </c>
      <c r="DW67" s="459"/>
      <c r="DX67" s="459"/>
      <c r="DY67" s="459"/>
      <c r="DZ67" s="459"/>
      <c r="EA67" s="459"/>
      <c r="EB67" s="459"/>
      <c r="EC67" s="459"/>
      <c r="ED67" s="459"/>
      <c r="EE67" s="459"/>
      <c r="EF67" s="459"/>
      <c r="EG67" s="459"/>
      <c r="EH67" s="459"/>
      <c r="EI67" s="459"/>
      <c r="EJ67" s="459"/>
      <c r="EK67" s="459"/>
      <c r="EL67" s="459"/>
      <c r="EM67" s="459"/>
      <c r="EN67" s="459"/>
      <c r="EO67" s="459"/>
      <c r="EP67" s="459"/>
      <c r="EQ67" s="459"/>
      <c r="ER67" s="459"/>
      <c r="ES67" s="459"/>
      <c r="ET67" s="459"/>
      <c r="EU67" s="242" t="e">
        <f t="shared" ca="1" si="153"/>
        <v>#VALUE!</v>
      </c>
      <c r="EV67" s="122">
        <f t="shared" ca="1" si="154"/>
        <v>0</v>
      </c>
      <c r="EW67" s="243" t="e">
        <f ca="1">IF(AND(EV67&lt;&gt;0,EU67&lt;&gt;0),вПМ(EV67,EU67),"")</f>
        <v>#VALUE!</v>
      </c>
      <c r="EX67" s="122">
        <f ca="1">IF(EV67&lt;&gt;0,вРазн(EV67,EU67), 0)</f>
        <v>0</v>
      </c>
      <c r="EY67" s="244">
        <f t="shared" ca="1" si="155"/>
        <v>900</v>
      </c>
      <c r="EZ67" s="242">
        <f t="shared" ca="1" si="81"/>
        <v>0</v>
      </c>
      <c r="FA67" s="122">
        <f t="shared" ca="1" si="156"/>
        <v>0</v>
      </c>
      <c r="FB67" s="122">
        <f t="shared" ca="1" si="157"/>
        <v>0</v>
      </c>
      <c r="FC67" s="248">
        <f t="shared" ca="1" si="158"/>
        <v>0</v>
      </c>
      <c r="FD67" s="248">
        <f t="shared" ca="1" si="159"/>
        <v>0</v>
      </c>
      <c r="FE67" s="248">
        <f t="shared" ca="1" si="160"/>
        <v>0</v>
      </c>
      <c r="FF67" s="243">
        <f t="shared" ca="1" si="161"/>
        <v>0</v>
      </c>
      <c r="FG67" s="243">
        <f t="shared" ca="1" si="162"/>
        <v>0</v>
      </c>
      <c r="FH67" s="463">
        <f t="shared" ca="1" si="163"/>
        <v>1800</v>
      </c>
    </row>
    <row r="68" spans="1:165" s="236" customFormat="1" x14ac:dyDescent="0.25">
      <c r="A68" s="388" t="str">
        <f>стартоваяВедомость!B68</f>
        <v/>
      </c>
      <c r="B68" s="389">
        <f t="shared" ca="1" si="1"/>
        <v>0</v>
      </c>
      <c r="C68" s="389">
        <f t="shared" ca="1" si="2"/>
        <v>0</v>
      </c>
      <c r="D68" s="389">
        <f t="shared" ca="1" si="3"/>
        <v>0</v>
      </c>
      <c r="E68" s="389">
        <f t="shared" ca="1" si="4"/>
        <v>0</v>
      </c>
      <c r="F68" s="389">
        <f t="shared" ca="1" si="5"/>
        <v>0</v>
      </c>
      <c r="G68" s="486" t="str">
        <f t="shared" si="90"/>
        <v/>
      </c>
      <c r="H68" s="486" t="str">
        <f t="shared" ca="1" si="91"/>
        <v>DNS</v>
      </c>
      <c r="I68" s="486">
        <f t="shared" ca="1" si="92"/>
        <v>5400</v>
      </c>
      <c r="J68" s="486">
        <f t="shared" ca="1" si="93"/>
        <v>0</v>
      </c>
      <c r="K68" s="390">
        <f t="shared" ca="1" si="9"/>
        <v>0.44652777777777769</v>
      </c>
      <c r="L68" s="391">
        <f t="shared" ca="1" si="94"/>
        <v>0</v>
      </c>
      <c r="M68" s="392" t="str">
        <f ca="1">IF(L68&lt;&gt;0,вПМ(L68,K68),"")</f>
        <v/>
      </c>
      <c r="N68" s="391">
        <f ca="1">IF(L68&lt;&gt;0,вРазн(L68,K68), 0)</f>
        <v>0</v>
      </c>
      <c r="O68" s="393" t="str">
        <f t="shared" ca="1" si="95"/>
        <v>DNS</v>
      </c>
      <c r="P68" s="394">
        <f t="shared" ca="1" si="12"/>
        <v>4.86111119389534E-2</v>
      </c>
      <c r="Q68" s="395"/>
      <c r="R68" s="390">
        <f t="shared" ca="1" si="96"/>
        <v>0.49513888971673109</v>
      </c>
      <c r="S68" s="391">
        <f t="shared" ca="1" si="97"/>
        <v>0</v>
      </c>
      <c r="T68" s="392" t="str">
        <f ca="1">IF(S68&lt;&gt;0,вПМ(S68,R68),"")</f>
        <v/>
      </c>
      <c r="U68" s="391">
        <f ca="1">IF(S68&lt;&gt;0,вРазн(S68,R68), 0)</f>
        <v>0</v>
      </c>
      <c r="V68" s="393">
        <f t="shared" ca="1" si="98"/>
        <v>900</v>
      </c>
      <c r="W68" s="394">
        <f t="shared" ca="1" si="16"/>
        <v>4.86111119389534E-2</v>
      </c>
      <c r="X68" s="391"/>
      <c r="Y68" s="395">
        <f t="shared" ca="1" si="99"/>
        <v>0</v>
      </c>
      <c r="Z68" s="390">
        <f t="shared" ca="1" si="100"/>
        <v>0.54375000165568443</v>
      </c>
      <c r="AA68" s="391">
        <f t="shared" ca="1" si="101"/>
        <v>0</v>
      </c>
      <c r="AB68" s="392" t="str">
        <f ca="1">IF(AA68&lt;&gt;0,вПМ(AA68,Z68),"")</f>
        <v/>
      </c>
      <c r="AC68" s="391">
        <f ca="1">IF(AA68&lt;&gt;0,вРазн(AA68,Z68), 0)</f>
        <v>0</v>
      </c>
      <c r="AD68" s="393">
        <f t="shared" ca="1" si="102"/>
        <v>900</v>
      </c>
      <c r="AE68" s="394">
        <f t="shared" ca="1" si="21"/>
        <v>2.43055559694767E-2</v>
      </c>
      <c r="AF68" s="391"/>
      <c r="AG68" s="395">
        <f t="shared" ca="1" si="103"/>
        <v>0</v>
      </c>
      <c r="AH68" s="390">
        <f t="shared" ca="1" si="104"/>
        <v>0.56805555762516113</v>
      </c>
      <c r="AI68" s="391">
        <f t="shared" ca="1" si="105"/>
        <v>0</v>
      </c>
      <c r="AJ68" s="392" t="str">
        <f ca="1">IF(AI68&lt;&gt;0,вПМ(AI68,AH68),"")</f>
        <v/>
      </c>
      <c r="AK68" s="391">
        <f ca="1">IF(AI68&lt;&gt;0,вРазн(AI68,AH68), 0)</f>
        <v>0</v>
      </c>
      <c r="AL68" s="393">
        <f t="shared" ca="1" si="106"/>
        <v>900</v>
      </c>
      <c r="AM68" s="394">
        <f t="shared" ca="1" si="26"/>
        <v>2.43055559694767E-2</v>
      </c>
      <c r="AN68" s="391"/>
      <c r="AO68" s="395">
        <f t="shared" ca="1" si="107"/>
        <v>0</v>
      </c>
      <c r="AP68" s="390">
        <f t="shared" ca="1" si="108"/>
        <v>0.59236111359463783</v>
      </c>
      <c r="AQ68" s="391">
        <f t="shared" ca="1" si="109"/>
        <v>0</v>
      </c>
      <c r="AR68" s="392" t="str">
        <f ca="1">IF(AQ68&lt;&gt;0,вПМ(AQ68,AP68),"")</f>
        <v/>
      </c>
      <c r="AS68" s="391">
        <f ca="1">IF(AQ68&lt;&gt;0,вРазн(AQ68,AP68), 0)</f>
        <v>0</v>
      </c>
      <c r="AT68" s="393">
        <f t="shared" ca="1" si="110"/>
        <v>900</v>
      </c>
      <c r="AU68" s="394">
        <f t="shared" ca="1" si="31"/>
        <v>3.125E-2</v>
      </c>
      <c r="AV68" s="391"/>
      <c r="AW68" s="395">
        <f t="shared" ca="1" si="111"/>
        <v>0</v>
      </c>
      <c r="AX68" s="390">
        <f t="shared" ca="1" si="112"/>
        <v>0.62361111359463783</v>
      </c>
      <c r="AY68" s="391">
        <f t="shared" ca="1" si="113"/>
        <v>0</v>
      </c>
      <c r="AZ68" s="392" t="str">
        <f ca="1">IF(AY68&lt;&gt;0,вПМ(AY68,AX68),"")</f>
        <v/>
      </c>
      <c r="BA68" s="391">
        <f ca="1">IF(AY68&lt;&gt;0,вРазн(AY68,AX68), 0)</f>
        <v>0</v>
      </c>
      <c r="BB68" s="393">
        <f t="shared" ca="1" si="114"/>
        <v>900</v>
      </c>
      <c r="BC68" s="394">
        <f t="shared" ca="1" si="36"/>
        <v>4.1666667908430099E-2</v>
      </c>
      <c r="BD68" s="391"/>
      <c r="BE68" s="395">
        <f t="shared" ca="1" si="115"/>
        <v>0</v>
      </c>
      <c r="BF68" s="390">
        <f t="shared" ca="1" si="116"/>
        <v>0.66527778150306793</v>
      </c>
      <c r="BG68" s="391">
        <f t="shared" ca="1" si="117"/>
        <v>0</v>
      </c>
      <c r="BH68" s="392" t="str">
        <f ca="1">IF(BG68&lt;&gt;0,вПМ(BG68,BF68),"")</f>
        <v/>
      </c>
      <c r="BI68" s="391">
        <f ca="1">IF(BG68&lt;&gt;0,вРазн(BG68,BF68), 0)</f>
        <v>0</v>
      </c>
      <c r="BJ68" s="393">
        <f t="shared" ca="1" si="118"/>
        <v>900</v>
      </c>
      <c r="BK68" s="394">
        <f t="shared" ca="1" si="41"/>
        <v>2.777777798473835E-2</v>
      </c>
      <c r="BL68" s="391"/>
      <c r="BM68" s="395">
        <f t="shared" ca="1" si="119"/>
        <v>0</v>
      </c>
      <c r="BN68" s="390">
        <f t="shared" ca="1" si="120"/>
        <v>0.69305555948780628</v>
      </c>
      <c r="BO68" s="391">
        <f t="shared" ca="1" si="121"/>
        <v>0</v>
      </c>
      <c r="BP68" s="392" t="str">
        <f ca="1">IF(BO68&lt;&gt;0,вПМ(BO68,BN68),"")</f>
        <v/>
      </c>
      <c r="BQ68" s="391">
        <f ca="1">IF(BO68&lt;&gt;0,вРазн(BO68,BN68), 0)</f>
        <v>0</v>
      </c>
      <c r="BR68" s="396" t="str">
        <f t="shared" ca="1" si="122"/>
        <v>DNF</v>
      </c>
      <c r="BS68" s="390">
        <f t="shared" ca="1" si="46"/>
        <v>0</v>
      </c>
      <c r="BT68" s="391">
        <f t="shared" ca="1" si="123"/>
        <v>0</v>
      </c>
      <c r="BU68" s="391">
        <f t="shared" ca="1" si="124"/>
        <v>0</v>
      </c>
      <c r="BV68" s="401">
        <f t="shared" ca="1" si="125"/>
        <v>0</v>
      </c>
      <c r="BW68" s="401">
        <f t="shared" ca="1" si="126"/>
        <v>0</v>
      </c>
      <c r="BX68" s="392">
        <f t="shared" ca="1" si="127"/>
        <v>0</v>
      </c>
      <c r="BY68" s="392">
        <f t="shared" ca="1" si="128"/>
        <v>0</v>
      </c>
      <c r="BZ68" s="392">
        <f t="shared" ca="1" si="129"/>
        <v>0</v>
      </c>
      <c r="CA68" s="462">
        <f t="shared" ca="1" si="130"/>
        <v>900</v>
      </c>
      <c r="CB68" s="390">
        <f t="shared" ca="1" si="52"/>
        <v>0</v>
      </c>
      <c r="CC68" s="391">
        <f t="shared" ca="1" si="131"/>
        <v>0</v>
      </c>
      <c r="CD68" s="391">
        <f ca="1">IF(OR(CB68=0,CC68=0),0,вРазн(CC68,CB68))</f>
        <v>0</v>
      </c>
      <c r="CE68" s="391"/>
      <c r="CF68" s="391"/>
      <c r="CG68" s="397">
        <f t="shared" ca="1" si="132"/>
        <v>0</v>
      </c>
      <c r="CH68" s="398">
        <f t="shared" ca="1" si="54"/>
        <v>0</v>
      </c>
      <c r="CI68" s="399" t="str">
        <f ca="1">IF(CH68&lt;&gt;0,вПМ(CH68,CG68,"s"),"")</f>
        <v/>
      </c>
      <c r="CJ68" s="398">
        <f ca="1">IF(CH68&lt;&gt;0,вРазн(CH68,CG68,"s"), 0)</f>
        <v>0</v>
      </c>
      <c r="CK68" s="462">
        <f t="shared" ca="1" si="133"/>
        <v>1800</v>
      </c>
      <c r="CL68" s="397">
        <f t="shared" ca="1" si="134"/>
        <v>0</v>
      </c>
      <c r="CM68" s="398">
        <f t="shared" ca="1" si="57"/>
        <v>0</v>
      </c>
      <c r="CN68" s="392" t="str">
        <f ca="1">IF(AND(CM68&lt;&gt;0,CL68&lt;&gt;0),вПМ(CM68,CL68,"s"),"")</f>
        <v/>
      </c>
      <c r="CO68" s="398">
        <f ca="1">IF(AND(CM68&lt;&gt;0,CL68&lt;&gt;0),вРазн(CM68,CL68,"s"), 0)</f>
        <v>0</v>
      </c>
      <c r="CP68" s="462">
        <f t="shared" ca="1" si="135"/>
        <v>0</v>
      </c>
      <c r="CQ68" s="390">
        <f t="shared" ca="1" si="59"/>
        <v>0</v>
      </c>
      <c r="CR68" s="391">
        <f t="shared" ca="1" si="136"/>
        <v>0</v>
      </c>
      <c r="CS68" s="391">
        <f ca="1">IF(OR(CQ68=0,CR68=0),0,вРазн(CR68,CQ68))</f>
        <v>0</v>
      </c>
      <c r="CT68" s="391"/>
      <c r="CU68" s="391"/>
      <c r="CV68" s="397">
        <f t="shared" ca="1" si="137"/>
        <v>0</v>
      </c>
      <c r="CW68" s="398">
        <f t="shared" ca="1" si="61"/>
        <v>0</v>
      </c>
      <c r="CX68" s="399" t="str">
        <f ca="1">IF(CW68&lt;&gt;0,вПМ(CW68,CV68,"s"),"")</f>
        <v/>
      </c>
      <c r="CY68" s="398">
        <f ca="1">IF(CW68&lt;&gt;0,вРазн(CW68,CV68,"s"), 0)</f>
        <v>0</v>
      </c>
      <c r="CZ68" s="462">
        <f t="shared" ca="1" si="138"/>
        <v>1800</v>
      </c>
      <c r="DA68" s="397">
        <f t="shared" ca="1" si="139"/>
        <v>0</v>
      </c>
      <c r="DB68" s="398">
        <f t="shared" ca="1" si="64"/>
        <v>0</v>
      </c>
      <c r="DC68" s="392" t="str">
        <f ca="1">IF(AND(DB68&lt;&gt;0,DA68&lt;&gt;0),вПМ(DB68,DA68,"s"),"")</f>
        <v/>
      </c>
      <c r="DD68" s="398">
        <f ca="1">IF(AND(DB68&lt;&gt;0,DA68&lt;&gt;0),вРазн(DB68,DA68,"s"), 0)</f>
        <v>0</v>
      </c>
      <c r="DE68" s="462">
        <f t="shared" ca="1" si="140"/>
        <v>0</v>
      </c>
      <c r="DF68" s="390">
        <f t="shared" ca="1" si="66"/>
        <v>0</v>
      </c>
      <c r="DG68" s="391">
        <f t="shared" ca="1" si="141"/>
        <v>0</v>
      </c>
      <c r="DH68" s="391">
        <f t="shared" ca="1" si="142"/>
        <v>0</v>
      </c>
      <c r="DI68" s="401">
        <f t="shared" ca="1" si="143"/>
        <v>0</v>
      </c>
      <c r="DJ68" s="401">
        <f t="shared" ca="1" si="144"/>
        <v>0</v>
      </c>
      <c r="DK68" s="392">
        <f t="shared" ca="1" si="145"/>
        <v>0</v>
      </c>
      <c r="DL68" s="392">
        <f t="shared" ca="1" si="146"/>
        <v>0</v>
      </c>
      <c r="DM68" s="392">
        <f t="shared" ca="1" si="147"/>
        <v>0</v>
      </c>
      <c r="DN68" s="462">
        <f t="shared" ca="1" si="148"/>
        <v>900</v>
      </c>
      <c r="DO68" s="402">
        <f t="shared" ca="1" si="72"/>
        <v>0</v>
      </c>
      <c r="DP68" s="400">
        <f t="shared" ca="1" si="149"/>
        <v>0</v>
      </c>
      <c r="DQ68" s="402">
        <f t="shared" ca="1" si="72"/>
        <v>0</v>
      </c>
      <c r="DR68" s="400">
        <f t="shared" ca="1" si="150"/>
        <v>0</v>
      </c>
      <c r="DS68" s="390">
        <f t="shared" ca="1" si="164"/>
        <v>0</v>
      </c>
      <c r="DT68" s="396">
        <f t="shared" ca="1" si="151"/>
        <v>900</v>
      </c>
      <c r="DU68" s="390">
        <f t="shared" ca="1" si="164"/>
        <v>0</v>
      </c>
      <c r="DV68" s="396">
        <f t="shared" ca="1" si="152"/>
        <v>900</v>
      </c>
      <c r="DW68" s="459"/>
      <c r="DX68" s="459"/>
      <c r="DY68" s="459"/>
      <c r="DZ68" s="459"/>
      <c r="EA68" s="459"/>
      <c r="EB68" s="459"/>
      <c r="EC68" s="459"/>
      <c r="ED68" s="459"/>
      <c r="EE68" s="459"/>
      <c r="EF68" s="459"/>
      <c r="EG68" s="459"/>
      <c r="EH68" s="459"/>
      <c r="EI68" s="459"/>
      <c r="EJ68" s="459"/>
      <c r="EK68" s="459"/>
      <c r="EL68" s="459"/>
      <c r="EM68" s="459"/>
      <c r="EN68" s="459"/>
      <c r="EO68" s="459"/>
      <c r="EP68" s="459"/>
      <c r="EQ68" s="459"/>
      <c r="ER68" s="459"/>
      <c r="ES68" s="459"/>
      <c r="ET68" s="459"/>
      <c r="EU68" s="390" t="e">
        <f t="shared" ca="1" si="153"/>
        <v>#VALUE!</v>
      </c>
      <c r="EV68" s="391">
        <f t="shared" ca="1" si="154"/>
        <v>0</v>
      </c>
      <c r="EW68" s="392" t="e">
        <f ca="1">IF(AND(EV68&lt;&gt;0,EU68&lt;&gt;0),вПМ(EV68,EU68),"")</f>
        <v>#VALUE!</v>
      </c>
      <c r="EX68" s="391">
        <f ca="1">IF(EV68&lt;&gt;0,вРазн(EV68,EU68), 0)</f>
        <v>0</v>
      </c>
      <c r="EY68" s="396">
        <f t="shared" ca="1" si="155"/>
        <v>900</v>
      </c>
      <c r="EZ68" s="390">
        <f t="shared" ca="1" si="81"/>
        <v>0</v>
      </c>
      <c r="FA68" s="391">
        <f t="shared" ca="1" si="156"/>
        <v>0</v>
      </c>
      <c r="FB68" s="391">
        <f t="shared" ca="1" si="157"/>
        <v>0</v>
      </c>
      <c r="FC68" s="401">
        <f t="shared" ca="1" si="158"/>
        <v>0</v>
      </c>
      <c r="FD68" s="401">
        <f t="shared" ca="1" si="159"/>
        <v>0</v>
      </c>
      <c r="FE68" s="401">
        <f t="shared" ca="1" si="160"/>
        <v>0</v>
      </c>
      <c r="FF68" s="392">
        <f t="shared" ca="1" si="161"/>
        <v>0</v>
      </c>
      <c r="FG68" s="392">
        <f t="shared" ca="1" si="162"/>
        <v>0</v>
      </c>
      <c r="FH68" s="462">
        <f t="shared" ca="1" si="163"/>
        <v>1800</v>
      </c>
      <c r="FI68" s="403"/>
    </row>
    <row r="69" spans="1:165" s="20" customFormat="1" x14ac:dyDescent="0.25">
      <c r="A69" s="253" t="str">
        <f>стартоваяВедомость!B69</f>
        <v/>
      </c>
      <c r="B69" s="241">
        <f t="shared" ca="1" si="1"/>
        <v>0</v>
      </c>
      <c r="C69" s="241">
        <f t="shared" ca="1" si="2"/>
        <v>0</v>
      </c>
      <c r="D69" s="241">
        <f t="shared" ca="1" si="3"/>
        <v>0</v>
      </c>
      <c r="E69" s="241">
        <f t="shared" ca="1" si="4"/>
        <v>0</v>
      </c>
      <c r="F69" s="241">
        <f t="shared" ca="1" si="5"/>
        <v>0</v>
      </c>
      <c r="G69" s="487" t="str">
        <f t="shared" si="90"/>
        <v/>
      </c>
      <c r="H69" s="487" t="str">
        <f t="shared" ca="1" si="91"/>
        <v>DNS</v>
      </c>
      <c r="I69" s="487">
        <f t="shared" ca="1" si="92"/>
        <v>5400</v>
      </c>
      <c r="J69" s="487">
        <f t="shared" ca="1" si="93"/>
        <v>0</v>
      </c>
      <c r="K69" s="242">
        <f t="shared" ca="1" si="9"/>
        <v>0.44652777777777769</v>
      </c>
      <c r="L69" s="122">
        <f t="shared" ca="1" si="94"/>
        <v>0</v>
      </c>
      <c r="M69" s="243" t="str">
        <f ca="1">IF(L69&lt;&gt;0,вПМ(L69,K69),"")</f>
        <v/>
      </c>
      <c r="N69" s="122">
        <f ca="1">IF(L69&lt;&gt;0,вРазн(L69,K69), 0)</f>
        <v>0</v>
      </c>
      <c r="O69" s="301" t="str">
        <f t="shared" ca="1" si="95"/>
        <v>DNS</v>
      </c>
      <c r="P69" s="300">
        <f t="shared" ca="1" si="12"/>
        <v>4.86111119389534E-2</v>
      </c>
      <c r="Q69" s="294"/>
      <c r="R69" s="242">
        <f t="shared" ca="1" si="96"/>
        <v>0.49513888971673109</v>
      </c>
      <c r="S69" s="122">
        <f t="shared" ca="1" si="97"/>
        <v>0</v>
      </c>
      <c r="T69" s="243" t="str">
        <f ca="1">IF(S69&lt;&gt;0,вПМ(S69,R69),"")</f>
        <v/>
      </c>
      <c r="U69" s="122">
        <f ca="1">IF(S69&lt;&gt;0,вРазн(S69,R69), 0)</f>
        <v>0</v>
      </c>
      <c r="V69" s="301">
        <f t="shared" ca="1" si="98"/>
        <v>900</v>
      </c>
      <c r="W69" s="300">
        <f t="shared" ca="1" si="16"/>
        <v>4.86111119389534E-2</v>
      </c>
      <c r="X69" s="122"/>
      <c r="Y69" s="294">
        <f t="shared" ca="1" si="99"/>
        <v>0</v>
      </c>
      <c r="Z69" s="242">
        <f t="shared" ca="1" si="100"/>
        <v>0.54375000165568443</v>
      </c>
      <c r="AA69" s="122">
        <f t="shared" ca="1" si="101"/>
        <v>0</v>
      </c>
      <c r="AB69" s="243" t="str">
        <f ca="1">IF(AA69&lt;&gt;0,вПМ(AA69,Z69),"")</f>
        <v/>
      </c>
      <c r="AC69" s="122">
        <f ca="1">IF(AA69&lt;&gt;0,вРазн(AA69,Z69), 0)</f>
        <v>0</v>
      </c>
      <c r="AD69" s="301">
        <f t="shared" ca="1" si="102"/>
        <v>900</v>
      </c>
      <c r="AE69" s="300">
        <f t="shared" ca="1" si="21"/>
        <v>2.43055559694767E-2</v>
      </c>
      <c r="AF69" s="122"/>
      <c r="AG69" s="294">
        <f t="shared" ca="1" si="103"/>
        <v>0</v>
      </c>
      <c r="AH69" s="242">
        <f t="shared" ca="1" si="104"/>
        <v>0.56805555762516113</v>
      </c>
      <c r="AI69" s="122">
        <f t="shared" ca="1" si="105"/>
        <v>0</v>
      </c>
      <c r="AJ69" s="243" t="str">
        <f ca="1">IF(AI69&lt;&gt;0,вПМ(AI69,AH69),"")</f>
        <v/>
      </c>
      <c r="AK69" s="122">
        <f ca="1">IF(AI69&lt;&gt;0,вРазн(AI69,AH69), 0)</f>
        <v>0</v>
      </c>
      <c r="AL69" s="301">
        <f t="shared" ca="1" si="106"/>
        <v>900</v>
      </c>
      <c r="AM69" s="300">
        <f t="shared" ca="1" si="26"/>
        <v>2.43055559694767E-2</v>
      </c>
      <c r="AN69" s="122"/>
      <c r="AO69" s="294">
        <f t="shared" ca="1" si="107"/>
        <v>0</v>
      </c>
      <c r="AP69" s="242">
        <f t="shared" ca="1" si="108"/>
        <v>0.59236111359463783</v>
      </c>
      <c r="AQ69" s="122">
        <f t="shared" ca="1" si="109"/>
        <v>0</v>
      </c>
      <c r="AR69" s="243" t="str">
        <f ca="1">IF(AQ69&lt;&gt;0,вПМ(AQ69,AP69),"")</f>
        <v/>
      </c>
      <c r="AS69" s="122">
        <f ca="1">IF(AQ69&lt;&gt;0,вРазн(AQ69,AP69), 0)</f>
        <v>0</v>
      </c>
      <c r="AT69" s="301">
        <f t="shared" ca="1" si="110"/>
        <v>900</v>
      </c>
      <c r="AU69" s="300">
        <f t="shared" ca="1" si="31"/>
        <v>3.125E-2</v>
      </c>
      <c r="AV69" s="122"/>
      <c r="AW69" s="294">
        <f t="shared" ca="1" si="111"/>
        <v>0</v>
      </c>
      <c r="AX69" s="242">
        <f t="shared" ca="1" si="112"/>
        <v>0.62361111359463783</v>
      </c>
      <c r="AY69" s="122">
        <f t="shared" ca="1" si="113"/>
        <v>0</v>
      </c>
      <c r="AZ69" s="243" t="str">
        <f ca="1">IF(AY69&lt;&gt;0,вПМ(AY69,AX69),"")</f>
        <v/>
      </c>
      <c r="BA69" s="122">
        <f ca="1">IF(AY69&lt;&gt;0,вРазн(AY69,AX69), 0)</f>
        <v>0</v>
      </c>
      <c r="BB69" s="301">
        <f t="shared" ca="1" si="114"/>
        <v>900</v>
      </c>
      <c r="BC69" s="300">
        <f t="shared" ca="1" si="36"/>
        <v>4.1666667908430099E-2</v>
      </c>
      <c r="BD69" s="122"/>
      <c r="BE69" s="294">
        <f t="shared" ca="1" si="115"/>
        <v>0</v>
      </c>
      <c r="BF69" s="242">
        <f t="shared" ca="1" si="116"/>
        <v>0.66527778150306793</v>
      </c>
      <c r="BG69" s="122">
        <f t="shared" ca="1" si="117"/>
        <v>0</v>
      </c>
      <c r="BH69" s="243" t="str">
        <f ca="1">IF(BG69&lt;&gt;0,вПМ(BG69,BF69),"")</f>
        <v/>
      </c>
      <c r="BI69" s="122">
        <f ca="1">IF(BG69&lt;&gt;0,вРазн(BG69,BF69), 0)</f>
        <v>0</v>
      </c>
      <c r="BJ69" s="301">
        <f t="shared" ca="1" si="118"/>
        <v>900</v>
      </c>
      <c r="BK69" s="300">
        <f t="shared" ca="1" si="41"/>
        <v>2.777777798473835E-2</v>
      </c>
      <c r="BL69" s="122"/>
      <c r="BM69" s="294">
        <f t="shared" ca="1" si="119"/>
        <v>0</v>
      </c>
      <c r="BN69" s="242">
        <f t="shared" ca="1" si="120"/>
        <v>0.69305555948780628</v>
      </c>
      <c r="BO69" s="122">
        <f t="shared" ca="1" si="121"/>
        <v>0</v>
      </c>
      <c r="BP69" s="243" t="str">
        <f ca="1">IF(BO69&lt;&gt;0,вПМ(BO69,BN69),"")</f>
        <v/>
      </c>
      <c r="BQ69" s="122">
        <f ca="1">IF(BO69&lt;&gt;0,вРазн(BO69,BN69), 0)</f>
        <v>0</v>
      </c>
      <c r="BR69" s="244" t="str">
        <f t="shared" ca="1" si="122"/>
        <v>DNF</v>
      </c>
      <c r="BS69" s="242">
        <f t="shared" ca="1" si="46"/>
        <v>0</v>
      </c>
      <c r="BT69" s="122">
        <f t="shared" ca="1" si="123"/>
        <v>0</v>
      </c>
      <c r="BU69" s="122">
        <f t="shared" ca="1" si="124"/>
        <v>0</v>
      </c>
      <c r="BV69" s="248">
        <f t="shared" ca="1" si="125"/>
        <v>0</v>
      </c>
      <c r="BW69" s="248">
        <f t="shared" ca="1" si="126"/>
        <v>0</v>
      </c>
      <c r="BX69" s="243">
        <f t="shared" ca="1" si="127"/>
        <v>0</v>
      </c>
      <c r="BY69" s="243">
        <f t="shared" ca="1" si="128"/>
        <v>0</v>
      </c>
      <c r="BZ69" s="243">
        <f t="shared" ca="1" si="129"/>
        <v>0</v>
      </c>
      <c r="CA69" s="463">
        <f t="shared" ca="1" si="130"/>
        <v>900</v>
      </c>
      <c r="CB69" s="242">
        <f t="shared" ca="1" si="52"/>
        <v>0</v>
      </c>
      <c r="CC69" s="122">
        <f t="shared" ca="1" si="131"/>
        <v>0</v>
      </c>
      <c r="CD69" s="122">
        <f ca="1">IF(OR(CB69=0,CC69=0),0,вРазн(CC69,CB69))</f>
        <v>0</v>
      </c>
      <c r="CE69" s="122"/>
      <c r="CF69" s="122"/>
      <c r="CG69" s="247">
        <f t="shared" ca="1" si="132"/>
        <v>0</v>
      </c>
      <c r="CH69" s="245">
        <f t="shared" ca="1" si="54"/>
        <v>0</v>
      </c>
      <c r="CI69" s="240" t="str">
        <f ca="1">IF(CH69&lt;&gt;0,вПМ(CH69,CG69,"s"),"")</f>
        <v/>
      </c>
      <c r="CJ69" s="245">
        <f ca="1">IF(CH69&lt;&gt;0,вРазн(CH69,CG69,"s"), 0)</f>
        <v>0</v>
      </c>
      <c r="CK69" s="463">
        <f t="shared" ca="1" si="133"/>
        <v>1800</v>
      </c>
      <c r="CL69" s="247">
        <f t="shared" ca="1" si="134"/>
        <v>0</v>
      </c>
      <c r="CM69" s="245">
        <f t="shared" ca="1" si="57"/>
        <v>0</v>
      </c>
      <c r="CN69" s="243" t="str">
        <f ca="1">IF(AND(CM69&lt;&gt;0,CL69&lt;&gt;0),вПМ(CM69,CL69,"s"),"")</f>
        <v/>
      </c>
      <c r="CO69" s="245">
        <f ca="1">IF(AND(CM69&lt;&gt;0,CL69&lt;&gt;0),вРазн(CM69,CL69,"s"), 0)</f>
        <v>0</v>
      </c>
      <c r="CP69" s="463">
        <f t="shared" ca="1" si="135"/>
        <v>0</v>
      </c>
      <c r="CQ69" s="242">
        <f t="shared" ca="1" si="59"/>
        <v>0</v>
      </c>
      <c r="CR69" s="122">
        <f t="shared" ca="1" si="136"/>
        <v>0</v>
      </c>
      <c r="CS69" s="122">
        <f ca="1">IF(OR(CQ69=0,CR69=0),0,вРазн(CR69,CQ69))</f>
        <v>0</v>
      </c>
      <c r="CT69" s="122"/>
      <c r="CU69" s="122"/>
      <c r="CV69" s="247">
        <f t="shared" ca="1" si="137"/>
        <v>0</v>
      </c>
      <c r="CW69" s="245">
        <f t="shared" ca="1" si="61"/>
        <v>0</v>
      </c>
      <c r="CX69" s="240" t="str">
        <f ca="1">IF(CW69&lt;&gt;0,вПМ(CW69,CV69,"s"),"")</f>
        <v/>
      </c>
      <c r="CY69" s="245">
        <f ca="1">IF(CW69&lt;&gt;0,вРазн(CW69,CV69,"s"), 0)</f>
        <v>0</v>
      </c>
      <c r="CZ69" s="463">
        <f t="shared" ca="1" si="138"/>
        <v>1800</v>
      </c>
      <c r="DA69" s="247">
        <f t="shared" ca="1" si="139"/>
        <v>0</v>
      </c>
      <c r="DB69" s="245">
        <f t="shared" ca="1" si="64"/>
        <v>0</v>
      </c>
      <c r="DC69" s="243" t="str">
        <f ca="1">IF(AND(DB69&lt;&gt;0,DA69&lt;&gt;0),вПМ(DB69,DA69,"s"),"")</f>
        <v/>
      </c>
      <c r="DD69" s="245">
        <f ca="1">IF(AND(DB69&lt;&gt;0,DA69&lt;&gt;0),вРазн(DB69,DA69,"s"), 0)</f>
        <v>0</v>
      </c>
      <c r="DE69" s="463">
        <f t="shared" ca="1" si="140"/>
        <v>0</v>
      </c>
      <c r="DF69" s="242">
        <f t="shared" ca="1" si="66"/>
        <v>0</v>
      </c>
      <c r="DG69" s="122">
        <f t="shared" ca="1" si="141"/>
        <v>0</v>
      </c>
      <c r="DH69" s="122">
        <f t="shared" ca="1" si="142"/>
        <v>0</v>
      </c>
      <c r="DI69" s="248">
        <f t="shared" ca="1" si="143"/>
        <v>0</v>
      </c>
      <c r="DJ69" s="248">
        <f t="shared" ca="1" si="144"/>
        <v>0</v>
      </c>
      <c r="DK69" s="243">
        <f t="shared" ca="1" si="145"/>
        <v>0</v>
      </c>
      <c r="DL69" s="243">
        <f t="shared" ca="1" si="146"/>
        <v>0</v>
      </c>
      <c r="DM69" s="243">
        <f t="shared" ca="1" si="147"/>
        <v>0</v>
      </c>
      <c r="DN69" s="463">
        <f t="shared" ca="1" si="148"/>
        <v>900</v>
      </c>
      <c r="DO69" s="249">
        <f t="shared" ca="1" si="72"/>
        <v>0</v>
      </c>
      <c r="DP69" s="246">
        <f t="shared" ca="1" si="149"/>
        <v>0</v>
      </c>
      <c r="DQ69" s="249">
        <f t="shared" ca="1" si="72"/>
        <v>0</v>
      </c>
      <c r="DR69" s="246">
        <f t="shared" ca="1" si="150"/>
        <v>0</v>
      </c>
      <c r="DS69" s="242">
        <f t="shared" ca="1" si="164"/>
        <v>0</v>
      </c>
      <c r="DT69" s="244">
        <f t="shared" ca="1" si="151"/>
        <v>900</v>
      </c>
      <c r="DU69" s="242">
        <f t="shared" ca="1" si="164"/>
        <v>0</v>
      </c>
      <c r="DV69" s="244">
        <f t="shared" ca="1" si="152"/>
        <v>900</v>
      </c>
      <c r="DW69" s="459"/>
      <c r="DX69" s="459"/>
      <c r="DY69" s="459"/>
      <c r="DZ69" s="459"/>
      <c r="EA69" s="459"/>
      <c r="EB69" s="459"/>
      <c r="EC69" s="459"/>
      <c r="ED69" s="459"/>
      <c r="EE69" s="459"/>
      <c r="EF69" s="459"/>
      <c r="EG69" s="459"/>
      <c r="EH69" s="459"/>
      <c r="EI69" s="459"/>
      <c r="EJ69" s="459"/>
      <c r="EK69" s="459"/>
      <c r="EL69" s="459"/>
      <c r="EM69" s="459"/>
      <c r="EN69" s="459"/>
      <c r="EO69" s="459"/>
      <c r="EP69" s="459"/>
      <c r="EQ69" s="459"/>
      <c r="ER69" s="459"/>
      <c r="ES69" s="459"/>
      <c r="ET69" s="459"/>
      <c r="EU69" s="242" t="e">
        <f t="shared" ca="1" si="153"/>
        <v>#VALUE!</v>
      </c>
      <c r="EV69" s="122">
        <f t="shared" ca="1" si="154"/>
        <v>0</v>
      </c>
      <c r="EW69" s="243" t="e">
        <f ca="1">IF(AND(EV69&lt;&gt;0,EU69&lt;&gt;0),вПМ(EV69,EU69),"")</f>
        <v>#VALUE!</v>
      </c>
      <c r="EX69" s="122">
        <f ca="1">IF(EV69&lt;&gt;0,вРазн(EV69,EU69), 0)</f>
        <v>0</v>
      </c>
      <c r="EY69" s="244">
        <f t="shared" ca="1" si="155"/>
        <v>900</v>
      </c>
      <c r="EZ69" s="242">
        <f t="shared" ca="1" si="81"/>
        <v>0</v>
      </c>
      <c r="FA69" s="122">
        <f t="shared" ca="1" si="156"/>
        <v>0</v>
      </c>
      <c r="FB69" s="122">
        <f t="shared" ca="1" si="157"/>
        <v>0</v>
      </c>
      <c r="FC69" s="248">
        <f t="shared" ca="1" si="158"/>
        <v>0</v>
      </c>
      <c r="FD69" s="248">
        <f t="shared" ca="1" si="159"/>
        <v>0</v>
      </c>
      <c r="FE69" s="248">
        <f t="shared" ca="1" si="160"/>
        <v>0</v>
      </c>
      <c r="FF69" s="243">
        <f t="shared" ca="1" si="161"/>
        <v>0</v>
      </c>
      <c r="FG69" s="243">
        <f t="shared" ca="1" si="162"/>
        <v>0</v>
      </c>
      <c r="FH69" s="463">
        <f t="shared" ca="1" si="163"/>
        <v>1800</v>
      </c>
    </row>
    <row r="70" spans="1:165" x14ac:dyDescent="0.25">
      <c r="A70" s="255">
        <f>заявки[[#Totals],[Ст. №]]</f>
        <v>42</v>
      </c>
      <c r="B70" s="117" t="s">
        <v>268</v>
      </c>
      <c r="C70" s="117"/>
      <c r="D70" s="117"/>
      <c r="E70" s="117"/>
      <c r="F70" s="215" t="s">
        <v>269</v>
      </c>
      <c r="G70" s="193">
        <f ca="1">COUNTIF(предварительные!$G$10:$G$69,"DNS")</f>
        <v>0</v>
      </c>
      <c r="H70" s="193">
        <f ca="1">COUNTIF(предварительные!$H$10:$H$69,"DNF")</f>
        <v>0</v>
      </c>
      <c r="I70" s="193" t="s">
        <v>267</v>
      </c>
      <c r="J70" s="193"/>
      <c r="K70"/>
      <c r="L70" s="115"/>
      <c r="M70" s="115"/>
      <c r="N70" s="115"/>
      <c r="O70" s="193"/>
      <c r="P70" s="115"/>
      <c r="Q70" s="115"/>
      <c r="R70" s="115"/>
      <c r="S70" s="115"/>
      <c r="T70" s="115"/>
      <c r="U70" s="115"/>
      <c r="V70" s="193"/>
      <c r="W70" s="115"/>
      <c r="X70" s="115"/>
      <c r="Y70" s="115"/>
      <c r="Z70" s="115"/>
      <c r="AA70" s="115"/>
      <c r="AB70" s="115"/>
      <c r="AC70" s="115"/>
      <c r="AD70" s="193"/>
      <c r="AE70" s="115"/>
      <c r="AF70" s="115"/>
      <c r="AG70" s="115"/>
      <c r="AH70" s="115"/>
      <c r="AI70" s="115"/>
      <c r="AJ70" s="115"/>
      <c r="AK70" s="115"/>
      <c r="AL70" s="193"/>
      <c r="AM70" s="115"/>
      <c r="AN70" s="115"/>
      <c r="AO70" s="115"/>
      <c r="AP70" s="115"/>
      <c r="AQ70" s="115"/>
      <c r="AR70" s="115"/>
      <c r="AS70" s="115"/>
      <c r="AT70" s="193"/>
      <c r="AU70" s="115"/>
      <c r="AV70" s="115"/>
      <c r="AW70" s="115"/>
      <c r="AX70" s="115"/>
      <c r="AY70" s="115"/>
      <c r="AZ70" s="115"/>
      <c r="BA70" s="115"/>
      <c r="BB70" s="193"/>
      <c r="BC70" s="115"/>
      <c r="BD70" s="115"/>
      <c r="BE70" s="115"/>
      <c r="BF70" s="115"/>
      <c r="BG70" s="115"/>
      <c r="BH70" s="115"/>
      <c r="BI70" s="115"/>
      <c r="BJ70" s="193"/>
      <c r="BK70" s="115"/>
      <c r="BL70" s="115"/>
      <c r="BM70" s="115"/>
      <c r="BN70" s="115"/>
      <c r="BO70" s="115"/>
      <c r="BP70" s="115"/>
      <c r="BQ70" s="115"/>
      <c r="BR70" s="194"/>
      <c r="BS70" s="115"/>
      <c r="BT70" s="115"/>
      <c r="BU70" s="115"/>
      <c r="BV70" s="115"/>
      <c r="BW70" s="115"/>
      <c r="BX70" s="115"/>
      <c r="BY70" s="115"/>
      <c r="BZ70" s="115"/>
      <c r="CA70" s="194"/>
      <c r="CB70" s="115"/>
      <c r="CC70" s="115"/>
      <c r="CD70" s="115"/>
      <c r="CE70" s="115"/>
      <c r="CF70" s="115"/>
      <c r="CG70" s="115"/>
      <c r="CH70" s="115"/>
      <c r="CI70" s="115"/>
      <c r="CJ70" s="115"/>
      <c r="CK70" s="194"/>
      <c r="CL70" s="115"/>
      <c r="CM70" s="115"/>
      <c r="CN70" s="115"/>
      <c r="CO70" s="115"/>
      <c r="CP70" s="194"/>
      <c r="CQ70" s="115"/>
      <c r="CR70" s="115"/>
      <c r="CS70" s="115"/>
      <c r="CT70" s="115"/>
      <c r="CU70" s="115"/>
      <c r="CV70" s="115"/>
      <c r="CW70" s="115"/>
      <c r="CX70" s="115"/>
      <c r="CY70" s="115"/>
      <c r="CZ70" s="194"/>
      <c r="DA70" s="115"/>
      <c r="DB70" s="115"/>
      <c r="DC70" s="115"/>
      <c r="DD70" s="115"/>
      <c r="DE70" s="194"/>
      <c r="DF70" s="115"/>
      <c r="DG70" s="115"/>
      <c r="DH70" s="115"/>
      <c r="DI70" s="115"/>
      <c r="DJ70" s="115"/>
      <c r="DK70" s="115"/>
      <c r="DL70" s="115"/>
      <c r="DM70" s="115"/>
      <c r="DN70" s="194"/>
      <c r="DO70" s="195"/>
      <c r="DP70" s="194"/>
      <c r="DQ70" s="195"/>
      <c r="DR70" s="194"/>
      <c r="DS70" s="115"/>
      <c r="DT70" s="194"/>
      <c r="DU70" s="115"/>
      <c r="DV70" s="194"/>
      <c r="DW70" s="461"/>
      <c r="DX70" s="461"/>
      <c r="DY70" s="461"/>
      <c r="DZ70" s="461"/>
      <c r="EA70" s="461"/>
      <c r="EB70" s="461"/>
      <c r="EC70" s="461"/>
      <c r="ED70" s="461"/>
      <c r="EE70" s="461"/>
      <c r="EF70" s="461"/>
      <c r="EG70" s="461"/>
      <c r="EH70" s="461"/>
      <c r="EI70" s="461"/>
      <c r="EJ70" s="461"/>
      <c r="EK70" s="461"/>
      <c r="EL70" s="461"/>
      <c r="EM70" s="461"/>
      <c r="EN70" s="461"/>
      <c r="EO70" s="461"/>
      <c r="EP70" s="461"/>
      <c r="EQ70" s="461"/>
      <c r="ER70" s="461"/>
      <c r="ES70" s="461"/>
      <c r="ET70" s="461"/>
      <c r="EU70" s="194"/>
      <c r="EV70" s="115"/>
      <c r="EW70" s="115"/>
      <c r="EX70" s="115"/>
      <c r="EY70" s="194"/>
      <c r="EZ70" s="115"/>
      <c r="FA70" s="115"/>
      <c r="FB70" s="115"/>
      <c r="FC70" s="115"/>
      <c r="FD70" s="115"/>
      <c r="FE70" s="115"/>
      <c r="FF70" s="115"/>
      <c r="FG70" s="115"/>
      <c r="FH70" s="194"/>
    </row>
  </sheetData>
  <sortState ref="A10:DU48">
    <sortCondition ref="F10:F48"/>
  </sortState>
  <pageMargins left="0.39370078740157483" right="0.39370078740157483" top="0.39370078740157483" bottom="0.39370078740157483" header="0" footer="0"/>
  <pageSetup paperSize="9" scale="83" orientation="landscape" r:id="rId1"/>
  <colBreaks count="5" manualBreakCount="5">
    <brk id="10" max="1048575" man="1"/>
    <brk id="33" max="69" man="1"/>
    <brk id="55" max="1048575" man="1"/>
    <brk id="73" max="1048575" man="1"/>
    <brk id="9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J18"/>
  <sheetViews>
    <sheetView topLeftCell="A3" zoomScale="85" zoomScaleNormal="85" workbookViewId="0">
      <selection activeCell="M18" sqref="M18"/>
    </sheetView>
  </sheetViews>
  <sheetFormatPr defaultRowHeight="15" x14ac:dyDescent="0.25"/>
  <cols>
    <col min="1" max="3" width="9.140625" style="1"/>
    <col min="4" max="4" width="9.140625" style="1" customWidth="1"/>
    <col min="5" max="16384" width="9.140625" style="1"/>
  </cols>
  <sheetData>
    <row r="1" spans="1:10" ht="50.1" customHeight="1" x14ac:dyDescent="0.25">
      <c r="A1" s="53" t="str">
        <f>"Заявка экипажа на "&amp;название</f>
        <v>Заявка экипажа на Ралли "Skoda - 2019"</v>
      </c>
      <c r="B1" s="39"/>
      <c r="C1" s="40"/>
      <c r="D1" s="41"/>
      <c r="E1" s="41"/>
      <c r="F1" s="41"/>
      <c r="G1" s="41"/>
      <c r="H1" s="41"/>
      <c r="I1" s="52"/>
      <c r="J1" s="52"/>
    </row>
    <row r="2" spans="1:10" ht="5.0999999999999996" customHeight="1" thickBot="1" x14ac:dyDescent="0.3">
      <c r="A2" s="42"/>
      <c r="B2" s="43"/>
      <c r="C2" s="44"/>
      <c r="D2" s="45"/>
      <c r="E2" s="45"/>
      <c r="F2" s="45"/>
      <c r="G2" s="45"/>
      <c r="H2" s="45"/>
      <c r="I2" s="45"/>
      <c r="J2" s="45"/>
    </row>
    <row r="3" spans="1:10" ht="24.95" customHeight="1" thickBot="1" x14ac:dyDescent="0.3">
      <c r="A3" s="374" t="s">
        <v>240</v>
      </c>
      <c r="B3" s="375"/>
      <c r="C3" s="375"/>
      <c r="D3" s="538" t="str">
        <f>IFERROR(зачет,"")</f>
        <v>Pro, Кубок</v>
      </c>
      <c r="E3" s="539"/>
      <c r="F3" s="539"/>
      <c r="G3" s="539"/>
      <c r="H3" s="539"/>
      <c r="I3" s="539"/>
      <c r="J3" s="540"/>
    </row>
    <row r="4" spans="1:10" ht="5.0999999999999996" customHeight="1" thickBot="1" x14ac:dyDescent="0.3">
      <c r="A4" s="46"/>
      <c r="B4" s="47"/>
      <c r="C4" s="47"/>
      <c r="D4" s="48"/>
      <c r="E4" s="49"/>
      <c r="F4" s="49"/>
      <c r="G4" s="49"/>
      <c r="H4" s="49"/>
      <c r="I4" s="49"/>
      <c r="J4" s="49"/>
    </row>
    <row r="5" spans="1:10" ht="24.95" customHeight="1" thickBot="1" x14ac:dyDescent="0.3">
      <c r="A5" s="374" t="s">
        <v>370</v>
      </c>
      <c r="B5" s="375"/>
      <c r="C5" s="375"/>
      <c r="D5" s="541" t="str">
        <f>IFERROR(фио1,"")</f>
        <v>Кананадзе Сергей</v>
      </c>
      <c r="E5" s="542"/>
      <c r="F5" s="542"/>
      <c r="G5" s="542"/>
      <c r="H5" s="542"/>
      <c r="I5" s="542"/>
      <c r="J5" s="543"/>
    </row>
    <row r="6" spans="1:10" ht="5.0999999999999996" customHeight="1" thickBot="1" x14ac:dyDescent="0.3">
      <c r="A6" s="46"/>
      <c r="B6" s="47"/>
      <c r="C6" s="47"/>
      <c r="D6" s="48"/>
      <c r="E6" s="49"/>
      <c r="F6" s="49"/>
      <c r="G6" s="49"/>
      <c r="H6" s="49"/>
      <c r="I6" s="49"/>
      <c r="J6" s="49"/>
    </row>
    <row r="7" spans="1:10" ht="24.95" customHeight="1" thickBot="1" x14ac:dyDescent="0.3">
      <c r="A7" s="374" t="s">
        <v>21</v>
      </c>
      <c r="B7" s="375"/>
      <c r="C7" s="375"/>
      <c r="D7" s="548">
        <f>IFERROR(тел1,"")</f>
        <v>79037829775</v>
      </c>
      <c r="E7" s="549"/>
      <c r="F7" s="550"/>
      <c r="G7" s="374" t="s">
        <v>31</v>
      </c>
      <c r="H7" s="541" t="str">
        <f>IFERROR(город1,"")</f>
        <v>Москва</v>
      </c>
      <c r="I7" s="542"/>
      <c r="J7" s="543"/>
    </row>
    <row r="8" spans="1:10" ht="5.0999999999999996" customHeight="1" thickBot="1" x14ac:dyDescent="0.3">
      <c r="A8" s="46"/>
      <c r="B8" s="47"/>
      <c r="C8" s="47"/>
      <c r="D8" s="48"/>
      <c r="E8" s="49"/>
      <c r="F8" s="49"/>
      <c r="G8" s="49"/>
      <c r="H8" s="49"/>
      <c r="I8" s="49"/>
      <c r="J8" s="49"/>
    </row>
    <row r="9" spans="1:10" ht="24.95" customHeight="1" thickBot="1" x14ac:dyDescent="0.3">
      <c r="A9" s="374" t="s">
        <v>371</v>
      </c>
      <c r="B9" s="375"/>
      <c r="C9" s="375"/>
      <c r="D9" s="541" t="str">
        <f>IFERROR(фио2,"")</f>
        <v>Подшивалов Александр</v>
      </c>
      <c r="E9" s="542"/>
      <c r="F9" s="542"/>
      <c r="G9" s="542"/>
      <c r="H9" s="542"/>
      <c r="I9" s="542"/>
      <c r="J9" s="543"/>
    </row>
    <row r="10" spans="1:10" ht="5.0999999999999996" customHeight="1" thickBot="1" x14ac:dyDescent="0.3">
      <c r="A10" s="46"/>
      <c r="B10" s="47"/>
      <c r="C10" s="47"/>
      <c r="D10" s="48"/>
      <c r="E10" s="49"/>
      <c r="F10" s="49"/>
      <c r="G10" s="49"/>
      <c r="H10" s="49"/>
      <c r="I10" s="49"/>
      <c r="J10" s="49"/>
    </row>
    <row r="11" spans="1:10" ht="24.95" customHeight="1" thickBot="1" x14ac:dyDescent="0.3">
      <c r="A11" s="374" t="s">
        <v>21</v>
      </c>
      <c r="B11" s="375"/>
      <c r="C11" s="375"/>
      <c r="D11" s="548">
        <f>IFERROR(тел2,"")</f>
        <v>79057316536</v>
      </c>
      <c r="E11" s="549"/>
      <c r="F11" s="550"/>
      <c r="G11" s="374" t="s">
        <v>31</v>
      </c>
      <c r="H11" s="541" t="str">
        <f>IFERROR(город2,"")</f>
        <v>Люберцы</v>
      </c>
      <c r="I11" s="542"/>
      <c r="J11" s="543"/>
    </row>
    <row r="12" spans="1:10" ht="5.0999999999999996" customHeight="1" thickBot="1" x14ac:dyDescent="0.3">
      <c r="A12" s="46"/>
      <c r="B12" s="47"/>
      <c r="C12" s="47"/>
      <c r="D12" s="48"/>
      <c r="E12" s="49"/>
      <c r="F12" s="49"/>
      <c r="G12" s="49"/>
      <c r="H12" s="49"/>
      <c r="I12" s="48"/>
      <c r="J12" s="49"/>
    </row>
    <row r="13" spans="1:10" ht="24.95" customHeight="1" thickBot="1" x14ac:dyDescent="0.3">
      <c r="A13" s="374" t="s">
        <v>10</v>
      </c>
      <c r="B13" s="375"/>
      <c r="C13" s="375"/>
      <c r="D13" s="538" t="str">
        <f>IFERROR(авто,"")</f>
        <v>Toyota RAV4</v>
      </c>
      <c r="E13" s="539"/>
      <c r="F13" s="540"/>
      <c r="G13" s="374" t="s">
        <v>22</v>
      </c>
      <c r="H13" s="375"/>
      <c r="I13" s="538" t="str">
        <f>IFERROR(госномер,"")</f>
        <v>с530ео777</v>
      </c>
      <c r="J13" s="540"/>
    </row>
    <row r="14" spans="1:10" ht="5.0999999999999996" customHeight="1" thickBot="1" x14ac:dyDescent="0.3">
      <c r="A14" s="46"/>
      <c r="B14" s="47"/>
      <c r="C14" s="47"/>
      <c r="D14" s="48"/>
      <c r="E14" s="49"/>
      <c r="F14" s="49"/>
      <c r="G14" s="49"/>
      <c r="H14" s="49"/>
      <c r="I14" s="49"/>
      <c r="J14" s="49"/>
    </row>
    <row r="15" spans="1:10" ht="72" customHeight="1" thickBot="1" x14ac:dyDescent="0.3">
      <c r="A15" s="544" t="s">
        <v>369</v>
      </c>
      <c r="B15" s="545"/>
      <c r="C15" s="545"/>
      <c r="D15" s="545"/>
      <c r="E15" s="545"/>
      <c r="F15" s="545"/>
      <c r="G15" s="545"/>
      <c r="H15" s="545"/>
      <c r="I15" s="545"/>
      <c r="J15" s="546"/>
    </row>
    <row r="16" spans="1:10" ht="5.0999999999999996" customHeight="1" x14ac:dyDescent="0.25">
      <c r="A16" s="46"/>
      <c r="B16" s="47"/>
      <c r="C16" s="47"/>
      <c r="D16" s="48"/>
      <c r="E16" s="49"/>
      <c r="F16" s="49"/>
      <c r="G16" s="49"/>
      <c r="H16" s="49"/>
      <c r="I16" s="49"/>
      <c r="J16" s="49"/>
    </row>
    <row r="17" spans="1:10" ht="21" customHeight="1" thickBot="1" x14ac:dyDescent="0.3">
      <c r="A17" s="547" t="s">
        <v>793</v>
      </c>
      <c r="B17" s="547"/>
      <c r="C17" s="547"/>
      <c r="D17" s="547"/>
      <c r="E17" s="547"/>
      <c r="F17" s="547" t="s">
        <v>794</v>
      </c>
      <c r="G17" s="547"/>
      <c r="H17" s="547"/>
      <c r="I17" s="547"/>
      <c r="J17" s="547"/>
    </row>
    <row r="18" spans="1:10" ht="50.1" customHeight="1" thickBot="1" x14ac:dyDescent="0.3">
      <c r="A18" s="131"/>
      <c r="B18" s="132"/>
      <c r="C18" s="132"/>
      <c r="D18" s="132"/>
      <c r="E18" s="133"/>
      <c r="F18" s="131"/>
      <c r="G18" s="132"/>
      <c r="H18" s="132"/>
      <c r="I18" s="132"/>
      <c r="J18" s="133"/>
    </row>
  </sheetData>
  <mergeCells count="12">
    <mergeCell ref="A15:J15"/>
    <mergeCell ref="A17:E17"/>
    <mergeCell ref="F17:J17"/>
    <mergeCell ref="D7:F7"/>
    <mergeCell ref="D11:F11"/>
    <mergeCell ref="D3:J3"/>
    <mergeCell ref="D5:J5"/>
    <mergeCell ref="H7:J7"/>
    <mergeCell ref="H11:J11"/>
    <mergeCell ref="D13:F13"/>
    <mergeCell ref="D9:J9"/>
    <mergeCell ref="I13:J13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F0"/>
  </sheetPr>
  <dimension ref="A1:K66"/>
  <sheetViews>
    <sheetView view="pageBreakPreview" zoomScale="85" zoomScaleSheetLayoutView="85" workbookViewId="0">
      <selection activeCell="B10" sqref="B10:C10"/>
    </sheetView>
  </sheetViews>
  <sheetFormatPr defaultRowHeight="15" x14ac:dyDescent="0.25"/>
  <cols>
    <col min="1" max="2" width="15.7109375" style="2" customWidth="1"/>
    <col min="3" max="3" width="45.7109375" style="2" customWidth="1"/>
    <col min="4" max="4" width="15.7109375" style="2" customWidth="1"/>
    <col min="5" max="255" width="9.140625" style="2"/>
    <col min="256" max="257" width="15.7109375" style="2" customWidth="1"/>
    <col min="258" max="258" width="0" style="2" hidden="1" customWidth="1"/>
    <col min="259" max="259" width="45.7109375" style="2" customWidth="1"/>
    <col min="260" max="260" width="15.7109375" style="2" customWidth="1"/>
    <col min="261" max="511" width="9.140625" style="2"/>
    <col min="512" max="513" width="15.7109375" style="2" customWidth="1"/>
    <col min="514" max="514" width="0" style="2" hidden="1" customWidth="1"/>
    <col min="515" max="515" width="45.7109375" style="2" customWidth="1"/>
    <col min="516" max="516" width="15.7109375" style="2" customWidth="1"/>
    <col min="517" max="767" width="9.140625" style="2"/>
    <col min="768" max="769" width="15.7109375" style="2" customWidth="1"/>
    <col min="770" max="770" width="0" style="2" hidden="1" customWidth="1"/>
    <col min="771" max="771" width="45.7109375" style="2" customWidth="1"/>
    <col min="772" max="772" width="15.7109375" style="2" customWidth="1"/>
    <col min="773" max="1023" width="9.140625" style="2"/>
    <col min="1024" max="1025" width="15.7109375" style="2" customWidth="1"/>
    <col min="1026" max="1026" width="0" style="2" hidden="1" customWidth="1"/>
    <col min="1027" max="1027" width="45.7109375" style="2" customWidth="1"/>
    <col min="1028" max="1028" width="15.7109375" style="2" customWidth="1"/>
    <col min="1029" max="1279" width="9.140625" style="2"/>
    <col min="1280" max="1281" width="15.7109375" style="2" customWidth="1"/>
    <col min="1282" max="1282" width="0" style="2" hidden="1" customWidth="1"/>
    <col min="1283" max="1283" width="45.7109375" style="2" customWidth="1"/>
    <col min="1284" max="1284" width="15.7109375" style="2" customWidth="1"/>
    <col min="1285" max="1535" width="9.140625" style="2"/>
    <col min="1536" max="1537" width="15.7109375" style="2" customWidth="1"/>
    <col min="1538" max="1538" width="0" style="2" hidden="1" customWidth="1"/>
    <col min="1539" max="1539" width="45.7109375" style="2" customWidth="1"/>
    <col min="1540" max="1540" width="15.7109375" style="2" customWidth="1"/>
    <col min="1541" max="1791" width="9.140625" style="2"/>
    <col min="1792" max="1793" width="15.7109375" style="2" customWidth="1"/>
    <col min="1794" max="1794" width="0" style="2" hidden="1" customWidth="1"/>
    <col min="1795" max="1795" width="45.7109375" style="2" customWidth="1"/>
    <col min="1796" max="1796" width="15.7109375" style="2" customWidth="1"/>
    <col min="1797" max="2047" width="9.140625" style="2"/>
    <col min="2048" max="2049" width="15.7109375" style="2" customWidth="1"/>
    <col min="2050" max="2050" width="0" style="2" hidden="1" customWidth="1"/>
    <col min="2051" max="2051" width="45.7109375" style="2" customWidth="1"/>
    <col min="2052" max="2052" width="15.7109375" style="2" customWidth="1"/>
    <col min="2053" max="2303" width="9.140625" style="2"/>
    <col min="2304" max="2305" width="15.7109375" style="2" customWidth="1"/>
    <col min="2306" max="2306" width="0" style="2" hidden="1" customWidth="1"/>
    <col min="2307" max="2307" width="45.7109375" style="2" customWidth="1"/>
    <col min="2308" max="2308" width="15.7109375" style="2" customWidth="1"/>
    <col min="2309" max="2559" width="9.140625" style="2"/>
    <col min="2560" max="2561" width="15.7109375" style="2" customWidth="1"/>
    <col min="2562" max="2562" width="0" style="2" hidden="1" customWidth="1"/>
    <col min="2563" max="2563" width="45.7109375" style="2" customWidth="1"/>
    <col min="2564" max="2564" width="15.7109375" style="2" customWidth="1"/>
    <col min="2565" max="2815" width="9.140625" style="2"/>
    <col min="2816" max="2817" width="15.7109375" style="2" customWidth="1"/>
    <col min="2818" max="2818" width="0" style="2" hidden="1" customWidth="1"/>
    <col min="2819" max="2819" width="45.7109375" style="2" customWidth="1"/>
    <col min="2820" max="2820" width="15.7109375" style="2" customWidth="1"/>
    <col min="2821" max="3071" width="9.140625" style="2"/>
    <col min="3072" max="3073" width="15.7109375" style="2" customWidth="1"/>
    <col min="3074" max="3074" width="0" style="2" hidden="1" customWidth="1"/>
    <col min="3075" max="3075" width="45.7109375" style="2" customWidth="1"/>
    <col min="3076" max="3076" width="15.7109375" style="2" customWidth="1"/>
    <col min="3077" max="3327" width="9.140625" style="2"/>
    <col min="3328" max="3329" width="15.7109375" style="2" customWidth="1"/>
    <col min="3330" max="3330" width="0" style="2" hidden="1" customWidth="1"/>
    <col min="3331" max="3331" width="45.7109375" style="2" customWidth="1"/>
    <col min="3332" max="3332" width="15.7109375" style="2" customWidth="1"/>
    <col min="3333" max="3583" width="9.140625" style="2"/>
    <col min="3584" max="3585" width="15.7109375" style="2" customWidth="1"/>
    <col min="3586" max="3586" width="0" style="2" hidden="1" customWidth="1"/>
    <col min="3587" max="3587" width="45.7109375" style="2" customWidth="1"/>
    <col min="3588" max="3588" width="15.7109375" style="2" customWidth="1"/>
    <col min="3589" max="3839" width="9.140625" style="2"/>
    <col min="3840" max="3841" width="15.7109375" style="2" customWidth="1"/>
    <col min="3842" max="3842" width="0" style="2" hidden="1" customWidth="1"/>
    <col min="3843" max="3843" width="45.7109375" style="2" customWidth="1"/>
    <col min="3844" max="3844" width="15.7109375" style="2" customWidth="1"/>
    <col min="3845" max="4095" width="9.140625" style="2"/>
    <col min="4096" max="4097" width="15.7109375" style="2" customWidth="1"/>
    <col min="4098" max="4098" width="0" style="2" hidden="1" customWidth="1"/>
    <col min="4099" max="4099" width="45.7109375" style="2" customWidth="1"/>
    <col min="4100" max="4100" width="15.7109375" style="2" customWidth="1"/>
    <col min="4101" max="4351" width="9.140625" style="2"/>
    <col min="4352" max="4353" width="15.7109375" style="2" customWidth="1"/>
    <col min="4354" max="4354" width="0" style="2" hidden="1" customWidth="1"/>
    <col min="4355" max="4355" width="45.7109375" style="2" customWidth="1"/>
    <col min="4356" max="4356" width="15.7109375" style="2" customWidth="1"/>
    <col min="4357" max="4607" width="9.140625" style="2"/>
    <col min="4608" max="4609" width="15.7109375" style="2" customWidth="1"/>
    <col min="4610" max="4610" width="0" style="2" hidden="1" customWidth="1"/>
    <col min="4611" max="4611" width="45.7109375" style="2" customWidth="1"/>
    <col min="4612" max="4612" width="15.7109375" style="2" customWidth="1"/>
    <col min="4613" max="4863" width="9.140625" style="2"/>
    <col min="4864" max="4865" width="15.7109375" style="2" customWidth="1"/>
    <col min="4866" max="4866" width="0" style="2" hidden="1" customWidth="1"/>
    <col min="4867" max="4867" width="45.7109375" style="2" customWidth="1"/>
    <col min="4868" max="4868" width="15.7109375" style="2" customWidth="1"/>
    <col min="4869" max="5119" width="9.140625" style="2"/>
    <col min="5120" max="5121" width="15.7109375" style="2" customWidth="1"/>
    <col min="5122" max="5122" width="0" style="2" hidden="1" customWidth="1"/>
    <col min="5123" max="5123" width="45.7109375" style="2" customWidth="1"/>
    <col min="5124" max="5124" width="15.7109375" style="2" customWidth="1"/>
    <col min="5125" max="5375" width="9.140625" style="2"/>
    <col min="5376" max="5377" width="15.7109375" style="2" customWidth="1"/>
    <col min="5378" max="5378" width="0" style="2" hidden="1" customWidth="1"/>
    <col min="5379" max="5379" width="45.7109375" style="2" customWidth="1"/>
    <col min="5380" max="5380" width="15.7109375" style="2" customWidth="1"/>
    <col min="5381" max="5631" width="9.140625" style="2"/>
    <col min="5632" max="5633" width="15.7109375" style="2" customWidth="1"/>
    <col min="5634" max="5634" width="0" style="2" hidden="1" customWidth="1"/>
    <col min="5635" max="5635" width="45.7109375" style="2" customWidth="1"/>
    <col min="5636" max="5636" width="15.7109375" style="2" customWidth="1"/>
    <col min="5637" max="5887" width="9.140625" style="2"/>
    <col min="5888" max="5889" width="15.7109375" style="2" customWidth="1"/>
    <col min="5890" max="5890" width="0" style="2" hidden="1" customWidth="1"/>
    <col min="5891" max="5891" width="45.7109375" style="2" customWidth="1"/>
    <col min="5892" max="5892" width="15.7109375" style="2" customWidth="1"/>
    <col min="5893" max="6143" width="9.140625" style="2"/>
    <col min="6144" max="6145" width="15.7109375" style="2" customWidth="1"/>
    <col min="6146" max="6146" width="0" style="2" hidden="1" customWidth="1"/>
    <col min="6147" max="6147" width="45.7109375" style="2" customWidth="1"/>
    <col min="6148" max="6148" width="15.7109375" style="2" customWidth="1"/>
    <col min="6149" max="6399" width="9.140625" style="2"/>
    <col min="6400" max="6401" width="15.7109375" style="2" customWidth="1"/>
    <col min="6402" max="6402" width="0" style="2" hidden="1" customWidth="1"/>
    <col min="6403" max="6403" width="45.7109375" style="2" customWidth="1"/>
    <col min="6404" max="6404" width="15.7109375" style="2" customWidth="1"/>
    <col min="6405" max="6655" width="9.140625" style="2"/>
    <col min="6656" max="6657" width="15.7109375" style="2" customWidth="1"/>
    <col min="6658" max="6658" width="0" style="2" hidden="1" customWidth="1"/>
    <col min="6659" max="6659" width="45.7109375" style="2" customWidth="1"/>
    <col min="6660" max="6660" width="15.7109375" style="2" customWidth="1"/>
    <col min="6661" max="6911" width="9.140625" style="2"/>
    <col min="6912" max="6913" width="15.7109375" style="2" customWidth="1"/>
    <col min="6914" max="6914" width="0" style="2" hidden="1" customWidth="1"/>
    <col min="6915" max="6915" width="45.7109375" style="2" customWidth="1"/>
    <col min="6916" max="6916" width="15.7109375" style="2" customWidth="1"/>
    <col min="6917" max="7167" width="9.140625" style="2"/>
    <col min="7168" max="7169" width="15.7109375" style="2" customWidth="1"/>
    <col min="7170" max="7170" width="0" style="2" hidden="1" customWidth="1"/>
    <col min="7171" max="7171" width="45.7109375" style="2" customWidth="1"/>
    <col min="7172" max="7172" width="15.7109375" style="2" customWidth="1"/>
    <col min="7173" max="7423" width="9.140625" style="2"/>
    <col min="7424" max="7425" width="15.7109375" style="2" customWidth="1"/>
    <col min="7426" max="7426" width="0" style="2" hidden="1" customWidth="1"/>
    <col min="7427" max="7427" width="45.7109375" style="2" customWidth="1"/>
    <col min="7428" max="7428" width="15.7109375" style="2" customWidth="1"/>
    <col min="7429" max="7679" width="9.140625" style="2"/>
    <col min="7680" max="7681" width="15.7109375" style="2" customWidth="1"/>
    <col min="7682" max="7682" width="0" style="2" hidden="1" customWidth="1"/>
    <col min="7683" max="7683" width="45.7109375" style="2" customWidth="1"/>
    <col min="7684" max="7684" width="15.7109375" style="2" customWidth="1"/>
    <col min="7685" max="7935" width="9.140625" style="2"/>
    <col min="7936" max="7937" width="15.7109375" style="2" customWidth="1"/>
    <col min="7938" max="7938" width="0" style="2" hidden="1" customWidth="1"/>
    <col min="7939" max="7939" width="45.7109375" style="2" customWidth="1"/>
    <col min="7940" max="7940" width="15.7109375" style="2" customWidth="1"/>
    <col min="7941" max="8191" width="9.140625" style="2"/>
    <col min="8192" max="8193" width="15.7109375" style="2" customWidth="1"/>
    <col min="8194" max="8194" width="0" style="2" hidden="1" customWidth="1"/>
    <col min="8195" max="8195" width="45.7109375" style="2" customWidth="1"/>
    <col min="8196" max="8196" width="15.7109375" style="2" customWidth="1"/>
    <col min="8197" max="8447" width="9.140625" style="2"/>
    <col min="8448" max="8449" width="15.7109375" style="2" customWidth="1"/>
    <col min="8450" max="8450" width="0" style="2" hidden="1" customWidth="1"/>
    <col min="8451" max="8451" width="45.7109375" style="2" customWidth="1"/>
    <col min="8452" max="8452" width="15.7109375" style="2" customWidth="1"/>
    <col min="8453" max="8703" width="9.140625" style="2"/>
    <col min="8704" max="8705" width="15.7109375" style="2" customWidth="1"/>
    <col min="8706" max="8706" width="0" style="2" hidden="1" customWidth="1"/>
    <col min="8707" max="8707" width="45.7109375" style="2" customWidth="1"/>
    <col min="8708" max="8708" width="15.7109375" style="2" customWidth="1"/>
    <col min="8709" max="8959" width="9.140625" style="2"/>
    <col min="8960" max="8961" width="15.7109375" style="2" customWidth="1"/>
    <col min="8962" max="8962" width="0" style="2" hidden="1" customWidth="1"/>
    <col min="8963" max="8963" width="45.7109375" style="2" customWidth="1"/>
    <col min="8964" max="8964" width="15.7109375" style="2" customWidth="1"/>
    <col min="8965" max="9215" width="9.140625" style="2"/>
    <col min="9216" max="9217" width="15.7109375" style="2" customWidth="1"/>
    <col min="9218" max="9218" width="0" style="2" hidden="1" customWidth="1"/>
    <col min="9219" max="9219" width="45.7109375" style="2" customWidth="1"/>
    <col min="9220" max="9220" width="15.7109375" style="2" customWidth="1"/>
    <col min="9221" max="9471" width="9.140625" style="2"/>
    <col min="9472" max="9473" width="15.7109375" style="2" customWidth="1"/>
    <col min="9474" max="9474" width="0" style="2" hidden="1" customWidth="1"/>
    <col min="9475" max="9475" width="45.7109375" style="2" customWidth="1"/>
    <col min="9476" max="9476" width="15.7109375" style="2" customWidth="1"/>
    <col min="9477" max="9727" width="9.140625" style="2"/>
    <col min="9728" max="9729" width="15.7109375" style="2" customWidth="1"/>
    <col min="9730" max="9730" width="0" style="2" hidden="1" customWidth="1"/>
    <col min="9731" max="9731" width="45.7109375" style="2" customWidth="1"/>
    <col min="9732" max="9732" width="15.7109375" style="2" customWidth="1"/>
    <col min="9733" max="9983" width="9.140625" style="2"/>
    <col min="9984" max="9985" width="15.7109375" style="2" customWidth="1"/>
    <col min="9986" max="9986" width="0" style="2" hidden="1" customWidth="1"/>
    <col min="9987" max="9987" width="45.7109375" style="2" customWidth="1"/>
    <col min="9988" max="9988" width="15.7109375" style="2" customWidth="1"/>
    <col min="9989" max="10239" width="9.140625" style="2"/>
    <col min="10240" max="10241" width="15.7109375" style="2" customWidth="1"/>
    <col min="10242" max="10242" width="0" style="2" hidden="1" customWidth="1"/>
    <col min="10243" max="10243" width="45.7109375" style="2" customWidth="1"/>
    <col min="10244" max="10244" width="15.7109375" style="2" customWidth="1"/>
    <col min="10245" max="10495" width="9.140625" style="2"/>
    <col min="10496" max="10497" width="15.7109375" style="2" customWidth="1"/>
    <col min="10498" max="10498" width="0" style="2" hidden="1" customWidth="1"/>
    <col min="10499" max="10499" width="45.7109375" style="2" customWidth="1"/>
    <col min="10500" max="10500" width="15.7109375" style="2" customWidth="1"/>
    <col min="10501" max="10751" width="9.140625" style="2"/>
    <col min="10752" max="10753" width="15.7109375" style="2" customWidth="1"/>
    <col min="10754" max="10754" width="0" style="2" hidden="1" customWidth="1"/>
    <col min="10755" max="10755" width="45.7109375" style="2" customWidth="1"/>
    <col min="10756" max="10756" width="15.7109375" style="2" customWidth="1"/>
    <col min="10757" max="11007" width="9.140625" style="2"/>
    <col min="11008" max="11009" width="15.7109375" style="2" customWidth="1"/>
    <col min="11010" max="11010" width="0" style="2" hidden="1" customWidth="1"/>
    <col min="11011" max="11011" width="45.7109375" style="2" customWidth="1"/>
    <col min="11012" max="11012" width="15.7109375" style="2" customWidth="1"/>
    <col min="11013" max="11263" width="9.140625" style="2"/>
    <col min="11264" max="11265" width="15.7109375" style="2" customWidth="1"/>
    <col min="11266" max="11266" width="0" style="2" hidden="1" customWidth="1"/>
    <col min="11267" max="11267" width="45.7109375" style="2" customWidth="1"/>
    <col min="11268" max="11268" width="15.7109375" style="2" customWidth="1"/>
    <col min="11269" max="11519" width="9.140625" style="2"/>
    <col min="11520" max="11521" width="15.7109375" style="2" customWidth="1"/>
    <col min="11522" max="11522" width="0" style="2" hidden="1" customWidth="1"/>
    <col min="11523" max="11523" width="45.7109375" style="2" customWidth="1"/>
    <col min="11524" max="11524" width="15.7109375" style="2" customWidth="1"/>
    <col min="11525" max="11775" width="9.140625" style="2"/>
    <col min="11776" max="11777" width="15.7109375" style="2" customWidth="1"/>
    <col min="11778" max="11778" width="0" style="2" hidden="1" customWidth="1"/>
    <col min="11779" max="11779" width="45.7109375" style="2" customWidth="1"/>
    <col min="11780" max="11780" width="15.7109375" style="2" customWidth="1"/>
    <col min="11781" max="12031" width="9.140625" style="2"/>
    <col min="12032" max="12033" width="15.7109375" style="2" customWidth="1"/>
    <col min="12034" max="12034" width="0" style="2" hidden="1" customWidth="1"/>
    <col min="12035" max="12035" width="45.7109375" style="2" customWidth="1"/>
    <col min="12036" max="12036" width="15.7109375" style="2" customWidth="1"/>
    <col min="12037" max="12287" width="9.140625" style="2"/>
    <col min="12288" max="12289" width="15.7109375" style="2" customWidth="1"/>
    <col min="12290" max="12290" width="0" style="2" hidden="1" customWidth="1"/>
    <col min="12291" max="12291" width="45.7109375" style="2" customWidth="1"/>
    <col min="12292" max="12292" width="15.7109375" style="2" customWidth="1"/>
    <col min="12293" max="12543" width="9.140625" style="2"/>
    <col min="12544" max="12545" width="15.7109375" style="2" customWidth="1"/>
    <col min="12546" max="12546" width="0" style="2" hidden="1" customWidth="1"/>
    <col min="12547" max="12547" width="45.7109375" style="2" customWidth="1"/>
    <col min="12548" max="12548" width="15.7109375" style="2" customWidth="1"/>
    <col min="12549" max="12799" width="9.140625" style="2"/>
    <col min="12800" max="12801" width="15.7109375" style="2" customWidth="1"/>
    <col min="12802" max="12802" width="0" style="2" hidden="1" customWidth="1"/>
    <col min="12803" max="12803" width="45.7109375" style="2" customWidth="1"/>
    <col min="12804" max="12804" width="15.7109375" style="2" customWidth="1"/>
    <col min="12805" max="13055" width="9.140625" style="2"/>
    <col min="13056" max="13057" width="15.7109375" style="2" customWidth="1"/>
    <col min="13058" max="13058" width="0" style="2" hidden="1" customWidth="1"/>
    <col min="13059" max="13059" width="45.7109375" style="2" customWidth="1"/>
    <col min="13060" max="13060" width="15.7109375" style="2" customWidth="1"/>
    <col min="13061" max="13311" width="9.140625" style="2"/>
    <col min="13312" max="13313" width="15.7109375" style="2" customWidth="1"/>
    <col min="13314" max="13314" width="0" style="2" hidden="1" customWidth="1"/>
    <col min="13315" max="13315" width="45.7109375" style="2" customWidth="1"/>
    <col min="13316" max="13316" width="15.7109375" style="2" customWidth="1"/>
    <col min="13317" max="13567" width="9.140625" style="2"/>
    <col min="13568" max="13569" width="15.7109375" style="2" customWidth="1"/>
    <col min="13570" max="13570" width="0" style="2" hidden="1" customWidth="1"/>
    <col min="13571" max="13571" width="45.7109375" style="2" customWidth="1"/>
    <col min="13572" max="13572" width="15.7109375" style="2" customWidth="1"/>
    <col min="13573" max="13823" width="9.140625" style="2"/>
    <col min="13824" max="13825" width="15.7109375" style="2" customWidth="1"/>
    <col min="13826" max="13826" width="0" style="2" hidden="1" customWidth="1"/>
    <col min="13827" max="13827" width="45.7109375" style="2" customWidth="1"/>
    <col min="13828" max="13828" width="15.7109375" style="2" customWidth="1"/>
    <col min="13829" max="14079" width="9.140625" style="2"/>
    <col min="14080" max="14081" width="15.7109375" style="2" customWidth="1"/>
    <col min="14082" max="14082" width="0" style="2" hidden="1" customWidth="1"/>
    <col min="14083" max="14083" width="45.7109375" style="2" customWidth="1"/>
    <col min="14084" max="14084" width="15.7109375" style="2" customWidth="1"/>
    <col min="14085" max="14335" width="9.140625" style="2"/>
    <col min="14336" max="14337" width="15.7109375" style="2" customWidth="1"/>
    <col min="14338" max="14338" width="0" style="2" hidden="1" customWidth="1"/>
    <col min="14339" max="14339" width="45.7109375" style="2" customWidth="1"/>
    <col min="14340" max="14340" width="15.7109375" style="2" customWidth="1"/>
    <col min="14341" max="14591" width="9.140625" style="2"/>
    <col min="14592" max="14593" width="15.7109375" style="2" customWidth="1"/>
    <col min="14594" max="14594" width="0" style="2" hidden="1" customWidth="1"/>
    <col min="14595" max="14595" width="45.7109375" style="2" customWidth="1"/>
    <col min="14596" max="14596" width="15.7109375" style="2" customWidth="1"/>
    <col min="14597" max="14847" width="9.140625" style="2"/>
    <col min="14848" max="14849" width="15.7109375" style="2" customWidth="1"/>
    <col min="14850" max="14850" width="0" style="2" hidden="1" customWidth="1"/>
    <col min="14851" max="14851" width="45.7109375" style="2" customWidth="1"/>
    <col min="14852" max="14852" width="15.7109375" style="2" customWidth="1"/>
    <col min="14853" max="15103" width="9.140625" style="2"/>
    <col min="15104" max="15105" width="15.7109375" style="2" customWidth="1"/>
    <col min="15106" max="15106" width="0" style="2" hidden="1" customWidth="1"/>
    <col min="15107" max="15107" width="45.7109375" style="2" customWidth="1"/>
    <col min="15108" max="15108" width="15.7109375" style="2" customWidth="1"/>
    <col min="15109" max="15359" width="9.140625" style="2"/>
    <col min="15360" max="15361" width="15.7109375" style="2" customWidth="1"/>
    <col min="15362" max="15362" width="0" style="2" hidden="1" customWidth="1"/>
    <col min="15363" max="15363" width="45.7109375" style="2" customWidth="1"/>
    <col min="15364" max="15364" width="15.7109375" style="2" customWidth="1"/>
    <col min="15365" max="15615" width="9.140625" style="2"/>
    <col min="15616" max="15617" width="15.7109375" style="2" customWidth="1"/>
    <col min="15618" max="15618" width="0" style="2" hidden="1" customWidth="1"/>
    <col min="15619" max="15619" width="45.7109375" style="2" customWidth="1"/>
    <col min="15620" max="15620" width="15.7109375" style="2" customWidth="1"/>
    <col min="15621" max="15871" width="9.140625" style="2"/>
    <col min="15872" max="15873" width="15.7109375" style="2" customWidth="1"/>
    <col min="15874" max="15874" width="0" style="2" hidden="1" customWidth="1"/>
    <col min="15875" max="15875" width="45.7109375" style="2" customWidth="1"/>
    <col min="15876" max="15876" width="15.7109375" style="2" customWidth="1"/>
    <col min="15877" max="16127" width="9.140625" style="2"/>
    <col min="16128" max="16129" width="15.7109375" style="2" customWidth="1"/>
    <col min="16130" max="16130" width="0" style="2" hidden="1" customWidth="1"/>
    <col min="16131" max="16131" width="45.7109375" style="2" customWidth="1"/>
    <col min="16132" max="16132" width="15.7109375" style="2" customWidth="1"/>
    <col min="16133" max="16384" width="9.140625" style="2"/>
  </cols>
  <sheetData>
    <row r="1" spans="1:11" ht="21" customHeight="1" x14ac:dyDescent="0.25">
      <c r="A1" s="63" t="s">
        <v>451</v>
      </c>
      <c r="B1" s="64"/>
      <c r="C1" s="64"/>
      <c r="D1" s="256" t="s">
        <v>396</v>
      </c>
    </row>
    <row r="2" spans="1:11" ht="21" customHeight="1" x14ac:dyDescent="0.25">
      <c r="A2" s="257" t="s">
        <v>386</v>
      </c>
      <c r="B2" s="258"/>
      <c r="C2" s="259" t="s">
        <v>387</v>
      </c>
      <c r="D2" s="258"/>
    </row>
    <row r="3" spans="1:11" ht="21" customHeight="1" x14ac:dyDescent="0.25">
      <c r="A3" s="257" t="s">
        <v>92</v>
      </c>
      <c r="B3" s="258">
        <v>0.40694444444444444</v>
      </c>
      <c r="C3" s="259" t="s">
        <v>86</v>
      </c>
      <c r="D3" s="258"/>
    </row>
    <row r="4" spans="1:11" ht="21" customHeight="1" x14ac:dyDescent="0.25">
      <c r="A4" s="257" t="s">
        <v>393</v>
      </c>
      <c r="B4" s="258"/>
      <c r="C4" s="259" t="s">
        <v>394</v>
      </c>
      <c r="D4" s="258"/>
    </row>
    <row r="5" spans="1:11" ht="21" customHeight="1" x14ac:dyDescent="0.25">
      <c r="A5" s="257" t="s">
        <v>93</v>
      </c>
      <c r="B5" s="258">
        <v>0.4555555555555556</v>
      </c>
      <c r="C5" s="259" t="s">
        <v>87</v>
      </c>
      <c r="D5" s="258"/>
    </row>
    <row r="6" spans="1:11" ht="21" customHeight="1" x14ac:dyDescent="0.25">
      <c r="A6" s="257" t="s">
        <v>393</v>
      </c>
      <c r="B6" s="258"/>
      <c r="C6" s="259" t="s">
        <v>395</v>
      </c>
      <c r="D6" s="258"/>
    </row>
    <row r="7" spans="1:11" ht="46.5" x14ac:dyDescent="0.25">
      <c r="A7" s="728" t="s">
        <v>317</v>
      </c>
      <c r="B7" s="728"/>
      <c r="C7" s="728"/>
      <c r="D7" s="728"/>
    </row>
    <row r="8" spans="1:11" s="24" customFormat="1" ht="21" customHeight="1" x14ac:dyDescent="0.25">
      <c r="A8" s="260" t="s">
        <v>402</v>
      </c>
      <c r="C8" s="31"/>
      <c r="D8" s="31"/>
    </row>
    <row r="9" spans="1:11" ht="21" customHeight="1" x14ac:dyDescent="0.25">
      <c r="A9" s="65" t="s">
        <v>0</v>
      </c>
      <c r="B9" s="729" t="s">
        <v>88</v>
      </c>
      <c r="C9" s="730"/>
      <c r="D9" s="278" t="s">
        <v>406</v>
      </c>
      <c r="J9" s="25"/>
      <c r="K9" s="26"/>
    </row>
    <row r="10" spans="1:11" ht="30" customHeight="1" x14ac:dyDescent="0.25">
      <c r="A10" s="29">
        <v>9</v>
      </c>
      <c r="B10" s="726" t="s">
        <v>880</v>
      </c>
      <c r="C10" s="727"/>
      <c r="D10" s="29">
        <v>600</v>
      </c>
    </row>
    <row r="11" spans="1:11" ht="30" customHeight="1" x14ac:dyDescent="0.25">
      <c r="A11" s="29">
        <v>10</v>
      </c>
      <c r="B11" s="726" t="s">
        <v>881</v>
      </c>
      <c r="C11" s="727"/>
      <c r="D11" s="29">
        <v>300</v>
      </c>
    </row>
    <row r="12" spans="1:11" ht="30" customHeight="1" x14ac:dyDescent="0.25">
      <c r="A12" s="29"/>
      <c r="B12" s="726"/>
      <c r="C12" s="727"/>
      <c r="D12" s="29"/>
    </row>
    <row r="13" spans="1:11" ht="30" customHeight="1" x14ac:dyDescent="0.25">
      <c r="A13" s="29"/>
      <c r="B13" s="726"/>
      <c r="C13" s="727"/>
      <c r="D13" s="29"/>
    </row>
    <row r="14" spans="1:11" ht="30" customHeight="1" x14ac:dyDescent="0.25">
      <c r="A14" s="29"/>
      <c r="B14" s="726"/>
      <c r="C14" s="727"/>
      <c r="D14" s="29"/>
    </row>
    <row r="15" spans="1:11" ht="30" customHeight="1" x14ac:dyDescent="0.25">
      <c r="A15" s="29"/>
      <c r="B15" s="726"/>
      <c r="C15" s="727"/>
      <c r="D15" s="29"/>
    </row>
    <row r="16" spans="1:11" ht="30" customHeight="1" x14ac:dyDescent="0.25">
      <c r="A16" s="29"/>
      <c r="B16" s="726"/>
      <c r="C16" s="727"/>
      <c r="D16" s="29"/>
    </row>
    <row r="17" spans="1:4" ht="30" customHeight="1" x14ac:dyDescent="0.25">
      <c r="A17" s="29"/>
      <c r="B17" s="726"/>
      <c r="C17" s="727"/>
      <c r="D17" s="29"/>
    </row>
    <row r="18" spans="1:4" ht="30" customHeight="1" x14ac:dyDescent="0.25">
      <c r="A18" s="29"/>
      <c r="B18" s="726"/>
      <c r="C18" s="727"/>
      <c r="D18" s="29"/>
    </row>
    <row r="19" spans="1:4" ht="30" customHeight="1" x14ac:dyDescent="0.25">
      <c r="A19" s="29"/>
      <c r="B19" s="726"/>
      <c r="C19" s="727"/>
      <c r="D19" s="29"/>
    </row>
    <row r="20" spans="1:4" ht="30" customHeight="1" x14ac:dyDescent="0.25">
      <c r="A20" s="29"/>
      <c r="B20" s="726"/>
      <c r="C20" s="727"/>
      <c r="D20" s="29"/>
    </row>
    <row r="21" spans="1:4" ht="30" customHeight="1" x14ac:dyDescent="0.25">
      <c r="A21" s="29"/>
      <c r="B21" s="726"/>
      <c r="C21" s="727"/>
      <c r="D21" s="29"/>
    </row>
    <row r="22" spans="1:4" ht="30" customHeight="1" x14ac:dyDescent="0.25">
      <c r="A22" s="29"/>
      <c r="B22" s="726"/>
      <c r="C22" s="727"/>
      <c r="D22" s="29"/>
    </row>
    <row r="23" spans="1:4" ht="30" customHeight="1" x14ac:dyDescent="0.25">
      <c r="A23" s="29"/>
      <c r="B23" s="726"/>
      <c r="C23" s="727"/>
      <c r="D23" s="29"/>
    </row>
    <row r="24" spans="1:4" ht="30" customHeight="1" x14ac:dyDescent="0.25">
      <c r="A24" s="29"/>
      <c r="B24" s="726"/>
      <c r="C24" s="727"/>
      <c r="D24" s="29"/>
    </row>
    <row r="25" spans="1:4" ht="30" customHeight="1" x14ac:dyDescent="0.25">
      <c r="A25" s="29"/>
      <c r="B25" s="726"/>
      <c r="C25" s="727"/>
      <c r="D25" s="29"/>
    </row>
    <row r="26" spans="1:4" ht="30" customHeight="1" x14ac:dyDescent="0.25">
      <c r="A26" s="29"/>
      <c r="B26" s="726"/>
      <c r="C26" s="727"/>
      <c r="D26" s="29"/>
    </row>
    <row r="27" spans="1:4" ht="30" customHeight="1" x14ac:dyDescent="0.25">
      <c r="A27" s="29"/>
      <c r="B27" s="726"/>
      <c r="C27" s="727"/>
      <c r="D27" s="29"/>
    </row>
    <row r="28" spans="1:4" ht="30" customHeight="1" x14ac:dyDescent="0.25">
      <c r="A28" s="29"/>
      <c r="B28" s="726"/>
      <c r="C28" s="727"/>
      <c r="D28" s="29"/>
    </row>
    <row r="29" spans="1:4" ht="30" customHeight="1" x14ac:dyDescent="0.25">
      <c r="A29" s="29"/>
      <c r="B29" s="726"/>
      <c r="C29" s="727"/>
      <c r="D29" s="29"/>
    </row>
    <row r="30" spans="1:4" ht="30" customHeight="1" x14ac:dyDescent="0.25">
      <c r="A30" s="29"/>
      <c r="B30" s="726"/>
      <c r="C30" s="727"/>
      <c r="D30" s="29"/>
    </row>
    <row r="31" spans="1:4" ht="30" customHeight="1" x14ac:dyDescent="0.25">
      <c r="A31" s="29"/>
      <c r="B31" s="726"/>
      <c r="C31" s="727"/>
      <c r="D31" s="29"/>
    </row>
    <row r="32" spans="1:4" ht="30" customHeight="1" x14ac:dyDescent="0.25">
      <c r="A32" s="29"/>
      <c r="B32" s="726"/>
      <c r="C32" s="727"/>
      <c r="D32" s="29"/>
    </row>
    <row r="33" spans="1:4" ht="30" customHeight="1" x14ac:dyDescent="0.25">
      <c r="A33" s="29"/>
      <c r="B33" s="726"/>
      <c r="C33" s="727"/>
      <c r="D33" s="29"/>
    </row>
    <row r="34" spans="1:4" ht="30" customHeight="1" x14ac:dyDescent="0.25">
      <c r="A34" s="29"/>
      <c r="B34" s="726"/>
      <c r="C34" s="727"/>
      <c r="D34" s="29"/>
    </row>
    <row r="35" spans="1:4" ht="30" customHeight="1" x14ac:dyDescent="0.25">
      <c r="A35" s="29"/>
      <c r="B35" s="726"/>
      <c r="C35" s="727"/>
      <c r="D35" s="29"/>
    </row>
    <row r="36" spans="1:4" ht="30" customHeight="1" x14ac:dyDescent="0.25">
      <c r="A36" s="29"/>
      <c r="B36" s="726"/>
      <c r="C36" s="727"/>
      <c r="D36" s="29"/>
    </row>
    <row r="37" spans="1:4" ht="30" customHeight="1" x14ac:dyDescent="0.25">
      <c r="A37" s="29"/>
      <c r="B37" s="726"/>
      <c r="C37" s="727"/>
      <c r="D37" s="29"/>
    </row>
    <row r="38" spans="1:4" ht="30" customHeight="1" x14ac:dyDescent="0.25">
      <c r="A38" s="29"/>
      <c r="B38" s="726"/>
      <c r="C38" s="727"/>
      <c r="D38" s="29"/>
    </row>
    <row r="39" spans="1:4" ht="30" customHeight="1" x14ac:dyDescent="0.25">
      <c r="A39" s="29"/>
      <c r="B39" s="726"/>
      <c r="C39" s="727"/>
      <c r="D39" s="29"/>
    </row>
    <row r="40" spans="1:4" ht="30" customHeight="1" x14ac:dyDescent="0.25">
      <c r="A40" s="29"/>
      <c r="B40" s="726"/>
      <c r="C40" s="727"/>
      <c r="D40" s="29"/>
    </row>
    <row r="41" spans="1:4" ht="30" customHeight="1" x14ac:dyDescent="0.25">
      <c r="A41" s="29"/>
      <c r="B41" s="726"/>
      <c r="C41" s="727"/>
      <c r="D41" s="29"/>
    </row>
    <row r="42" spans="1:4" ht="30" customHeight="1" x14ac:dyDescent="0.25">
      <c r="A42" s="29"/>
      <c r="B42" s="726"/>
      <c r="C42" s="727"/>
      <c r="D42" s="29"/>
    </row>
    <row r="43" spans="1:4" ht="30" customHeight="1" x14ac:dyDescent="0.25">
      <c r="A43" s="29"/>
      <c r="B43" s="726"/>
      <c r="C43" s="727"/>
      <c r="D43" s="29"/>
    </row>
    <row r="44" spans="1:4" ht="30" customHeight="1" x14ac:dyDescent="0.25">
      <c r="A44" s="29"/>
      <c r="B44" s="726"/>
      <c r="C44" s="727"/>
      <c r="D44" s="29"/>
    </row>
    <row r="45" spans="1:4" ht="30" customHeight="1" x14ac:dyDescent="0.25">
      <c r="A45" s="29"/>
      <c r="B45" s="726"/>
      <c r="C45" s="727"/>
      <c r="D45" s="29"/>
    </row>
    <row r="46" spans="1:4" ht="30" customHeight="1" x14ac:dyDescent="0.25">
      <c r="A46" s="29"/>
      <c r="B46" s="726"/>
      <c r="C46" s="727"/>
      <c r="D46" s="29"/>
    </row>
    <row r="47" spans="1:4" ht="30" customHeight="1" x14ac:dyDescent="0.25">
      <c r="A47" s="29"/>
      <c r="B47" s="726"/>
      <c r="C47" s="727"/>
      <c r="D47" s="29"/>
    </row>
    <row r="48" spans="1:4" ht="30" customHeight="1" x14ac:dyDescent="0.25">
      <c r="A48" s="29"/>
      <c r="B48" s="726"/>
      <c r="C48" s="727"/>
      <c r="D48" s="29"/>
    </row>
    <row r="49" spans="1:4" ht="30" customHeight="1" x14ac:dyDescent="0.25">
      <c r="A49" s="29"/>
      <c r="B49" s="726"/>
      <c r="C49" s="727"/>
      <c r="D49" s="29"/>
    </row>
    <row r="50" spans="1:4" ht="30" customHeight="1" x14ac:dyDescent="0.25">
      <c r="A50" s="29"/>
      <c r="B50" s="726"/>
      <c r="C50" s="727"/>
      <c r="D50" s="29"/>
    </row>
    <row r="51" spans="1:4" ht="30" customHeight="1" x14ac:dyDescent="0.25">
      <c r="A51" s="29"/>
      <c r="B51" s="726"/>
      <c r="C51" s="727"/>
      <c r="D51" s="29"/>
    </row>
    <row r="52" spans="1:4" ht="30" customHeight="1" x14ac:dyDescent="0.25">
      <c r="A52" s="29"/>
      <c r="B52" s="726"/>
      <c r="C52" s="727"/>
      <c r="D52" s="29"/>
    </row>
    <row r="53" spans="1:4" ht="30" customHeight="1" x14ac:dyDescent="0.25">
      <c r="A53" s="29"/>
      <c r="B53" s="726"/>
      <c r="C53" s="727"/>
      <c r="D53" s="29"/>
    </row>
    <row r="54" spans="1:4" ht="30" customHeight="1" x14ac:dyDescent="0.25">
      <c r="A54" s="29"/>
      <c r="B54" s="726"/>
      <c r="C54" s="727"/>
      <c r="D54" s="29"/>
    </row>
    <row r="55" spans="1:4" ht="30" customHeight="1" x14ac:dyDescent="0.25">
      <c r="A55" s="29"/>
      <c r="B55" s="726"/>
      <c r="C55" s="727"/>
      <c r="D55" s="29"/>
    </row>
    <row r="56" spans="1:4" ht="30" customHeight="1" x14ac:dyDescent="0.25">
      <c r="A56" s="29"/>
      <c r="B56" s="726"/>
      <c r="C56" s="727"/>
      <c r="D56" s="29"/>
    </row>
    <row r="57" spans="1:4" ht="30" customHeight="1" x14ac:dyDescent="0.25">
      <c r="A57" s="29"/>
      <c r="B57" s="726"/>
      <c r="C57" s="727"/>
      <c r="D57" s="29"/>
    </row>
    <row r="58" spans="1:4" ht="30" customHeight="1" x14ac:dyDescent="0.25">
      <c r="A58" s="29"/>
      <c r="B58" s="726"/>
      <c r="C58" s="727"/>
      <c r="D58" s="29"/>
    </row>
    <row r="59" spans="1:4" ht="30" customHeight="1" x14ac:dyDescent="0.25">
      <c r="A59" s="29"/>
      <c r="B59" s="726"/>
      <c r="C59" s="727"/>
      <c r="D59" s="29"/>
    </row>
    <row r="60" spans="1:4" ht="30" customHeight="1" x14ac:dyDescent="0.25">
      <c r="A60" s="29"/>
      <c r="B60" s="726"/>
      <c r="C60" s="727"/>
      <c r="D60" s="29"/>
    </row>
    <row r="61" spans="1:4" ht="30" customHeight="1" x14ac:dyDescent="0.25">
      <c r="A61" s="29"/>
      <c r="B61" s="726"/>
      <c r="C61" s="727"/>
      <c r="D61" s="29"/>
    </row>
    <row r="62" spans="1:4" ht="30" customHeight="1" x14ac:dyDescent="0.25">
      <c r="A62" s="29"/>
      <c r="B62" s="726"/>
      <c r="C62" s="727"/>
      <c r="D62" s="29"/>
    </row>
    <row r="63" spans="1:4" ht="30" customHeight="1" x14ac:dyDescent="0.25">
      <c r="A63" s="29"/>
      <c r="B63" s="726"/>
      <c r="C63" s="727"/>
      <c r="D63" s="29"/>
    </row>
    <row r="64" spans="1:4" ht="30" customHeight="1" x14ac:dyDescent="0.25">
      <c r="A64" s="29"/>
      <c r="B64" s="726"/>
      <c r="C64" s="727"/>
      <c r="D64" s="29"/>
    </row>
    <row r="65" spans="1:4" ht="30" customHeight="1" x14ac:dyDescent="0.25">
      <c r="A65" s="29"/>
      <c r="B65" s="726"/>
      <c r="C65" s="727"/>
      <c r="D65" s="29"/>
    </row>
    <row r="66" spans="1:4" ht="30" customHeight="1" x14ac:dyDescent="0.25">
      <c r="A66" s="29"/>
      <c r="B66" s="726"/>
      <c r="C66" s="727"/>
      <c r="D66" s="29"/>
    </row>
  </sheetData>
  <sheetProtection sheet="1" objects="1" scenarios="1"/>
  <mergeCells count="59">
    <mergeCell ref="B62:C62"/>
    <mergeCell ref="B63:C63"/>
    <mergeCell ref="B64:C64"/>
    <mergeCell ref="B65:C65"/>
    <mergeCell ref="B66:C66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7:D7"/>
    <mergeCell ref="B9:C9"/>
    <mergeCell ref="B10:C10"/>
    <mergeCell ref="B11:C11"/>
    <mergeCell ref="B12:C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F0"/>
  </sheetPr>
  <dimension ref="A1:K66"/>
  <sheetViews>
    <sheetView view="pageBreakPreview" topLeftCell="A15" zoomScale="85" zoomScaleSheetLayoutView="85" workbookViewId="0">
      <selection activeCell="D26" sqref="D26"/>
    </sheetView>
  </sheetViews>
  <sheetFormatPr defaultRowHeight="15" x14ac:dyDescent="0.25"/>
  <cols>
    <col min="1" max="2" width="15.7109375" style="2" customWidth="1"/>
    <col min="3" max="3" width="45.7109375" style="2" customWidth="1"/>
    <col min="4" max="4" width="15.7109375" style="2" customWidth="1"/>
    <col min="5" max="255" width="9.140625" style="2"/>
    <col min="256" max="257" width="15.7109375" style="2" customWidth="1"/>
    <col min="258" max="258" width="0" style="2" hidden="1" customWidth="1"/>
    <col min="259" max="259" width="45.7109375" style="2" customWidth="1"/>
    <col min="260" max="260" width="15.7109375" style="2" customWidth="1"/>
    <col min="261" max="511" width="9.140625" style="2"/>
    <col min="512" max="513" width="15.7109375" style="2" customWidth="1"/>
    <col min="514" max="514" width="0" style="2" hidden="1" customWidth="1"/>
    <col min="515" max="515" width="45.7109375" style="2" customWidth="1"/>
    <col min="516" max="516" width="15.7109375" style="2" customWidth="1"/>
    <col min="517" max="767" width="9.140625" style="2"/>
    <col min="768" max="769" width="15.7109375" style="2" customWidth="1"/>
    <col min="770" max="770" width="0" style="2" hidden="1" customWidth="1"/>
    <col min="771" max="771" width="45.7109375" style="2" customWidth="1"/>
    <col min="772" max="772" width="15.7109375" style="2" customWidth="1"/>
    <col min="773" max="1023" width="9.140625" style="2"/>
    <col min="1024" max="1025" width="15.7109375" style="2" customWidth="1"/>
    <col min="1026" max="1026" width="0" style="2" hidden="1" customWidth="1"/>
    <col min="1027" max="1027" width="45.7109375" style="2" customWidth="1"/>
    <col min="1028" max="1028" width="15.7109375" style="2" customWidth="1"/>
    <col min="1029" max="1279" width="9.140625" style="2"/>
    <col min="1280" max="1281" width="15.7109375" style="2" customWidth="1"/>
    <col min="1282" max="1282" width="0" style="2" hidden="1" customWidth="1"/>
    <col min="1283" max="1283" width="45.7109375" style="2" customWidth="1"/>
    <col min="1284" max="1284" width="15.7109375" style="2" customWidth="1"/>
    <col min="1285" max="1535" width="9.140625" style="2"/>
    <col min="1536" max="1537" width="15.7109375" style="2" customWidth="1"/>
    <col min="1538" max="1538" width="0" style="2" hidden="1" customWidth="1"/>
    <col min="1539" max="1539" width="45.7109375" style="2" customWidth="1"/>
    <col min="1540" max="1540" width="15.7109375" style="2" customWidth="1"/>
    <col min="1541" max="1791" width="9.140625" style="2"/>
    <col min="1792" max="1793" width="15.7109375" style="2" customWidth="1"/>
    <col min="1794" max="1794" width="0" style="2" hidden="1" customWidth="1"/>
    <col min="1795" max="1795" width="45.7109375" style="2" customWidth="1"/>
    <col min="1796" max="1796" width="15.7109375" style="2" customWidth="1"/>
    <col min="1797" max="2047" width="9.140625" style="2"/>
    <col min="2048" max="2049" width="15.7109375" style="2" customWidth="1"/>
    <col min="2050" max="2050" width="0" style="2" hidden="1" customWidth="1"/>
    <col min="2051" max="2051" width="45.7109375" style="2" customWidth="1"/>
    <col min="2052" max="2052" width="15.7109375" style="2" customWidth="1"/>
    <col min="2053" max="2303" width="9.140625" style="2"/>
    <col min="2304" max="2305" width="15.7109375" style="2" customWidth="1"/>
    <col min="2306" max="2306" width="0" style="2" hidden="1" customWidth="1"/>
    <col min="2307" max="2307" width="45.7109375" style="2" customWidth="1"/>
    <col min="2308" max="2308" width="15.7109375" style="2" customWidth="1"/>
    <col min="2309" max="2559" width="9.140625" style="2"/>
    <col min="2560" max="2561" width="15.7109375" style="2" customWidth="1"/>
    <col min="2562" max="2562" width="0" style="2" hidden="1" customWidth="1"/>
    <col min="2563" max="2563" width="45.7109375" style="2" customWidth="1"/>
    <col min="2564" max="2564" width="15.7109375" style="2" customWidth="1"/>
    <col min="2565" max="2815" width="9.140625" style="2"/>
    <col min="2816" max="2817" width="15.7109375" style="2" customWidth="1"/>
    <col min="2818" max="2818" width="0" style="2" hidden="1" customWidth="1"/>
    <col min="2819" max="2819" width="45.7109375" style="2" customWidth="1"/>
    <col min="2820" max="2820" width="15.7109375" style="2" customWidth="1"/>
    <col min="2821" max="3071" width="9.140625" style="2"/>
    <col min="3072" max="3073" width="15.7109375" style="2" customWidth="1"/>
    <col min="3074" max="3074" width="0" style="2" hidden="1" customWidth="1"/>
    <col min="3075" max="3075" width="45.7109375" style="2" customWidth="1"/>
    <col min="3076" max="3076" width="15.7109375" style="2" customWidth="1"/>
    <col min="3077" max="3327" width="9.140625" style="2"/>
    <col min="3328" max="3329" width="15.7109375" style="2" customWidth="1"/>
    <col min="3330" max="3330" width="0" style="2" hidden="1" customWidth="1"/>
    <col min="3331" max="3331" width="45.7109375" style="2" customWidth="1"/>
    <col min="3332" max="3332" width="15.7109375" style="2" customWidth="1"/>
    <col min="3333" max="3583" width="9.140625" style="2"/>
    <col min="3584" max="3585" width="15.7109375" style="2" customWidth="1"/>
    <col min="3586" max="3586" width="0" style="2" hidden="1" customWidth="1"/>
    <col min="3587" max="3587" width="45.7109375" style="2" customWidth="1"/>
    <col min="3588" max="3588" width="15.7109375" style="2" customWidth="1"/>
    <col min="3589" max="3839" width="9.140625" style="2"/>
    <col min="3840" max="3841" width="15.7109375" style="2" customWidth="1"/>
    <col min="3842" max="3842" width="0" style="2" hidden="1" customWidth="1"/>
    <col min="3843" max="3843" width="45.7109375" style="2" customWidth="1"/>
    <col min="3844" max="3844" width="15.7109375" style="2" customWidth="1"/>
    <col min="3845" max="4095" width="9.140625" style="2"/>
    <col min="4096" max="4097" width="15.7109375" style="2" customWidth="1"/>
    <col min="4098" max="4098" width="0" style="2" hidden="1" customWidth="1"/>
    <col min="4099" max="4099" width="45.7109375" style="2" customWidth="1"/>
    <col min="4100" max="4100" width="15.7109375" style="2" customWidth="1"/>
    <col min="4101" max="4351" width="9.140625" style="2"/>
    <col min="4352" max="4353" width="15.7109375" style="2" customWidth="1"/>
    <col min="4354" max="4354" width="0" style="2" hidden="1" customWidth="1"/>
    <col min="4355" max="4355" width="45.7109375" style="2" customWidth="1"/>
    <col min="4356" max="4356" width="15.7109375" style="2" customWidth="1"/>
    <col min="4357" max="4607" width="9.140625" style="2"/>
    <col min="4608" max="4609" width="15.7109375" style="2" customWidth="1"/>
    <col min="4610" max="4610" width="0" style="2" hidden="1" customWidth="1"/>
    <col min="4611" max="4611" width="45.7109375" style="2" customWidth="1"/>
    <col min="4612" max="4612" width="15.7109375" style="2" customWidth="1"/>
    <col min="4613" max="4863" width="9.140625" style="2"/>
    <col min="4864" max="4865" width="15.7109375" style="2" customWidth="1"/>
    <col min="4866" max="4866" width="0" style="2" hidden="1" customWidth="1"/>
    <col min="4867" max="4867" width="45.7109375" style="2" customWidth="1"/>
    <col min="4868" max="4868" width="15.7109375" style="2" customWidth="1"/>
    <col min="4869" max="5119" width="9.140625" style="2"/>
    <col min="5120" max="5121" width="15.7109375" style="2" customWidth="1"/>
    <col min="5122" max="5122" width="0" style="2" hidden="1" customWidth="1"/>
    <col min="5123" max="5123" width="45.7109375" style="2" customWidth="1"/>
    <col min="5124" max="5124" width="15.7109375" style="2" customWidth="1"/>
    <col min="5125" max="5375" width="9.140625" style="2"/>
    <col min="5376" max="5377" width="15.7109375" style="2" customWidth="1"/>
    <col min="5378" max="5378" width="0" style="2" hidden="1" customWidth="1"/>
    <col min="5379" max="5379" width="45.7109375" style="2" customWidth="1"/>
    <col min="5380" max="5380" width="15.7109375" style="2" customWidth="1"/>
    <col min="5381" max="5631" width="9.140625" style="2"/>
    <col min="5632" max="5633" width="15.7109375" style="2" customWidth="1"/>
    <col min="5634" max="5634" width="0" style="2" hidden="1" customWidth="1"/>
    <col min="5635" max="5635" width="45.7109375" style="2" customWidth="1"/>
    <col min="5636" max="5636" width="15.7109375" style="2" customWidth="1"/>
    <col min="5637" max="5887" width="9.140625" style="2"/>
    <col min="5888" max="5889" width="15.7109375" style="2" customWidth="1"/>
    <col min="5890" max="5890" width="0" style="2" hidden="1" customWidth="1"/>
    <col min="5891" max="5891" width="45.7109375" style="2" customWidth="1"/>
    <col min="5892" max="5892" width="15.7109375" style="2" customWidth="1"/>
    <col min="5893" max="6143" width="9.140625" style="2"/>
    <col min="6144" max="6145" width="15.7109375" style="2" customWidth="1"/>
    <col min="6146" max="6146" width="0" style="2" hidden="1" customWidth="1"/>
    <col min="6147" max="6147" width="45.7109375" style="2" customWidth="1"/>
    <col min="6148" max="6148" width="15.7109375" style="2" customWidth="1"/>
    <col min="6149" max="6399" width="9.140625" style="2"/>
    <col min="6400" max="6401" width="15.7109375" style="2" customWidth="1"/>
    <col min="6402" max="6402" width="0" style="2" hidden="1" customWidth="1"/>
    <col min="6403" max="6403" width="45.7109375" style="2" customWidth="1"/>
    <col min="6404" max="6404" width="15.7109375" style="2" customWidth="1"/>
    <col min="6405" max="6655" width="9.140625" style="2"/>
    <col min="6656" max="6657" width="15.7109375" style="2" customWidth="1"/>
    <col min="6658" max="6658" width="0" style="2" hidden="1" customWidth="1"/>
    <col min="6659" max="6659" width="45.7109375" style="2" customWidth="1"/>
    <col min="6660" max="6660" width="15.7109375" style="2" customWidth="1"/>
    <col min="6661" max="6911" width="9.140625" style="2"/>
    <col min="6912" max="6913" width="15.7109375" style="2" customWidth="1"/>
    <col min="6914" max="6914" width="0" style="2" hidden="1" customWidth="1"/>
    <col min="6915" max="6915" width="45.7109375" style="2" customWidth="1"/>
    <col min="6916" max="6916" width="15.7109375" style="2" customWidth="1"/>
    <col min="6917" max="7167" width="9.140625" style="2"/>
    <col min="7168" max="7169" width="15.7109375" style="2" customWidth="1"/>
    <col min="7170" max="7170" width="0" style="2" hidden="1" customWidth="1"/>
    <col min="7171" max="7171" width="45.7109375" style="2" customWidth="1"/>
    <col min="7172" max="7172" width="15.7109375" style="2" customWidth="1"/>
    <col min="7173" max="7423" width="9.140625" style="2"/>
    <col min="7424" max="7425" width="15.7109375" style="2" customWidth="1"/>
    <col min="7426" max="7426" width="0" style="2" hidden="1" customWidth="1"/>
    <col min="7427" max="7427" width="45.7109375" style="2" customWidth="1"/>
    <col min="7428" max="7428" width="15.7109375" style="2" customWidth="1"/>
    <col min="7429" max="7679" width="9.140625" style="2"/>
    <col min="7680" max="7681" width="15.7109375" style="2" customWidth="1"/>
    <col min="7682" max="7682" width="0" style="2" hidden="1" customWidth="1"/>
    <col min="7683" max="7683" width="45.7109375" style="2" customWidth="1"/>
    <col min="7684" max="7684" width="15.7109375" style="2" customWidth="1"/>
    <col min="7685" max="7935" width="9.140625" style="2"/>
    <col min="7936" max="7937" width="15.7109375" style="2" customWidth="1"/>
    <col min="7938" max="7938" width="0" style="2" hidden="1" customWidth="1"/>
    <col min="7939" max="7939" width="45.7109375" style="2" customWidth="1"/>
    <col min="7940" max="7940" width="15.7109375" style="2" customWidth="1"/>
    <col min="7941" max="8191" width="9.140625" style="2"/>
    <col min="8192" max="8193" width="15.7109375" style="2" customWidth="1"/>
    <col min="8194" max="8194" width="0" style="2" hidden="1" customWidth="1"/>
    <col min="8195" max="8195" width="45.7109375" style="2" customWidth="1"/>
    <col min="8196" max="8196" width="15.7109375" style="2" customWidth="1"/>
    <col min="8197" max="8447" width="9.140625" style="2"/>
    <col min="8448" max="8449" width="15.7109375" style="2" customWidth="1"/>
    <col min="8450" max="8450" width="0" style="2" hidden="1" customWidth="1"/>
    <col min="8451" max="8451" width="45.7109375" style="2" customWidth="1"/>
    <col min="8452" max="8452" width="15.7109375" style="2" customWidth="1"/>
    <col min="8453" max="8703" width="9.140625" style="2"/>
    <col min="8704" max="8705" width="15.7109375" style="2" customWidth="1"/>
    <col min="8706" max="8706" width="0" style="2" hidden="1" customWidth="1"/>
    <col min="8707" max="8707" width="45.7109375" style="2" customWidth="1"/>
    <col min="8708" max="8708" width="15.7109375" style="2" customWidth="1"/>
    <col min="8709" max="8959" width="9.140625" style="2"/>
    <col min="8960" max="8961" width="15.7109375" style="2" customWidth="1"/>
    <col min="8962" max="8962" width="0" style="2" hidden="1" customWidth="1"/>
    <col min="8963" max="8963" width="45.7109375" style="2" customWidth="1"/>
    <col min="8964" max="8964" width="15.7109375" style="2" customWidth="1"/>
    <col min="8965" max="9215" width="9.140625" style="2"/>
    <col min="9216" max="9217" width="15.7109375" style="2" customWidth="1"/>
    <col min="9218" max="9218" width="0" style="2" hidden="1" customWidth="1"/>
    <col min="9219" max="9219" width="45.7109375" style="2" customWidth="1"/>
    <col min="9220" max="9220" width="15.7109375" style="2" customWidth="1"/>
    <col min="9221" max="9471" width="9.140625" style="2"/>
    <col min="9472" max="9473" width="15.7109375" style="2" customWidth="1"/>
    <col min="9474" max="9474" width="0" style="2" hidden="1" customWidth="1"/>
    <col min="9475" max="9475" width="45.7109375" style="2" customWidth="1"/>
    <col min="9476" max="9476" width="15.7109375" style="2" customWidth="1"/>
    <col min="9477" max="9727" width="9.140625" style="2"/>
    <col min="9728" max="9729" width="15.7109375" style="2" customWidth="1"/>
    <col min="9730" max="9730" width="0" style="2" hidden="1" customWidth="1"/>
    <col min="9731" max="9731" width="45.7109375" style="2" customWidth="1"/>
    <col min="9732" max="9732" width="15.7109375" style="2" customWidth="1"/>
    <col min="9733" max="9983" width="9.140625" style="2"/>
    <col min="9984" max="9985" width="15.7109375" style="2" customWidth="1"/>
    <col min="9986" max="9986" width="0" style="2" hidden="1" customWidth="1"/>
    <col min="9987" max="9987" width="45.7109375" style="2" customWidth="1"/>
    <col min="9988" max="9988" width="15.7109375" style="2" customWidth="1"/>
    <col min="9989" max="10239" width="9.140625" style="2"/>
    <col min="10240" max="10241" width="15.7109375" style="2" customWidth="1"/>
    <col min="10242" max="10242" width="0" style="2" hidden="1" customWidth="1"/>
    <col min="10243" max="10243" width="45.7109375" style="2" customWidth="1"/>
    <col min="10244" max="10244" width="15.7109375" style="2" customWidth="1"/>
    <col min="10245" max="10495" width="9.140625" style="2"/>
    <col min="10496" max="10497" width="15.7109375" style="2" customWidth="1"/>
    <col min="10498" max="10498" width="0" style="2" hidden="1" customWidth="1"/>
    <col min="10499" max="10499" width="45.7109375" style="2" customWidth="1"/>
    <col min="10500" max="10500" width="15.7109375" style="2" customWidth="1"/>
    <col min="10501" max="10751" width="9.140625" style="2"/>
    <col min="10752" max="10753" width="15.7109375" style="2" customWidth="1"/>
    <col min="10754" max="10754" width="0" style="2" hidden="1" customWidth="1"/>
    <col min="10755" max="10755" width="45.7109375" style="2" customWidth="1"/>
    <col min="10756" max="10756" width="15.7109375" style="2" customWidth="1"/>
    <col min="10757" max="11007" width="9.140625" style="2"/>
    <col min="11008" max="11009" width="15.7109375" style="2" customWidth="1"/>
    <col min="11010" max="11010" width="0" style="2" hidden="1" customWidth="1"/>
    <col min="11011" max="11011" width="45.7109375" style="2" customWidth="1"/>
    <col min="11012" max="11012" width="15.7109375" style="2" customWidth="1"/>
    <col min="11013" max="11263" width="9.140625" style="2"/>
    <col min="11264" max="11265" width="15.7109375" style="2" customWidth="1"/>
    <col min="11266" max="11266" width="0" style="2" hidden="1" customWidth="1"/>
    <col min="11267" max="11267" width="45.7109375" style="2" customWidth="1"/>
    <col min="11268" max="11268" width="15.7109375" style="2" customWidth="1"/>
    <col min="11269" max="11519" width="9.140625" style="2"/>
    <col min="11520" max="11521" width="15.7109375" style="2" customWidth="1"/>
    <col min="11522" max="11522" width="0" style="2" hidden="1" customWidth="1"/>
    <col min="11523" max="11523" width="45.7109375" style="2" customWidth="1"/>
    <col min="11524" max="11524" width="15.7109375" style="2" customWidth="1"/>
    <col min="11525" max="11775" width="9.140625" style="2"/>
    <col min="11776" max="11777" width="15.7109375" style="2" customWidth="1"/>
    <col min="11778" max="11778" width="0" style="2" hidden="1" customWidth="1"/>
    <col min="11779" max="11779" width="45.7109375" style="2" customWidth="1"/>
    <col min="11780" max="11780" width="15.7109375" style="2" customWidth="1"/>
    <col min="11781" max="12031" width="9.140625" style="2"/>
    <col min="12032" max="12033" width="15.7109375" style="2" customWidth="1"/>
    <col min="12034" max="12034" width="0" style="2" hidden="1" customWidth="1"/>
    <col min="12035" max="12035" width="45.7109375" style="2" customWidth="1"/>
    <col min="12036" max="12036" width="15.7109375" style="2" customWidth="1"/>
    <col min="12037" max="12287" width="9.140625" style="2"/>
    <col min="12288" max="12289" width="15.7109375" style="2" customWidth="1"/>
    <col min="12290" max="12290" width="0" style="2" hidden="1" customWidth="1"/>
    <col min="12291" max="12291" width="45.7109375" style="2" customWidth="1"/>
    <col min="12292" max="12292" width="15.7109375" style="2" customWidth="1"/>
    <col min="12293" max="12543" width="9.140625" style="2"/>
    <col min="12544" max="12545" width="15.7109375" style="2" customWidth="1"/>
    <col min="12546" max="12546" width="0" style="2" hidden="1" customWidth="1"/>
    <col min="12547" max="12547" width="45.7109375" style="2" customWidth="1"/>
    <col min="12548" max="12548" width="15.7109375" style="2" customWidth="1"/>
    <col min="12549" max="12799" width="9.140625" style="2"/>
    <col min="12800" max="12801" width="15.7109375" style="2" customWidth="1"/>
    <col min="12802" max="12802" width="0" style="2" hidden="1" customWidth="1"/>
    <col min="12803" max="12803" width="45.7109375" style="2" customWidth="1"/>
    <col min="12804" max="12804" width="15.7109375" style="2" customWidth="1"/>
    <col min="12805" max="13055" width="9.140625" style="2"/>
    <col min="13056" max="13057" width="15.7109375" style="2" customWidth="1"/>
    <col min="13058" max="13058" width="0" style="2" hidden="1" customWidth="1"/>
    <col min="13059" max="13059" width="45.7109375" style="2" customWidth="1"/>
    <col min="13060" max="13060" width="15.7109375" style="2" customWidth="1"/>
    <col min="13061" max="13311" width="9.140625" style="2"/>
    <col min="13312" max="13313" width="15.7109375" style="2" customWidth="1"/>
    <col min="13314" max="13314" width="0" style="2" hidden="1" customWidth="1"/>
    <col min="13315" max="13315" width="45.7109375" style="2" customWidth="1"/>
    <col min="13316" max="13316" width="15.7109375" style="2" customWidth="1"/>
    <col min="13317" max="13567" width="9.140625" style="2"/>
    <col min="13568" max="13569" width="15.7109375" style="2" customWidth="1"/>
    <col min="13570" max="13570" width="0" style="2" hidden="1" customWidth="1"/>
    <col min="13571" max="13571" width="45.7109375" style="2" customWidth="1"/>
    <col min="13572" max="13572" width="15.7109375" style="2" customWidth="1"/>
    <col min="13573" max="13823" width="9.140625" style="2"/>
    <col min="13824" max="13825" width="15.7109375" style="2" customWidth="1"/>
    <col min="13826" max="13826" width="0" style="2" hidden="1" customWidth="1"/>
    <col min="13827" max="13827" width="45.7109375" style="2" customWidth="1"/>
    <col min="13828" max="13828" width="15.7109375" style="2" customWidth="1"/>
    <col min="13829" max="14079" width="9.140625" style="2"/>
    <col min="14080" max="14081" width="15.7109375" style="2" customWidth="1"/>
    <col min="14082" max="14082" width="0" style="2" hidden="1" customWidth="1"/>
    <col min="14083" max="14083" width="45.7109375" style="2" customWidth="1"/>
    <col min="14084" max="14084" width="15.7109375" style="2" customWidth="1"/>
    <col min="14085" max="14335" width="9.140625" style="2"/>
    <col min="14336" max="14337" width="15.7109375" style="2" customWidth="1"/>
    <col min="14338" max="14338" width="0" style="2" hidden="1" customWidth="1"/>
    <col min="14339" max="14339" width="45.7109375" style="2" customWidth="1"/>
    <col min="14340" max="14340" width="15.7109375" style="2" customWidth="1"/>
    <col min="14341" max="14591" width="9.140625" style="2"/>
    <col min="14592" max="14593" width="15.7109375" style="2" customWidth="1"/>
    <col min="14594" max="14594" width="0" style="2" hidden="1" customWidth="1"/>
    <col min="14595" max="14595" width="45.7109375" style="2" customWidth="1"/>
    <col min="14596" max="14596" width="15.7109375" style="2" customWidth="1"/>
    <col min="14597" max="14847" width="9.140625" style="2"/>
    <col min="14848" max="14849" width="15.7109375" style="2" customWidth="1"/>
    <col min="14850" max="14850" width="0" style="2" hidden="1" customWidth="1"/>
    <col min="14851" max="14851" width="45.7109375" style="2" customWidth="1"/>
    <col min="14852" max="14852" width="15.7109375" style="2" customWidth="1"/>
    <col min="14853" max="15103" width="9.140625" style="2"/>
    <col min="15104" max="15105" width="15.7109375" style="2" customWidth="1"/>
    <col min="15106" max="15106" width="0" style="2" hidden="1" customWidth="1"/>
    <col min="15107" max="15107" width="45.7109375" style="2" customWidth="1"/>
    <col min="15108" max="15108" width="15.7109375" style="2" customWidth="1"/>
    <col min="15109" max="15359" width="9.140625" style="2"/>
    <col min="15360" max="15361" width="15.7109375" style="2" customWidth="1"/>
    <col min="15362" max="15362" width="0" style="2" hidden="1" customWidth="1"/>
    <col min="15363" max="15363" width="45.7109375" style="2" customWidth="1"/>
    <col min="15364" max="15364" width="15.7109375" style="2" customWidth="1"/>
    <col min="15365" max="15615" width="9.140625" style="2"/>
    <col min="15616" max="15617" width="15.7109375" style="2" customWidth="1"/>
    <col min="15618" max="15618" width="0" style="2" hidden="1" customWidth="1"/>
    <col min="15619" max="15619" width="45.7109375" style="2" customWidth="1"/>
    <col min="15620" max="15620" width="15.7109375" style="2" customWidth="1"/>
    <col min="15621" max="15871" width="9.140625" style="2"/>
    <col min="15872" max="15873" width="15.7109375" style="2" customWidth="1"/>
    <col min="15874" max="15874" width="0" style="2" hidden="1" customWidth="1"/>
    <col min="15875" max="15875" width="45.7109375" style="2" customWidth="1"/>
    <col min="15876" max="15876" width="15.7109375" style="2" customWidth="1"/>
    <col min="15877" max="16127" width="9.140625" style="2"/>
    <col min="16128" max="16129" width="15.7109375" style="2" customWidth="1"/>
    <col min="16130" max="16130" width="0" style="2" hidden="1" customWidth="1"/>
    <col min="16131" max="16131" width="45.7109375" style="2" customWidth="1"/>
    <col min="16132" max="16132" width="15.7109375" style="2" customWidth="1"/>
    <col min="16133" max="16384" width="9.140625" style="2"/>
  </cols>
  <sheetData>
    <row r="1" spans="1:11" ht="21" customHeight="1" x14ac:dyDescent="0.25">
      <c r="A1" s="63" t="s">
        <v>451</v>
      </c>
      <c r="B1" s="64"/>
      <c r="C1" s="64"/>
      <c r="D1" s="256" t="s">
        <v>396</v>
      </c>
    </row>
    <row r="2" spans="1:11" ht="21" customHeight="1" x14ac:dyDescent="0.25">
      <c r="A2" s="257" t="s">
        <v>386</v>
      </c>
      <c r="B2" s="258"/>
      <c r="C2" s="259" t="s">
        <v>387</v>
      </c>
      <c r="D2" s="258"/>
    </row>
    <row r="3" spans="1:11" ht="21" customHeight="1" x14ac:dyDescent="0.25">
      <c r="A3" s="257" t="s">
        <v>92</v>
      </c>
      <c r="B3" s="258">
        <v>0.40694444444444444</v>
      </c>
      <c r="C3" s="259" t="s">
        <v>86</v>
      </c>
      <c r="D3" s="258"/>
    </row>
    <row r="4" spans="1:11" ht="21" customHeight="1" x14ac:dyDescent="0.25">
      <c r="A4" s="257" t="s">
        <v>393</v>
      </c>
      <c r="B4" s="258"/>
      <c r="C4" s="259" t="s">
        <v>394</v>
      </c>
      <c r="D4" s="258"/>
    </row>
    <row r="5" spans="1:11" ht="21" customHeight="1" x14ac:dyDescent="0.25">
      <c r="A5" s="257" t="s">
        <v>93</v>
      </c>
      <c r="B5" s="258">
        <v>0.4555555555555556</v>
      </c>
      <c r="C5" s="259" t="s">
        <v>87</v>
      </c>
      <c r="D5" s="258"/>
    </row>
    <row r="6" spans="1:11" ht="21" customHeight="1" x14ac:dyDescent="0.25">
      <c r="A6" s="257" t="s">
        <v>393</v>
      </c>
      <c r="B6" s="258"/>
      <c r="C6" s="259" t="s">
        <v>395</v>
      </c>
      <c r="D6" s="258"/>
    </row>
    <row r="7" spans="1:11" ht="46.5" x14ac:dyDescent="0.25">
      <c r="A7" s="728" t="s">
        <v>807</v>
      </c>
      <c r="B7" s="728"/>
      <c r="C7" s="728"/>
      <c r="D7" s="728"/>
    </row>
    <row r="8" spans="1:11" s="24" customFormat="1" ht="21" customHeight="1" x14ac:dyDescent="0.25">
      <c r="A8" s="260" t="s">
        <v>402</v>
      </c>
      <c r="C8" s="31"/>
      <c r="D8" s="31"/>
    </row>
    <row r="9" spans="1:11" ht="21" customHeight="1" x14ac:dyDescent="0.25">
      <c r="A9" s="65" t="s">
        <v>0</v>
      </c>
      <c r="B9" s="729" t="s">
        <v>88</v>
      </c>
      <c r="C9" s="730"/>
      <c r="D9" s="278" t="s">
        <v>406</v>
      </c>
      <c r="J9" s="25"/>
      <c r="K9" s="26"/>
    </row>
    <row r="10" spans="1:11" ht="30" customHeight="1" x14ac:dyDescent="0.25">
      <c r="A10" s="29">
        <v>1</v>
      </c>
      <c r="B10" s="726"/>
      <c r="C10" s="727"/>
      <c r="D10" s="29">
        <v>240</v>
      </c>
    </row>
    <row r="11" spans="1:11" ht="30" customHeight="1" x14ac:dyDescent="0.25">
      <c r="A11" s="29">
        <v>2</v>
      </c>
      <c r="B11" s="726"/>
      <c r="C11" s="727"/>
      <c r="D11" s="29">
        <v>240</v>
      </c>
    </row>
    <row r="12" spans="1:11" ht="30" customHeight="1" x14ac:dyDescent="0.25">
      <c r="A12" s="29">
        <v>3</v>
      </c>
      <c r="B12" s="726"/>
      <c r="C12" s="727"/>
      <c r="D12" s="29">
        <v>0</v>
      </c>
    </row>
    <row r="13" spans="1:11" ht="30" customHeight="1" x14ac:dyDescent="0.25">
      <c r="A13" s="29">
        <v>4</v>
      </c>
      <c r="B13" s="726"/>
      <c r="C13" s="727"/>
      <c r="D13" s="29">
        <v>360</v>
      </c>
    </row>
    <row r="14" spans="1:11" ht="30" customHeight="1" x14ac:dyDescent="0.25">
      <c r="A14" s="29">
        <v>5</v>
      </c>
      <c r="B14" s="726"/>
      <c r="C14" s="727"/>
      <c r="D14" s="29">
        <v>240</v>
      </c>
    </row>
    <row r="15" spans="1:11" ht="30" customHeight="1" x14ac:dyDescent="0.25">
      <c r="A15" s="29">
        <v>6</v>
      </c>
      <c r="B15" s="726"/>
      <c r="C15" s="727"/>
      <c r="D15" s="29">
        <v>1080</v>
      </c>
    </row>
    <row r="16" spans="1:11" ht="30" customHeight="1" x14ac:dyDescent="0.25">
      <c r="A16" s="29">
        <v>7</v>
      </c>
      <c r="B16" s="726"/>
      <c r="C16" s="727"/>
      <c r="D16" s="29">
        <v>480</v>
      </c>
    </row>
    <row r="17" spans="1:4" ht="30" customHeight="1" x14ac:dyDescent="0.25">
      <c r="A17" s="29">
        <v>8</v>
      </c>
      <c r="B17" s="726"/>
      <c r="C17" s="727"/>
      <c r="D17" s="29">
        <v>1440</v>
      </c>
    </row>
    <row r="18" spans="1:4" ht="30" customHeight="1" x14ac:dyDescent="0.25">
      <c r="A18" s="29">
        <v>9</v>
      </c>
      <c r="B18" s="726"/>
      <c r="C18" s="727"/>
      <c r="D18" s="29">
        <v>1320</v>
      </c>
    </row>
    <row r="19" spans="1:4" ht="30" customHeight="1" x14ac:dyDescent="0.25">
      <c r="A19" s="29">
        <v>10</v>
      </c>
      <c r="B19" s="726"/>
      <c r="C19" s="727"/>
      <c r="D19" s="29">
        <v>240</v>
      </c>
    </row>
    <row r="20" spans="1:4" ht="30" customHeight="1" x14ac:dyDescent="0.25">
      <c r="A20" s="29">
        <v>11</v>
      </c>
      <c r="B20" s="726"/>
      <c r="C20" s="727"/>
      <c r="D20" s="29">
        <v>480</v>
      </c>
    </row>
    <row r="21" spans="1:4" ht="30" customHeight="1" x14ac:dyDescent="0.25">
      <c r="A21" s="29">
        <v>12</v>
      </c>
      <c r="B21" s="726"/>
      <c r="C21" s="727"/>
      <c r="D21" s="29">
        <v>360</v>
      </c>
    </row>
    <row r="22" spans="1:4" ht="30" customHeight="1" x14ac:dyDescent="0.25">
      <c r="A22" s="29">
        <v>14</v>
      </c>
      <c r="B22" s="726"/>
      <c r="C22" s="727"/>
      <c r="D22" s="29">
        <v>720</v>
      </c>
    </row>
    <row r="23" spans="1:4" ht="30" customHeight="1" x14ac:dyDescent="0.25">
      <c r="A23" s="29">
        <v>16</v>
      </c>
      <c r="B23" s="726"/>
      <c r="C23" s="727"/>
      <c r="D23" s="29">
        <v>480</v>
      </c>
    </row>
    <row r="24" spans="1:4" ht="30" customHeight="1" x14ac:dyDescent="0.25">
      <c r="A24" s="29">
        <v>17</v>
      </c>
      <c r="B24" s="726"/>
      <c r="C24" s="727"/>
      <c r="D24" s="29">
        <v>600</v>
      </c>
    </row>
    <row r="25" spans="1:4" ht="30" customHeight="1" x14ac:dyDescent="0.25">
      <c r="A25" s="29">
        <v>18</v>
      </c>
      <c r="B25" s="726"/>
      <c r="C25" s="727"/>
      <c r="D25" s="29">
        <v>120</v>
      </c>
    </row>
    <row r="26" spans="1:4" ht="30" customHeight="1" x14ac:dyDescent="0.25">
      <c r="A26" s="29">
        <v>20</v>
      </c>
      <c r="B26" s="726"/>
      <c r="C26" s="727"/>
      <c r="D26" s="29">
        <v>240</v>
      </c>
    </row>
    <row r="27" spans="1:4" ht="30" customHeight="1" x14ac:dyDescent="0.25">
      <c r="A27" s="29">
        <v>21</v>
      </c>
      <c r="B27" s="726"/>
      <c r="C27" s="727"/>
      <c r="D27" s="29">
        <v>240</v>
      </c>
    </row>
    <row r="28" spans="1:4" ht="30" customHeight="1" x14ac:dyDescent="0.25">
      <c r="A28" s="29">
        <v>22</v>
      </c>
      <c r="B28" s="726"/>
      <c r="C28" s="727"/>
      <c r="D28" s="29">
        <v>840</v>
      </c>
    </row>
    <row r="29" spans="1:4" ht="30" customHeight="1" x14ac:dyDescent="0.25">
      <c r="A29" s="29">
        <v>23</v>
      </c>
      <c r="B29" s="726"/>
      <c r="C29" s="727"/>
      <c r="D29" s="29">
        <v>480</v>
      </c>
    </row>
    <row r="30" spans="1:4" ht="30" customHeight="1" x14ac:dyDescent="0.25">
      <c r="A30" s="29">
        <v>24</v>
      </c>
      <c r="B30" s="726"/>
      <c r="C30" s="727"/>
      <c r="D30" s="29">
        <v>360</v>
      </c>
    </row>
    <row r="31" spans="1:4" ht="30" customHeight="1" x14ac:dyDescent="0.25">
      <c r="A31" s="29">
        <v>25</v>
      </c>
      <c r="B31" s="726"/>
      <c r="C31" s="727"/>
      <c r="D31" s="29">
        <v>960</v>
      </c>
    </row>
    <row r="32" spans="1:4" ht="30" customHeight="1" x14ac:dyDescent="0.25">
      <c r="A32" s="29">
        <v>26</v>
      </c>
      <c r="B32" s="726"/>
      <c r="C32" s="727"/>
      <c r="D32" s="29">
        <v>720</v>
      </c>
    </row>
    <row r="33" spans="1:4" ht="30" customHeight="1" x14ac:dyDescent="0.25">
      <c r="A33" s="29">
        <v>29</v>
      </c>
      <c r="B33" s="726"/>
      <c r="C33" s="727"/>
      <c r="D33" s="509">
        <v>240</v>
      </c>
    </row>
    <row r="34" spans="1:4" ht="30" customHeight="1" x14ac:dyDescent="0.25">
      <c r="A34" s="29">
        <v>30</v>
      </c>
      <c r="B34" s="726"/>
      <c r="C34" s="727"/>
      <c r="D34" s="29">
        <v>1200</v>
      </c>
    </row>
    <row r="35" spans="1:4" ht="30" customHeight="1" x14ac:dyDescent="0.25">
      <c r="A35" s="29">
        <v>31</v>
      </c>
      <c r="B35" s="726"/>
      <c r="C35" s="727"/>
      <c r="D35" s="29">
        <v>960</v>
      </c>
    </row>
    <row r="36" spans="1:4" ht="30" customHeight="1" x14ac:dyDescent="0.25">
      <c r="A36" s="29">
        <v>32</v>
      </c>
      <c r="B36" s="726"/>
      <c r="C36" s="727"/>
      <c r="D36" s="29">
        <v>720</v>
      </c>
    </row>
    <row r="37" spans="1:4" ht="30" customHeight="1" x14ac:dyDescent="0.25">
      <c r="A37" s="29">
        <v>33</v>
      </c>
      <c r="B37" s="726"/>
      <c r="C37" s="727"/>
      <c r="D37" s="29">
        <v>360</v>
      </c>
    </row>
    <row r="38" spans="1:4" ht="30" customHeight="1" x14ac:dyDescent="0.25">
      <c r="A38" s="29">
        <v>34</v>
      </c>
      <c r="B38" s="726"/>
      <c r="C38" s="727"/>
      <c r="D38" s="29">
        <v>840</v>
      </c>
    </row>
    <row r="39" spans="1:4" ht="30" customHeight="1" x14ac:dyDescent="0.25">
      <c r="A39" s="29">
        <v>35</v>
      </c>
      <c r="B39" s="726"/>
      <c r="C39" s="727"/>
      <c r="D39" s="29">
        <v>720</v>
      </c>
    </row>
    <row r="40" spans="1:4" ht="30" customHeight="1" x14ac:dyDescent="0.25">
      <c r="A40" s="29">
        <v>36</v>
      </c>
      <c r="B40" s="726"/>
      <c r="C40" s="727"/>
      <c r="D40" s="29">
        <v>600</v>
      </c>
    </row>
    <row r="41" spans="1:4" ht="30" customHeight="1" x14ac:dyDescent="0.25">
      <c r="A41" s="29">
        <v>37</v>
      </c>
      <c r="B41" s="726"/>
      <c r="C41" s="727"/>
      <c r="D41" s="29">
        <v>600</v>
      </c>
    </row>
    <row r="42" spans="1:4" ht="30" customHeight="1" x14ac:dyDescent="0.25">
      <c r="A42" s="29">
        <v>38</v>
      </c>
      <c r="B42" s="726"/>
      <c r="C42" s="727"/>
      <c r="D42" s="29">
        <v>480</v>
      </c>
    </row>
    <row r="43" spans="1:4" ht="30" customHeight="1" x14ac:dyDescent="0.25">
      <c r="A43" s="29">
        <v>39</v>
      </c>
      <c r="B43" s="726"/>
      <c r="C43" s="727"/>
      <c r="D43" s="29">
        <v>960</v>
      </c>
    </row>
    <row r="44" spans="1:4" ht="30" customHeight="1" x14ac:dyDescent="0.25">
      <c r="A44" s="29">
        <v>40</v>
      </c>
      <c r="B44" s="726"/>
      <c r="C44" s="727"/>
      <c r="D44" s="29">
        <v>840</v>
      </c>
    </row>
    <row r="45" spans="1:4" ht="30" customHeight="1" x14ac:dyDescent="0.25">
      <c r="A45" s="29">
        <v>41</v>
      </c>
      <c r="B45" s="726"/>
      <c r="C45" s="727"/>
      <c r="D45" s="29">
        <v>960</v>
      </c>
    </row>
    <row r="46" spans="1:4" ht="30" customHeight="1" x14ac:dyDescent="0.25">
      <c r="A46" s="29">
        <v>42</v>
      </c>
      <c r="B46" s="726"/>
      <c r="C46" s="727"/>
      <c r="D46" s="29">
        <v>240</v>
      </c>
    </row>
    <row r="47" spans="1:4" ht="30" customHeight="1" x14ac:dyDescent="0.25">
      <c r="A47" s="29">
        <v>43</v>
      </c>
      <c r="B47" s="726"/>
      <c r="C47" s="727"/>
      <c r="D47" s="29">
        <v>480</v>
      </c>
    </row>
    <row r="48" spans="1:4" ht="30" customHeight="1" x14ac:dyDescent="0.25">
      <c r="A48" s="29">
        <v>44</v>
      </c>
      <c r="B48" s="726"/>
      <c r="C48" s="727"/>
      <c r="D48" s="29">
        <v>600</v>
      </c>
    </row>
    <row r="49" spans="1:4" ht="30" customHeight="1" x14ac:dyDescent="0.25">
      <c r="A49" s="29">
        <v>45</v>
      </c>
      <c r="B49" s="726"/>
      <c r="C49" s="727"/>
      <c r="D49" s="29">
        <v>840</v>
      </c>
    </row>
    <row r="50" spans="1:4" ht="30" customHeight="1" x14ac:dyDescent="0.25">
      <c r="A50" s="29">
        <v>47</v>
      </c>
      <c r="B50" s="726"/>
      <c r="C50" s="727"/>
      <c r="D50" s="29">
        <v>0</v>
      </c>
    </row>
    <row r="51" spans="1:4" ht="30" customHeight="1" x14ac:dyDescent="0.25">
      <c r="A51" s="29">
        <v>13</v>
      </c>
      <c r="B51" s="726"/>
      <c r="C51" s="727"/>
      <c r="D51" s="29">
        <v>600</v>
      </c>
    </row>
    <row r="52" spans="1:4" ht="30" customHeight="1" x14ac:dyDescent="0.25">
      <c r="A52" s="29"/>
      <c r="B52" s="726"/>
      <c r="C52" s="727"/>
      <c r="D52" s="29"/>
    </row>
    <row r="53" spans="1:4" ht="30" customHeight="1" x14ac:dyDescent="0.25">
      <c r="A53" s="29"/>
      <c r="B53" s="726"/>
      <c r="C53" s="727"/>
      <c r="D53" s="29"/>
    </row>
    <row r="54" spans="1:4" ht="30" customHeight="1" x14ac:dyDescent="0.25">
      <c r="A54" s="29"/>
      <c r="B54" s="726"/>
      <c r="C54" s="727"/>
      <c r="D54" s="29"/>
    </row>
    <row r="55" spans="1:4" ht="30" customHeight="1" x14ac:dyDescent="0.25">
      <c r="A55" s="29"/>
      <c r="B55" s="726"/>
      <c r="C55" s="727"/>
      <c r="D55" s="29"/>
    </row>
    <row r="56" spans="1:4" ht="30" customHeight="1" x14ac:dyDescent="0.25">
      <c r="A56" s="29"/>
      <c r="B56" s="726"/>
      <c r="C56" s="727"/>
      <c r="D56" s="29"/>
    </row>
    <row r="57" spans="1:4" ht="30" customHeight="1" x14ac:dyDescent="0.25">
      <c r="A57" s="29"/>
      <c r="B57" s="726"/>
      <c r="C57" s="727"/>
      <c r="D57" s="29"/>
    </row>
    <row r="58" spans="1:4" ht="30" customHeight="1" x14ac:dyDescent="0.25">
      <c r="A58" s="29"/>
      <c r="B58" s="726"/>
      <c r="C58" s="727"/>
      <c r="D58" s="29"/>
    </row>
    <row r="59" spans="1:4" ht="30" customHeight="1" x14ac:dyDescent="0.25">
      <c r="A59" s="29"/>
      <c r="B59" s="726"/>
      <c r="C59" s="727"/>
      <c r="D59" s="29"/>
    </row>
    <row r="60" spans="1:4" ht="30" customHeight="1" x14ac:dyDescent="0.25">
      <c r="A60" s="29"/>
      <c r="B60" s="726"/>
      <c r="C60" s="727"/>
      <c r="D60" s="29"/>
    </row>
    <row r="61" spans="1:4" ht="30" customHeight="1" x14ac:dyDescent="0.25">
      <c r="A61" s="29"/>
      <c r="B61" s="726"/>
      <c r="C61" s="727"/>
      <c r="D61" s="29"/>
    </row>
    <row r="62" spans="1:4" ht="30" customHeight="1" x14ac:dyDescent="0.25">
      <c r="A62" s="29"/>
      <c r="B62" s="726"/>
      <c r="C62" s="727"/>
      <c r="D62" s="29"/>
    </row>
    <row r="63" spans="1:4" ht="30" customHeight="1" x14ac:dyDescent="0.25">
      <c r="A63" s="29"/>
      <c r="B63" s="726"/>
      <c r="C63" s="727"/>
      <c r="D63" s="29"/>
    </row>
    <row r="64" spans="1:4" ht="30" customHeight="1" x14ac:dyDescent="0.25">
      <c r="A64" s="29"/>
      <c r="B64" s="726"/>
      <c r="C64" s="727"/>
      <c r="D64" s="29"/>
    </row>
    <row r="65" spans="1:4" ht="30" customHeight="1" x14ac:dyDescent="0.25">
      <c r="A65" s="29"/>
      <c r="B65" s="726"/>
      <c r="C65" s="727"/>
      <c r="D65" s="29"/>
    </row>
    <row r="66" spans="1:4" ht="30" customHeight="1" x14ac:dyDescent="0.25">
      <c r="A66" s="29"/>
      <c r="B66" s="726"/>
      <c r="C66" s="727"/>
      <c r="D66" s="29"/>
    </row>
  </sheetData>
  <sheetProtection sheet="1" objects="1" scenarios="1"/>
  <mergeCells count="59">
    <mergeCell ref="B62:C62"/>
    <mergeCell ref="B63:C63"/>
    <mergeCell ref="B64:C64"/>
    <mergeCell ref="B65:C65"/>
    <mergeCell ref="B66:C66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7:D7"/>
    <mergeCell ref="B9:C9"/>
    <mergeCell ref="B10:C10"/>
    <mergeCell ref="B11:C11"/>
    <mergeCell ref="B12:C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00B0F0"/>
  </sheetPr>
  <dimension ref="A1:K66"/>
  <sheetViews>
    <sheetView view="pageBreakPreview" topLeftCell="A41" zoomScale="85" zoomScaleSheetLayoutView="85" workbookViewId="0">
      <selection activeCell="B43" sqref="B43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772</v>
      </c>
      <c r="C2" s="273" t="s">
        <v>387</v>
      </c>
      <c r="D2" s="272" t="s">
        <v>561</v>
      </c>
    </row>
    <row r="3" spans="1:11" s="261" customFormat="1" ht="21" customHeight="1" x14ac:dyDescent="0.25">
      <c r="A3" s="274" t="s">
        <v>92</v>
      </c>
      <c r="B3" s="272">
        <v>0.40694444444444444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0.4555555555555556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71</v>
      </c>
      <c r="B7" s="725"/>
      <c r="C7" s="725"/>
      <c r="D7" s="725"/>
    </row>
    <row r="8" spans="1:11" s="268" customFormat="1" ht="21" customHeight="1" x14ac:dyDescent="0.25">
      <c r="A8" s="271" t="s">
        <v>405</v>
      </c>
      <c r="B8" s="270" t="s">
        <v>185</v>
      </c>
      <c r="C8" s="270" t="s">
        <v>185</v>
      </c>
      <c r="D8" s="269"/>
    </row>
    <row r="9" spans="1:11" ht="21" x14ac:dyDescent="0.25">
      <c r="A9" s="69" t="s">
        <v>0</v>
      </c>
      <c r="B9" s="70" t="s">
        <v>186</v>
      </c>
      <c r="C9" s="70" t="s">
        <v>187</v>
      </c>
      <c r="D9" s="70" t="s">
        <v>88</v>
      </c>
      <c r="J9" s="25"/>
      <c r="K9" s="26"/>
    </row>
    <row r="10" spans="1:11" ht="30" customHeight="1" x14ac:dyDescent="0.25">
      <c r="A10" s="239">
        <f>IF(ISBLANK(стартоваяВедомость!B10),"",стартоваяВедомость!B10)</f>
        <v>1</v>
      </c>
      <c r="B10" s="75">
        <f>IF(A10="","",стартоваяВедомость!H10)</f>
        <v>0.41736111111111113</v>
      </c>
      <c r="C10" s="76">
        <v>0.41736111111111113</v>
      </c>
      <c r="D10" s="71"/>
    </row>
    <row r="11" spans="1:11" ht="30" customHeight="1" x14ac:dyDescent="0.25">
      <c r="A11" s="239">
        <f>IF(ISBLANK(стартоваяВедомость!B11),"",стартоваяВедомость!B11)</f>
        <v>2</v>
      </c>
      <c r="B11" s="75">
        <f>IF(A11="","",стартоваяВедомость!H11)</f>
        <v>0.41805555555555557</v>
      </c>
      <c r="C11" s="76">
        <v>0.41805555555555557</v>
      </c>
      <c r="D11" s="71"/>
    </row>
    <row r="12" spans="1:11" ht="30" customHeight="1" x14ac:dyDescent="0.25">
      <c r="A12" s="239">
        <f>IF(ISBLANK(стартоваяВедомость!B12),"",стартоваяВедомость!B12)</f>
        <v>3</v>
      </c>
      <c r="B12" s="75">
        <f>IF(A12="","",стартоваяВедомость!H12)</f>
        <v>0.41875000000000001</v>
      </c>
      <c r="C12" s="76">
        <v>0.41875000000000001</v>
      </c>
      <c r="D12" s="71"/>
    </row>
    <row r="13" spans="1:11" ht="30" customHeight="1" x14ac:dyDescent="0.25">
      <c r="A13" s="239">
        <f>IF(ISBLANK(стартоваяВедомость!B13),"",стартоваяВедомость!B13)</f>
        <v>4</v>
      </c>
      <c r="B13" s="75">
        <f>IF(A13="","",стартоваяВедомость!H13)</f>
        <v>0.41944444444444445</v>
      </c>
      <c r="C13" s="76">
        <v>0.41944444444444445</v>
      </c>
      <c r="D13" s="71"/>
    </row>
    <row r="14" spans="1:11" ht="30" customHeight="1" x14ac:dyDescent="0.25">
      <c r="A14" s="239">
        <f>IF(ISBLANK(стартоваяВедомость!B14),"",стартоваяВедомость!B14)</f>
        <v>5</v>
      </c>
      <c r="B14" s="75">
        <f>IF(A14="","",стартоваяВедомость!H14)</f>
        <v>0.4201388888888889</v>
      </c>
      <c r="C14" s="76">
        <v>0.4201388888888889</v>
      </c>
      <c r="D14" s="71"/>
    </row>
    <row r="15" spans="1:11" ht="30" customHeight="1" x14ac:dyDescent="0.25">
      <c r="A15" s="239">
        <f>IF(ISBLANK(стартоваяВедомость!B15),"",стартоваяВедомость!B15)</f>
        <v>6</v>
      </c>
      <c r="B15" s="75">
        <f>IF(A15="","",стартоваяВедомость!H15)</f>
        <v>0.42083333333333334</v>
      </c>
      <c r="C15" s="76">
        <v>0.42083333333333334</v>
      </c>
      <c r="D15" s="71"/>
    </row>
    <row r="16" spans="1:11" ht="30" customHeight="1" x14ac:dyDescent="0.25">
      <c r="A16" s="239">
        <f>IF(ISBLANK(стартоваяВедомость!B16),"",стартоваяВедомость!B16)</f>
        <v>7</v>
      </c>
      <c r="B16" s="75">
        <f>IF(A16="","",стартоваяВедомость!H16)</f>
        <v>0.42152777777777778</v>
      </c>
      <c r="C16" s="76">
        <v>0.42152777777777778</v>
      </c>
      <c r="D16" s="71"/>
    </row>
    <row r="17" spans="1:4" ht="30" customHeight="1" x14ac:dyDescent="0.25">
      <c r="A17" s="239">
        <f>IF(ISBLANK(стартоваяВедомость!B17),"",стартоваяВедомость!B17)</f>
        <v>8</v>
      </c>
      <c r="B17" s="75">
        <f>IF(A17="","",стартоваяВедомость!H17)</f>
        <v>0.42222222222222222</v>
      </c>
      <c r="C17" s="76">
        <v>0.42222222222222222</v>
      </c>
      <c r="D17" s="71"/>
    </row>
    <row r="18" spans="1:4" ht="30" customHeight="1" x14ac:dyDescent="0.25">
      <c r="A18" s="239">
        <f>IF(ISBLANK(стартоваяВедомость!B18),"",стартоваяВедомость!B18)</f>
        <v>9</v>
      </c>
      <c r="B18" s="75">
        <f>IF(A18="","",стартоваяВедомость!H18)</f>
        <v>0.42291666666666666</v>
      </c>
      <c r="C18" s="76">
        <v>0.42291666666666666</v>
      </c>
      <c r="D18" s="71"/>
    </row>
    <row r="19" spans="1:4" ht="30" customHeight="1" x14ac:dyDescent="0.25">
      <c r="A19" s="239">
        <f>IF(ISBLANK(стартоваяВедомость!B19),"",стартоваяВедомость!B19)</f>
        <v>10</v>
      </c>
      <c r="B19" s="75">
        <f>IF(A19="","",стартоваяВедомость!H19)</f>
        <v>0.4236111111111111</v>
      </c>
      <c r="C19" s="76">
        <v>0.4236111111111111</v>
      </c>
      <c r="D19" s="71"/>
    </row>
    <row r="20" spans="1:4" ht="30" customHeight="1" x14ac:dyDescent="0.25">
      <c r="A20" s="239">
        <f>IF(ISBLANK(стартоваяВедомость!B20),"",стартоваяВедомость!B20)</f>
        <v>11</v>
      </c>
      <c r="B20" s="75">
        <f>IF(A20="","",стартоваяВедомость!H20)</f>
        <v>0.42430555555555555</v>
      </c>
      <c r="C20" s="76">
        <v>0.42430555555555555</v>
      </c>
      <c r="D20" s="71"/>
    </row>
    <row r="21" spans="1:4" ht="30" customHeight="1" x14ac:dyDescent="0.25">
      <c r="A21" s="239">
        <f>IF(ISBLANK(стартоваяВедомость!B21),"",стартоваяВедомость!B21)</f>
        <v>12</v>
      </c>
      <c r="B21" s="75">
        <f>IF(A21="","",стартоваяВедомость!H21)</f>
        <v>0.42499999999999999</v>
      </c>
      <c r="C21" s="76">
        <v>0.42499999999999999</v>
      </c>
      <c r="D21" s="71"/>
    </row>
    <row r="22" spans="1:4" ht="30" customHeight="1" x14ac:dyDescent="0.25">
      <c r="A22" s="239">
        <f>IF(ISBLANK(стартоваяВедомость!B22),"",стартоваяВедомость!B22)</f>
        <v>13</v>
      </c>
      <c r="B22" s="75">
        <f>IF(A22="","",стартоваяВедомость!H22)</f>
        <v>0.42569444444444443</v>
      </c>
      <c r="C22" s="76">
        <v>0.42569444444444443</v>
      </c>
      <c r="D22" s="71"/>
    </row>
    <row r="23" spans="1:4" ht="30" customHeight="1" x14ac:dyDescent="0.25">
      <c r="A23" s="239">
        <f>IF(ISBLANK(стартоваяВедомость!B23),"",стартоваяВедомость!B23)</f>
        <v>14</v>
      </c>
      <c r="B23" s="75">
        <f>IF(A23="","",стартоваяВедомость!H23)</f>
        <v>0.42638888888888887</v>
      </c>
      <c r="C23" s="76">
        <v>0.42638888888888887</v>
      </c>
      <c r="D23" s="71"/>
    </row>
    <row r="24" spans="1:4" ht="30" customHeight="1" x14ac:dyDescent="0.25">
      <c r="A24" s="239">
        <f>IF(ISBLANK(стартоваяВедомость!B24),"",стартоваяВедомость!B24)</f>
        <v>16</v>
      </c>
      <c r="B24" s="75">
        <f>IF(A24="","",стартоваяВедомость!H24)</f>
        <v>0.42708333333333331</v>
      </c>
      <c r="C24" s="76">
        <v>0.42708333333333331</v>
      </c>
      <c r="D24" s="71"/>
    </row>
    <row r="25" spans="1:4" ht="30" customHeight="1" x14ac:dyDescent="0.25">
      <c r="A25" s="239">
        <f>IF(ISBLANK(стартоваяВедомость!B25),"",стартоваяВедомость!B25)</f>
        <v>17</v>
      </c>
      <c r="B25" s="75">
        <f>IF(A25="","",стартоваяВедомость!H25)</f>
        <v>0.42777777777777776</v>
      </c>
      <c r="C25" s="76">
        <v>0.42777777777777781</v>
      </c>
      <c r="D25" s="71"/>
    </row>
    <row r="26" spans="1:4" ht="30" customHeight="1" x14ac:dyDescent="0.25">
      <c r="A26" s="239">
        <f>IF(ISBLANK(стартоваяВедомость!B26),"",стартоваяВедомость!B26)</f>
        <v>18</v>
      </c>
      <c r="B26" s="75">
        <f>IF(A26="","",стартоваяВедомость!H26)</f>
        <v>0.4284722222222222</v>
      </c>
      <c r="C26" s="76">
        <v>0.4284722222222222</v>
      </c>
      <c r="D26" s="71"/>
    </row>
    <row r="27" spans="1:4" ht="30" customHeight="1" x14ac:dyDescent="0.25">
      <c r="A27" s="239">
        <f>IF(ISBLANK(стартоваяВедомость!B27),"",стартоваяВедомость!B27)</f>
        <v>20</v>
      </c>
      <c r="B27" s="75">
        <f>IF(A27="","",стартоваяВедомость!H27)</f>
        <v>0.42916666666666664</v>
      </c>
      <c r="C27" s="76">
        <v>0.4284722222222222</v>
      </c>
      <c r="D27" s="71"/>
    </row>
    <row r="28" spans="1:4" ht="30" customHeight="1" x14ac:dyDescent="0.25">
      <c r="A28" s="239">
        <f>IF(ISBLANK(стартоваяВедомость!B28),"",стартоваяВедомость!B28)</f>
        <v>21</v>
      </c>
      <c r="B28" s="75">
        <f>IF(A28="","",стартоваяВедомость!H28)</f>
        <v>0.42986111111111108</v>
      </c>
      <c r="C28" s="76">
        <v>0.42986111111111108</v>
      </c>
      <c r="D28" s="71"/>
    </row>
    <row r="29" spans="1:4" ht="30" customHeight="1" x14ac:dyDescent="0.25">
      <c r="A29" s="239">
        <f>IF(ISBLANK(стартоваяВедомость!B29),"",стартоваяВедомость!B29)</f>
        <v>22</v>
      </c>
      <c r="B29" s="75">
        <f>IF(A29="","",стартоваяВедомость!H29)</f>
        <v>0.43055555555555552</v>
      </c>
      <c r="C29" s="76">
        <v>0.42986111111111108</v>
      </c>
      <c r="D29" s="71"/>
    </row>
    <row r="30" spans="1:4" ht="30" customHeight="1" x14ac:dyDescent="0.25">
      <c r="A30" s="239">
        <f>IF(ISBLANK(стартоваяВедомость!B30),"",стартоваяВедомость!B30)</f>
        <v>23</v>
      </c>
      <c r="B30" s="75">
        <f>IF(A30="","",стартоваяВедомость!H30)</f>
        <v>0.43124999999999997</v>
      </c>
      <c r="C30" s="76">
        <v>0.43124999999999997</v>
      </c>
      <c r="D30" s="71"/>
    </row>
    <row r="31" spans="1:4" ht="30" customHeight="1" x14ac:dyDescent="0.25">
      <c r="A31" s="239">
        <f>IF(ISBLANK(стартоваяВедомость!B31),"",стартоваяВедомость!B31)</f>
        <v>24</v>
      </c>
      <c r="B31" s="75">
        <f>IF(A31="","",стартоваяВедомость!H31)</f>
        <v>0.43194444444444441</v>
      </c>
      <c r="C31" s="76">
        <v>0.43194444444444446</v>
      </c>
      <c r="D31" s="71"/>
    </row>
    <row r="32" spans="1:4" ht="30" customHeight="1" x14ac:dyDescent="0.25">
      <c r="A32" s="239">
        <f>IF(ISBLANK(стартоваяВедомость!B32),"",стартоваяВедомость!B32)</f>
        <v>25</v>
      </c>
      <c r="B32" s="75">
        <f>IF(A32="","",стартоваяВедомость!H32)</f>
        <v>0.43263888888888885</v>
      </c>
      <c r="C32" s="76">
        <v>0.43263888888888885</v>
      </c>
      <c r="D32" s="71"/>
    </row>
    <row r="33" spans="1:4" ht="30" customHeight="1" x14ac:dyDescent="0.25">
      <c r="A33" s="239">
        <f>IF(ISBLANK(стартоваяВедомость!B33),"",стартоваяВедомость!B33)</f>
        <v>26</v>
      </c>
      <c r="B33" s="75">
        <f>IF(A33="","",стартоваяВедомость!H33)</f>
        <v>0.43333333333333329</v>
      </c>
      <c r="C33" s="76">
        <v>0.43333333333333335</v>
      </c>
      <c r="D33" s="71"/>
    </row>
    <row r="34" spans="1:4" ht="30" customHeight="1" x14ac:dyDescent="0.25">
      <c r="A34" s="239">
        <f>IF(ISBLANK(стартоваяВедомость!B34),"",стартоваяВедомость!B34)</f>
        <v>29</v>
      </c>
      <c r="B34" s="75">
        <f>IF(A34="","",стартоваяВедомость!H34)</f>
        <v>0.43402777777777773</v>
      </c>
      <c r="C34" s="76">
        <v>0.43402777777777773</v>
      </c>
      <c r="D34" s="71"/>
    </row>
    <row r="35" spans="1:4" ht="30" customHeight="1" x14ac:dyDescent="0.25">
      <c r="A35" s="239">
        <f>IF(ISBLANK(стартоваяВедомость!B35),"",стартоваяВедомость!B35)</f>
        <v>30</v>
      </c>
      <c r="B35" s="75">
        <f>IF(A35="","",стартоваяВедомость!H35)</f>
        <v>0.43472222222222218</v>
      </c>
      <c r="C35" s="76">
        <v>0.43472222222222223</v>
      </c>
      <c r="D35" s="71"/>
    </row>
    <row r="36" spans="1:4" ht="30" customHeight="1" x14ac:dyDescent="0.25">
      <c r="A36" s="239">
        <f>IF(ISBLANK(стартоваяВедомость!B36),"",стартоваяВедомость!B36)</f>
        <v>31</v>
      </c>
      <c r="B36" s="75">
        <f>IF(A36="","",стартоваяВедомость!H36)</f>
        <v>0.43541666666666662</v>
      </c>
      <c r="C36" s="76">
        <v>0.43541666666666662</v>
      </c>
      <c r="D36" s="71"/>
    </row>
    <row r="37" spans="1:4" ht="30" customHeight="1" x14ac:dyDescent="0.25">
      <c r="A37" s="239">
        <f>IF(ISBLANK(стартоваяВедомость!B37),"",стартоваяВедомость!B37)</f>
        <v>32</v>
      </c>
      <c r="B37" s="75">
        <f>IF(A37="","",стартоваяВедомость!H37)</f>
        <v>0.43611111111111106</v>
      </c>
      <c r="C37" s="76">
        <v>0.43611111111111112</v>
      </c>
      <c r="D37" s="71"/>
    </row>
    <row r="38" spans="1:4" ht="30" customHeight="1" x14ac:dyDescent="0.25">
      <c r="A38" s="239">
        <f>IF(ISBLANK(стартоваяВедомость!B38),"",стартоваяВедомость!B38)</f>
        <v>33</v>
      </c>
      <c r="B38" s="75">
        <f>IF(A38="","",стартоваяВедомость!H38)</f>
        <v>0.4368055555555555</v>
      </c>
      <c r="C38" s="76">
        <v>0.4368055555555555</v>
      </c>
      <c r="D38" s="71"/>
    </row>
    <row r="39" spans="1:4" ht="30" customHeight="1" x14ac:dyDescent="0.25">
      <c r="A39" s="239">
        <f>IF(ISBLANK(стартоваяВедомость!B39),"",стартоваяВедомость!B39)</f>
        <v>34</v>
      </c>
      <c r="B39" s="75">
        <f>IF(A39="","",стартоваяВедомость!H39)</f>
        <v>0.43749999999999994</v>
      </c>
      <c r="C39" s="76">
        <v>0.4375</v>
      </c>
      <c r="D39" s="71"/>
    </row>
    <row r="40" spans="1:4" ht="30" customHeight="1" x14ac:dyDescent="0.25">
      <c r="A40" s="239">
        <f>IF(ISBLANK(стартоваяВедомость!B40),"",стартоваяВедомость!B40)</f>
        <v>35</v>
      </c>
      <c r="B40" s="75">
        <f>IF(A40="","",стартоваяВедомость!H40)</f>
        <v>0.43819444444444439</v>
      </c>
      <c r="C40" s="76">
        <v>0.4381944444444445</v>
      </c>
      <c r="D40" s="71"/>
    </row>
    <row r="41" spans="1:4" ht="30" customHeight="1" x14ac:dyDescent="0.25">
      <c r="A41" s="239">
        <f>IF(ISBLANK(стартоваяВедомость!B41),"",стартоваяВедомость!B41)</f>
        <v>37</v>
      </c>
      <c r="B41" s="75">
        <f>IF(A41="","",стартоваяВедомость!H41)</f>
        <v>0.43888888888888883</v>
      </c>
      <c r="C41" s="76">
        <v>0.43888888888888888</v>
      </c>
      <c r="D41" s="71"/>
    </row>
    <row r="42" spans="1:4" ht="30" customHeight="1" x14ac:dyDescent="0.25">
      <c r="A42" s="239">
        <f>IF(ISBLANK(стартоваяВедомость!B42),"",стартоваяВедомость!B42)</f>
        <v>38</v>
      </c>
      <c r="B42" s="75">
        <f>IF(A42="","",стартоваяВедомость!H42)</f>
        <v>0.43958333333333327</v>
      </c>
      <c r="C42" s="76">
        <v>0.43888888888888888</v>
      </c>
      <c r="D42" s="71"/>
    </row>
    <row r="43" spans="1:4" ht="30" customHeight="1" x14ac:dyDescent="0.25">
      <c r="A43" s="239">
        <f>IF(ISBLANK(стартоваяВедомость!B43),"",стартоваяВедомость!B43)</f>
        <v>39</v>
      </c>
      <c r="B43" s="75">
        <f>IF(A43="","",стартоваяВедомость!H43)</f>
        <v>0.44027777777777771</v>
      </c>
      <c r="C43" s="76">
        <v>0.44027777777777777</v>
      </c>
      <c r="D43" s="71"/>
    </row>
    <row r="44" spans="1:4" ht="30" customHeight="1" x14ac:dyDescent="0.25">
      <c r="A44" s="239">
        <f>IF(ISBLANK(стартоваяВедомость!B44),"",стартоваяВедомость!B44)</f>
        <v>40</v>
      </c>
      <c r="B44" s="75">
        <f>IF(A44="","",стартоваяВедомость!H44)</f>
        <v>0.44097222222222215</v>
      </c>
      <c r="C44" s="76">
        <v>0.44097222222222227</v>
      </c>
      <c r="D44" s="71"/>
    </row>
    <row r="45" spans="1:4" ht="30" customHeight="1" x14ac:dyDescent="0.25">
      <c r="A45" s="239">
        <f>IF(ISBLANK(стартоваяВедомость!B45),"",стартоваяВедомость!B45)</f>
        <v>41</v>
      </c>
      <c r="B45" s="75">
        <f>IF(A45="","",стартоваяВедомость!H45)</f>
        <v>0.4416666666666666</v>
      </c>
      <c r="C45" s="76">
        <v>0.44166666666666665</v>
      </c>
      <c r="D45" s="71"/>
    </row>
    <row r="46" spans="1:4" ht="30" customHeight="1" x14ac:dyDescent="0.25">
      <c r="A46" s="239">
        <f>IF(ISBLANK(стартоваяВедомость!B46),"",стартоваяВедомость!B46)</f>
        <v>42</v>
      </c>
      <c r="B46" s="75">
        <f>IF(A46="","",стартоваяВедомость!H46)</f>
        <v>0.44236111111111104</v>
      </c>
      <c r="C46" s="76">
        <v>0.44236111111111115</v>
      </c>
      <c r="D46" s="71"/>
    </row>
    <row r="47" spans="1:4" ht="30" customHeight="1" x14ac:dyDescent="0.25">
      <c r="A47" s="239">
        <f>IF(ISBLANK(стартоваяВедомость!B47),"",стартоваяВедомость!B47)</f>
        <v>43</v>
      </c>
      <c r="B47" s="75">
        <f>IF(A47="","",стартоваяВедомость!H47)</f>
        <v>0.44305555555555548</v>
      </c>
      <c r="C47" s="76">
        <v>0.44305555555555554</v>
      </c>
      <c r="D47" s="71"/>
    </row>
    <row r="48" spans="1:4" ht="30" customHeight="1" x14ac:dyDescent="0.25">
      <c r="A48" s="239">
        <f>IF(ISBLANK(стартоваяВедомость!B48),"",стартоваяВедомость!B48)</f>
        <v>44</v>
      </c>
      <c r="B48" s="75">
        <f>IF(A48="","",стартоваяВедомость!H48)</f>
        <v>0.44374999999999992</v>
      </c>
      <c r="C48" s="76">
        <v>0.44375000000000003</v>
      </c>
      <c r="D48" s="71"/>
    </row>
    <row r="49" spans="1:4" ht="30" customHeight="1" x14ac:dyDescent="0.25">
      <c r="A49" s="239">
        <f>IF(ISBLANK(стартоваяВедомость!B49),"",стартоваяВедомость!B49)</f>
        <v>45</v>
      </c>
      <c r="B49" s="75">
        <f>IF(A49="","",стартоваяВедомость!H49)</f>
        <v>0.44444444444444436</v>
      </c>
      <c r="C49" s="76">
        <v>0.44444444444444442</v>
      </c>
      <c r="D49" s="71"/>
    </row>
    <row r="50" spans="1:4" ht="30" customHeight="1" x14ac:dyDescent="0.25">
      <c r="A50" s="239">
        <f>IF(ISBLANK(стартоваяВедомость!B50),"",стартоваяВедомость!B50)</f>
        <v>47</v>
      </c>
      <c r="B50" s="75">
        <f>IF(A50="","",стартоваяВедомость!H50)</f>
        <v>0.44513888888888881</v>
      </c>
      <c r="C50" s="76">
        <v>0.44513888888888892</v>
      </c>
      <c r="D50" s="71"/>
    </row>
    <row r="51" spans="1:4" ht="30" customHeight="1" x14ac:dyDescent="0.25">
      <c r="A51" s="239">
        <f>IF(ISBLANK(стартоваяВедомость!B51),"",стартоваяВедомость!B51)</f>
        <v>36</v>
      </c>
      <c r="B51" s="75">
        <f>IF(A51="","",стартоваяВедомость!H51)</f>
        <v>0.44583333333333325</v>
      </c>
      <c r="C51" s="76">
        <v>0.4458333333333333</v>
      </c>
      <c r="D51" s="71"/>
    </row>
    <row r="52" spans="1:4" ht="30" customHeight="1" x14ac:dyDescent="0.25">
      <c r="A52" s="239" t="str">
        <f>IF(ISBLANK(стартоваяВедомость!B52),"",стартоваяВедомость!B52)</f>
        <v/>
      </c>
      <c r="B52" s="75" t="str">
        <f>IF(A52="","",стартоваяВедомость!H52)</f>
        <v/>
      </c>
      <c r="C52" s="76"/>
      <c r="D52" s="71"/>
    </row>
    <row r="53" spans="1:4" ht="30" customHeight="1" x14ac:dyDescent="0.25">
      <c r="A53" s="239" t="str">
        <f>IF(ISBLANK(стартоваяВедомость!B53),"",стартоваяВедомость!B53)</f>
        <v/>
      </c>
      <c r="B53" s="75" t="str">
        <f>IF(A53="","",стартоваяВедомость!H53)</f>
        <v/>
      </c>
      <c r="C53" s="76"/>
      <c r="D53" s="71"/>
    </row>
    <row r="54" spans="1:4" ht="30" customHeight="1" x14ac:dyDescent="0.25">
      <c r="A54" s="239" t="str">
        <f>IF(ISBLANK(стартоваяВедомость!B54),"",стартоваяВедомость!B54)</f>
        <v/>
      </c>
      <c r="B54" s="75" t="str">
        <f>IF(A54="","",стартоваяВедомость!H54)</f>
        <v/>
      </c>
      <c r="C54" s="76"/>
      <c r="D54" s="71"/>
    </row>
    <row r="55" spans="1:4" ht="30" customHeight="1" x14ac:dyDescent="0.25">
      <c r="A55" s="239" t="str">
        <f>IF(ISBLANK(стартоваяВедомость!B55),"",стартоваяВедомость!B55)</f>
        <v/>
      </c>
      <c r="B55" s="75" t="str">
        <f>IF(A55="","",стартоваяВедомость!H55)</f>
        <v/>
      </c>
      <c r="C55" s="76"/>
      <c r="D55" s="71"/>
    </row>
    <row r="56" spans="1:4" ht="30" customHeight="1" x14ac:dyDescent="0.25">
      <c r="A56" s="239" t="str">
        <f>IF(ISBLANK(стартоваяВедомость!B56),"",стартоваяВедомость!B56)</f>
        <v/>
      </c>
      <c r="B56" s="75" t="str">
        <f>IF(A56="","",стартоваяВедомость!H56)</f>
        <v/>
      </c>
      <c r="C56" s="76"/>
      <c r="D56" s="71"/>
    </row>
    <row r="57" spans="1:4" ht="30" customHeight="1" x14ac:dyDescent="0.25">
      <c r="A57" s="239" t="str">
        <f>IF(ISBLANK(стартоваяВедомость!B57),"",стартоваяВедомость!B57)</f>
        <v/>
      </c>
      <c r="B57" s="75" t="str">
        <f>IF(A57="","",стартоваяВедомость!H57)</f>
        <v/>
      </c>
      <c r="C57" s="76"/>
      <c r="D57" s="71"/>
    </row>
    <row r="58" spans="1:4" ht="30" customHeight="1" x14ac:dyDescent="0.25">
      <c r="A58" s="239" t="str">
        <f>IF(ISBLANK(стартоваяВедомость!B58),"",стартоваяВедомость!B58)</f>
        <v/>
      </c>
      <c r="B58" s="75" t="str">
        <f>IF(A58="","",стартоваяВедомость!H58)</f>
        <v/>
      </c>
      <c r="C58" s="76"/>
      <c r="D58" s="71"/>
    </row>
    <row r="59" spans="1:4" ht="30" customHeight="1" x14ac:dyDescent="0.25">
      <c r="A59" s="239" t="str">
        <f>IF(ISBLANK(стартоваяВедомость!B59),"",стартоваяВедомость!B59)</f>
        <v/>
      </c>
      <c r="B59" s="75" t="str">
        <f>IF(A59="","",стартоваяВедомость!H59)</f>
        <v/>
      </c>
      <c r="C59" s="76"/>
      <c r="D59" s="71"/>
    </row>
    <row r="60" spans="1:4" ht="30" customHeight="1" x14ac:dyDescent="0.25">
      <c r="A60" s="239" t="str">
        <f>IF(ISBLANK(стартоваяВедомость!B60),"",стартоваяВедомость!B60)</f>
        <v/>
      </c>
      <c r="B60" s="75" t="str">
        <f>IF(A60="","",стартоваяВедомость!H60)</f>
        <v/>
      </c>
      <c r="C60" s="76"/>
      <c r="D60" s="71"/>
    </row>
    <row r="61" spans="1:4" ht="30" customHeight="1" x14ac:dyDescent="0.25">
      <c r="A61" s="239" t="str">
        <f>IF(ISBLANK(стартоваяВедомость!B61),"",стартоваяВедомость!B61)</f>
        <v/>
      </c>
      <c r="B61" s="75" t="str">
        <f>IF(A61="","",стартоваяВедомость!H61)</f>
        <v/>
      </c>
      <c r="C61" s="76"/>
      <c r="D61" s="71"/>
    </row>
    <row r="62" spans="1:4" ht="30" customHeight="1" x14ac:dyDescent="0.25">
      <c r="A62" s="239" t="str">
        <f>IF(ISBLANK(стартоваяВедомость!B62),"",стартоваяВедомость!B62)</f>
        <v/>
      </c>
      <c r="B62" s="75" t="str">
        <f>IF(A62="","",стартоваяВедомость!H62)</f>
        <v/>
      </c>
      <c r="C62" s="76"/>
      <c r="D62" s="71"/>
    </row>
    <row r="63" spans="1:4" ht="30" customHeight="1" x14ac:dyDescent="0.25">
      <c r="A63" s="239" t="str">
        <f>IF(ISBLANK(стартоваяВедомость!B63),"",стартоваяВедомость!B63)</f>
        <v/>
      </c>
      <c r="B63" s="75" t="str">
        <f>IF(A63="","",стартоваяВедомость!H63)</f>
        <v/>
      </c>
      <c r="C63" s="76"/>
      <c r="D63" s="71"/>
    </row>
    <row r="64" spans="1:4" ht="30" customHeight="1" x14ac:dyDescent="0.25">
      <c r="A64" s="239" t="str">
        <f>IF(ISBLANK(стартоваяВедомость!B64),"",стартоваяВедомость!B64)</f>
        <v/>
      </c>
      <c r="B64" s="75" t="str">
        <f>IF(A64="","",стартоваяВедомость!H64)</f>
        <v/>
      </c>
      <c r="C64" s="76"/>
      <c r="D64" s="71"/>
    </row>
    <row r="65" spans="1:4" ht="30" customHeight="1" x14ac:dyDescent="0.25">
      <c r="A65" s="239" t="str">
        <f>IF(ISBLANK(стартоваяВедомость!B65),"",стартоваяВедомость!B65)</f>
        <v/>
      </c>
      <c r="B65" s="75" t="str">
        <f>IF(A65="","",стартоваяВедомость!H65)</f>
        <v/>
      </c>
      <c r="C65" s="76"/>
      <c r="D65" s="71"/>
    </row>
    <row r="66" spans="1:4" ht="30" customHeight="1" x14ac:dyDescent="0.25">
      <c r="A66" s="239" t="str">
        <f>IF(ISBLANK(стартоваяВедомость!B66),"",стартоваяВедомость!B66)</f>
        <v/>
      </c>
      <c r="B66" s="75" t="str">
        <f>IF(A66="","",стартоваяВедомость!H66)</f>
        <v/>
      </c>
      <c r="C66" s="76"/>
      <c r="D66" s="71"/>
    </row>
  </sheetData>
  <mergeCells count="1">
    <mergeCell ref="A7:D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F0"/>
  </sheetPr>
  <dimension ref="A1:Q61"/>
  <sheetViews>
    <sheetView view="pageBreakPreview" topLeftCell="A43" zoomScale="85" zoomScaleSheetLayoutView="85" workbookViewId="0">
      <selection activeCell="E49" sqref="E49"/>
    </sheetView>
  </sheetViews>
  <sheetFormatPr defaultRowHeight="15" x14ac:dyDescent="0.25"/>
  <cols>
    <col min="1" max="3" width="15.7109375" style="2" customWidth="1"/>
    <col min="4" max="4" width="16.5703125" style="2" customWidth="1"/>
    <col min="5" max="5" width="23" style="2" customWidth="1"/>
    <col min="6" max="6" width="10.7109375" style="2" customWidth="1"/>
    <col min="7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7" s="261" customFormat="1" ht="21" customHeight="1" x14ac:dyDescent="0.25">
      <c r="A2" s="274" t="s">
        <v>386</v>
      </c>
      <c r="B2" s="272" t="s">
        <v>774</v>
      </c>
      <c r="C2" s="273" t="s">
        <v>387</v>
      </c>
      <c r="D2" s="272" t="s">
        <v>563</v>
      </c>
    </row>
    <row r="3" spans="1:17" s="261" customFormat="1" ht="21" customHeight="1" x14ac:dyDescent="0.25">
      <c r="A3" s="274" t="s">
        <v>92</v>
      </c>
      <c r="B3" s="272">
        <v>0.42278900505036143</v>
      </c>
      <c r="C3" s="273" t="s">
        <v>86</v>
      </c>
      <c r="D3" s="272"/>
    </row>
    <row r="4" spans="1:17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7" s="261" customFormat="1" ht="21" customHeight="1" x14ac:dyDescent="0.25">
      <c r="A5" s="274" t="s">
        <v>93</v>
      </c>
      <c r="B5" s="272">
        <v>0.47140011616147259</v>
      </c>
      <c r="C5" s="273" t="s">
        <v>87</v>
      </c>
      <c r="D5" s="272"/>
    </row>
    <row r="6" spans="1:17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7" s="261" customFormat="1" ht="46.5" x14ac:dyDescent="0.25">
      <c r="A7" s="735" t="s">
        <v>489</v>
      </c>
      <c r="B7" s="735"/>
      <c r="C7" s="735"/>
      <c r="D7" s="735"/>
      <c r="E7" s="735"/>
      <c r="F7" s="735"/>
      <c r="G7" s="735"/>
      <c r="H7" s="735"/>
      <c r="I7" s="735"/>
    </row>
    <row r="8" spans="1:17" s="24" customFormat="1" ht="21" customHeight="1" x14ac:dyDescent="0.25">
      <c r="A8" s="260" t="s">
        <v>403</v>
      </c>
      <c r="B8" s="68"/>
      <c r="C8" s="68"/>
      <c r="D8" s="31"/>
      <c r="E8" s="500" t="s">
        <v>190</v>
      </c>
      <c r="F8" s="68" t="s">
        <v>191</v>
      </c>
      <c r="G8" s="68" t="s">
        <v>192</v>
      </c>
      <c r="H8" s="68" t="s">
        <v>192</v>
      </c>
      <c r="I8" s="68" t="s">
        <v>192</v>
      </c>
    </row>
    <row r="9" spans="1:17" ht="37.5" x14ac:dyDescent="0.25">
      <c r="A9" s="65" t="s">
        <v>0</v>
      </c>
      <c r="B9" s="476"/>
      <c r="C9" s="485" t="s">
        <v>88</v>
      </c>
      <c r="D9" s="481"/>
      <c r="E9" s="501" t="s">
        <v>853</v>
      </c>
      <c r="F9" s="67" t="s">
        <v>103</v>
      </c>
      <c r="G9" s="67" t="s">
        <v>124</v>
      </c>
      <c r="H9" s="67" t="s">
        <v>125</v>
      </c>
      <c r="I9" s="67" t="s">
        <v>126</v>
      </c>
      <c r="P9" s="25"/>
      <c r="Q9" s="26"/>
    </row>
    <row r="10" spans="1:17" ht="35.1" customHeight="1" x14ac:dyDescent="0.25">
      <c r="A10" s="29">
        <v>1</v>
      </c>
      <c r="B10" s="482"/>
      <c r="C10" s="483"/>
      <c r="D10" s="484"/>
      <c r="E10" s="29">
        <v>63.04</v>
      </c>
      <c r="F10" s="30"/>
      <c r="G10" s="29"/>
      <c r="H10" s="29"/>
      <c r="I10" s="29"/>
    </row>
    <row r="11" spans="1:17" ht="35.1" customHeight="1" x14ac:dyDescent="0.25">
      <c r="A11" s="29">
        <v>2</v>
      </c>
      <c r="B11" s="482"/>
      <c r="C11" s="483"/>
      <c r="D11" s="484"/>
      <c r="E11" s="29">
        <v>61.1</v>
      </c>
      <c r="F11" s="30"/>
      <c r="G11" s="29"/>
      <c r="H11" s="29"/>
      <c r="I11" s="29"/>
    </row>
    <row r="12" spans="1:17" ht="35.1" customHeight="1" x14ac:dyDescent="0.25">
      <c r="A12" s="29">
        <v>5</v>
      </c>
      <c r="B12" s="482"/>
      <c r="C12" s="483"/>
      <c r="D12" s="484"/>
      <c r="E12" s="29">
        <v>63.1</v>
      </c>
      <c r="F12" s="30"/>
      <c r="G12" s="29"/>
      <c r="H12" s="29"/>
      <c r="I12" s="29"/>
    </row>
    <row r="13" spans="1:17" ht="35.1" customHeight="1" x14ac:dyDescent="0.25">
      <c r="A13" s="29">
        <v>4</v>
      </c>
      <c r="B13" s="482"/>
      <c r="C13" s="483"/>
      <c r="D13" s="484"/>
      <c r="E13" s="29">
        <v>62</v>
      </c>
      <c r="F13" s="30"/>
      <c r="G13" s="29"/>
      <c r="H13" s="29" t="s">
        <v>870</v>
      </c>
      <c r="I13" s="29"/>
    </row>
    <row r="14" spans="1:17" ht="35.1" customHeight="1" x14ac:dyDescent="0.25">
      <c r="A14" s="29">
        <v>6</v>
      </c>
      <c r="B14" s="482"/>
      <c r="C14" s="483"/>
      <c r="D14" s="484"/>
      <c r="E14" s="29">
        <v>83.1</v>
      </c>
      <c r="F14" s="30"/>
      <c r="G14" s="29"/>
      <c r="H14" s="29"/>
      <c r="I14" s="29"/>
    </row>
    <row r="15" spans="1:17" ht="35.1" customHeight="1" x14ac:dyDescent="0.25">
      <c r="A15" s="29">
        <v>7</v>
      </c>
      <c r="B15" s="482"/>
      <c r="C15" s="483"/>
      <c r="D15" s="484"/>
      <c r="E15" s="29">
        <v>66.2</v>
      </c>
      <c r="F15" s="30"/>
      <c r="G15" s="29"/>
      <c r="H15" s="29"/>
      <c r="I15" s="29"/>
    </row>
    <row r="16" spans="1:17" ht="35.1" customHeight="1" x14ac:dyDescent="0.25">
      <c r="A16" s="29">
        <v>8</v>
      </c>
      <c r="B16" s="482"/>
      <c r="C16" s="483"/>
      <c r="D16" s="484"/>
      <c r="E16" s="29">
        <v>65.099999999999994</v>
      </c>
      <c r="F16" s="30"/>
      <c r="G16" s="29"/>
      <c r="H16" s="29"/>
      <c r="I16" s="29" t="s">
        <v>870</v>
      </c>
    </row>
    <row r="17" spans="1:9" ht="35.1" customHeight="1" x14ac:dyDescent="0.25">
      <c r="A17" s="29">
        <v>9</v>
      </c>
      <c r="B17" s="482"/>
      <c r="C17" s="483"/>
      <c r="D17" s="484"/>
      <c r="E17" s="29">
        <v>70</v>
      </c>
      <c r="F17" s="30"/>
      <c r="G17" s="29"/>
      <c r="H17" s="29"/>
      <c r="I17" s="29" t="s">
        <v>870</v>
      </c>
    </row>
    <row r="18" spans="1:9" ht="35.1" customHeight="1" x14ac:dyDescent="0.25">
      <c r="A18" s="29">
        <v>10</v>
      </c>
      <c r="B18" s="482"/>
      <c r="C18" s="483"/>
      <c r="D18" s="484"/>
      <c r="E18" s="29">
        <v>71.900000000000006</v>
      </c>
      <c r="F18" s="30"/>
      <c r="G18" s="29"/>
      <c r="H18" s="29"/>
      <c r="I18" s="29"/>
    </row>
    <row r="19" spans="1:9" ht="35.1" customHeight="1" x14ac:dyDescent="0.25">
      <c r="A19" s="29">
        <v>11</v>
      </c>
      <c r="B19" s="482"/>
      <c r="C19" s="483"/>
      <c r="D19" s="484"/>
      <c r="E19" s="29">
        <v>81.5</v>
      </c>
      <c r="F19" s="30"/>
      <c r="G19" s="29"/>
      <c r="H19" s="29" t="s">
        <v>870</v>
      </c>
      <c r="I19" s="29"/>
    </row>
    <row r="20" spans="1:9" ht="35.1" customHeight="1" x14ac:dyDescent="0.25">
      <c r="A20" s="29">
        <v>3</v>
      </c>
      <c r="B20" s="482"/>
      <c r="C20" s="483"/>
      <c r="D20" s="484"/>
      <c r="E20" s="29">
        <v>10</v>
      </c>
      <c r="F20" s="30"/>
      <c r="G20" s="29"/>
      <c r="H20" s="29"/>
      <c r="I20" s="29" t="s">
        <v>870</v>
      </c>
    </row>
    <row r="21" spans="1:9" ht="35.1" customHeight="1" x14ac:dyDescent="0.25">
      <c r="A21" s="29">
        <v>12</v>
      </c>
      <c r="B21" s="482"/>
      <c r="C21" s="483"/>
      <c r="D21" s="484"/>
      <c r="E21" s="29">
        <v>99.9</v>
      </c>
      <c r="F21" s="30"/>
      <c r="G21" s="29"/>
      <c r="H21" s="29"/>
      <c r="I21" s="29"/>
    </row>
    <row r="22" spans="1:9" ht="35.1" customHeight="1" x14ac:dyDescent="0.25">
      <c r="A22" s="29">
        <v>16</v>
      </c>
      <c r="B22" s="482"/>
      <c r="C22" s="483"/>
      <c r="D22" s="484"/>
      <c r="E22" s="29">
        <v>86.5</v>
      </c>
      <c r="F22" s="30"/>
      <c r="G22" s="29"/>
      <c r="H22" s="29"/>
      <c r="I22" s="29"/>
    </row>
    <row r="23" spans="1:9" ht="35.1" customHeight="1" x14ac:dyDescent="0.25">
      <c r="A23" s="29">
        <v>14</v>
      </c>
      <c r="B23" s="482"/>
      <c r="C23" s="483"/>
      <c r="D23" s="484"/>
      <c r="E23" s="29">
        <v>108.6</v>
      </c>
      <c r="F23" s="30"/>
      <c r="G23" s="29"/>
      <c r="H23" s="29" t="s">
        <v>870</v>
      </c>
      <c r="I23" s="29" t="s">
        <v>870</v>
      </c>
    </row>
    <row r="24" spans="1:9" ht="35.1" customHeight="1" x14ac:dyDescent="0.25">
      <c r="A24" s="29">
        <v>17</v>
      </c>
      <c r="B24" s="482"/>
      <c r="C24" s="483"/>
      <c r="D24" s="484"/>
      <c r="E24" s="29">
        <v>83.6</v>
      </c>
      <c r="F24" s="30"/>
      <c r="G24" s="29"/>
      <c r="H24" s="29"/>
      <c r="I24" s="29"/>
    </row>
    <row r="25" spans="1:9" ht="35.1" customHeight="1" x14ac:dyDescent="0.25">
      <c r="A25" s="29">
        <v>13</v>
      </c>
      <c r="B25" s="482"/>
      <c r="C25" s="483"/>
      <c r="D25" s="484"/>
      <c r="E25" s="29">
        <v>98.9</v>
      </c>
      <c r="F25" s="30"/>
      <c r="G25" s="29"/>
      <c r="H25" s="29" t="s">
        <v>870</v>
      </c>
      <c r="I25" s="29"/>
    </row>
    <row r="26" spans="1:9" ht="35.1" customHeight="1" x14ac:dyDescent="0.25">
      <c r="A26" s="29">
        <v>20</v>
      </c>
      <c r="B26" s="482"/>
      <c r="C26" s="483"/>
      <c r="D26" s="484"/>
      <c r="E26" s="29">
        <v>66.8</v>
      </c>
      <c r="F26" s="30"/>
      <c r="G26" s="29"/>
      <c r="H26" s="29" t="s">
        <v>870</v>
      </c>
      <c r="I26" s="29"/>
    </row>
    <row r="27" spans="1:9" ht="35.1" customHeight="1" x14ac:dyDescent="0.25">
      <c r="A27" s="29">
        <v>21</v>
      </c>
      <c r="B27" s="482"/>
      <c r="C27" s="483"/>
      <c r="D27" s="484"/>
      <c r="E27" s="29">
        <v>72.3</v>
      </c>
      <c r="F27" s="30"/>
      <c r="G27" s="29"/>
      <c r="H27" s="29"/>
      <c r="I27" s="29"/>
    </row>
    <row r="28" spans="1:9" ht="35.1" customHeight="1" x14ac:dyDescent="0.25">
      <c r="A28" s="29">
        <v>23</v>
      </c>
      <c r="B28" s="482"/>
      <c r="C28" s="483"/>
      <c r="D28" s="484"/>
      <c r="E28" s="29">
        <v>65.400000000000006</v>
      </c>
      <c r="F28" s="30"/>
      <c r="G28" s="29"/>
      <c r="H28" s="29"/>
      <c r="I28" s="29"/>
    </row>
    <row r="29" spans="1:9" ht="35.1" customHeight="1" x14ac:dyDescent="0.25">
      <c r="A29" s="29">
        <v>18</v>
      </c>
      <c r="B29" s="482"/>
      <c r="C29" s="483"/>
      <c r="D29" s="484"/>
      <c r="E29" s="29">
        <v>57.9</v>
      </c>
      <c r="F29" s="30"/>
      <c r="G29" s="29"/>
      <c r="H29" s="29"/>
      <c r="I29" s="29"/>
    </row>
    <row r="30" spans="1:9" ht="35.1" customHeight="1" x14ac:dyDescent="0.25">
      <c r="A30" s="29">
        <v>24</v>
      </c>
      <c r="B30" s="482"/>
      <c r="C30" s="483"/>
      <c r="D30" s="484"/>
      <c r="E30" s="29">
        <v>73.5</v>
      </c>
      <c r="F30" s="30"/>
      <c r="G30" s="29"/>
      <c r="H30" s="29"/>
      <c r="I30" s="29"/>
    </row>
    <row r="31" spans="1:9" ht="35.1" customHeight="1" x14ac:dyDescent="0.25">
      <c r="A31" s="29">
        <v>26</v>
      </c>
      <c r="B31" s="482"/>
      <c r="C31" s="483"/>
      <c r="D31" s="484"/>
      <c r="E31" s="29">
        <v>66.5</v>
      </c>
      <c r="F31" s="30"/>
      <c r="G31" s="29"/>
      <c r="H31" s="29" t="s">
        <v>870</v>
      </c>
      <c r="I31" s="29" t="s">
        <v>870</v>
      </c>
    </row>
    <row r="32" spans="1:9" ht="35.1" customHeight="1" x14ac:dyDescent="0.25">
      <c r="A32" s="29">
        <v>25</v>
      </c>
      <c r="B32" s="482"/>
      <c r="C32" s="483"/>
      <c r="D32" s="484"/>
      <c r="E32" s="29">
        <v>53.9</v>
      </c>
      <c r="F32" s="30"/>
      <c r="G32" s="29"/>
      <c r="H32" s="29" t="s">
        <v>870</v>
      </c>
      <c r="I32" s="29" t="s">
        <v>870</v>
      </c>
    </row>
    <row r="33" spans="1:9" ht="35.1" customHeight="1" x14ac:dyDescent="0.25">
      <c r="A33" s="29">
        <v>22</v>
      </c>
      <c r="B33" s="482"/>
      <c r="C33" s="483"/>
      <c r="D33" s="484"/>
      <c r="E33" s="29">
        <v>67.5</v>
      </c>
      <c r="F33" s="30"/>
      <c r="G33" s="29"/>
      <c r="H33" s="29"/>
      <c r="I33" s="29"/>
    </row>
    <row r="34" spans="1:9" ht="35.1" customHeight="1" x14ac:dyDescent="0.25">
      <c r="A34" s="29">
        <v>29</v>
      </c>
      <c r="B34" s="482"/>
      <c r="C34" s="483"/>
      <c r="D34" s="484"/>
      <c r="E34" s="29">
        <v>71.099999999999994</v>
      </c>
      <c r="F34" s="30"/>
      <c r="G34" s="29"/>
      <c r="H34" s="29"/>
      <c r="I34" s="29"/>
    </row>
    <row r="35" spans="1:9" ht="35.1" customHeight="1" x14ac:dyDescent="0.25">
      <c r="A35" s="29">
        <v>31</v>
      </c>
      <c r="B35" s="482"/>
      <c r="C35" s="483"/>
      <c r="D35" s="484"/>
      <c r="E35" s="29">
        <v>76.7</v>
      </c>
      <c r="F35" s="30"/>
      <c r="G35" s="29"/>
      <c r="H35" s="29"/>
      <c r="I35" s="29"/>
    </row>
    <row r="36" spans="1:9" ht="35.1" customHeight="1" x14ac:dyDescent="0.25">
      <c r="A36" s="29">
        <v>32</v>
      </c>
      <c r="B36" s="482"/>
      <c r="C36" s="483"/>
      <c r="D36" s="484"/>
      <c r="E36" s="29">
        <v>90.8</v>
      </c>
      <c r="F36" s="30"/>
      <c r="G36" s="29"/>
      <c r="H36" s="29"/>
      <c r="I36" s="29"/>
    </row>
    <row r="37" spans="1:9" ht="35.1" customHeight="1" x14ac:dyDescent="0.25">
      <c r="A37" s="29">
        <v>33</v>
      </c>
      <c r="B37" s="482"/>
      <c r="C37" s="483"/>
      <c r="D37" s="484"/>
      <c r="E37" s="29">
        <v>48.4</v>
      </c>
      <c r="F37" s="30">
        <v>1</v>
      </c>
      <c r="G37" s="29"/>
      <c r="H37" s="29"/>
      <c r="I37" s="29"/>
    </row>
    <row r="38" spans="1:9" ht="35.1" customHeight="1" x14ac:dyDescent="0.25">
      <c r="A38" s="29">
        <v>34</v>
      </c>
      <c r="B38" s="482"/>
      <c r="C38" s="483"/>
      <c r="D38" s="484"/>
      <c r="E38" s="29">
        <v>112</v>
      </c>
      <c r="F38" s="30"/>
      <c r="G38" s="29"/>
      <c r="H38" s="29"/>
      <c r="I38" s="29"/>
    </row>
    <row r="39" spans="1:9" ht="35.1" customHeight="1" x14ac:dyDescent="0.25">
      <c r="A39" s="29">
        <v>30</v>
      </c>
      <c r="B39" s="482"/>
      <c r="C39" s="483"/>
      <c r="D39" s="484"/>
      <c r="E39" s="29">
        <v>61.4</v>
      </c>
      <c r="F39" s="30"/>
      <c r="G39" s="29"/>
      <c r="H39" s="29" t="s">
        <v>870</v>
      </c>
      <c r="I39" s="29"/>
    </row>
    <row r="40" spans="1:9" ht="35.1" customHeight="1" x14ac:dyDescent="0.25">
      <c r="A40" s="29">
        <v>38</v>
      </c>
      <c r="B40" s="482"/>
      <c r="C40" s="483"/>
      <c r="D40" s="484"/>
      <c r="E40" s="29">
        <v>63.1</v>
      </c>
      <c r="F40" s="30"/>
      <c r="G40" s="29"/>
      <c r="H40" s="29"/>
      <c r="I40" s="29"/>
    </row>
    <row r="41" spans="1:9" ht="35.1" customHeight="1" x14ac:dyDescent="0.25">
      <c r="A41" s="29">
        <v>37</v>
      </c>
      <c r="B41" s="482"/>
      <c r="C41" s="483"/>
      <c r="D41" s="484"/>
      <c r="E41" s="29">
        <v>69</v>
      </c>
      <c r="F41" s="30"/>
      <c r="G41" s="29"/>
      <c r="H41" s="29" t="s">
        <v>870</v>
      </c>
      <c r="I41" s="29"/>
    </row>
    <row r="42" spans="1:9" ht="35.1" customHeight="1" x14ac:dyDescent="0.25">
      <c r="A42" s="29">
        <v>40</v>
      </c>
      <c r="B42" s="482"/>
      <c r="C42" s="483"/>
      <c r="D42" s="484"/>
      <c r="E42" s="29">
        <v>68.2</v>
      </c>
      <c r="F42" s="30"/>
      <c r="G42" s="29"/>
      <c r="H42" s="29"/>
      <c r="I42" s="29"/>
    </row>
    <row r="43" spans="1:9" ht="35.1" customHeight="1" x14ac:dyDescent="0.25">
      <c r="A43" s="29">
        <v>39</v>
      </c>
      <c r="B43" s="482"/>
      <c r="C43" s="483"/>
      <c r="D43" s="484"/>
      <c r="E43" s="29">
        <v>57.1</v>
      </c>
      <c r="F43" s="30"/>
      <c r="G43" s="29"/>
      <c r="H43" s="29" t="s">
        <v>870</v>
      </c>
      <c r="I43" s="29"/>
    </row>
    <row r="44" spans="1:9" ht="35.1" customHeight="1" x14ac:dyDescent="0.25">
      <c r="A44" s="29">
        <v>41</v>
      </c>
      <c r="B44" s="482"/>
      <c r="C44" s="483"/>
      <c r="D44" s="484"/>
      <c r="E44" s="29">
        <v>53.8</v>
      </c>
      <c r="F44" s="30"/>
      <c r="G44" s="29"/>
      <c r="H44" s="29"/>
      <c r="I44" s="29"/>
    </row>
    <row r="45" spans="1:9" ht="35.1" customHeight="1" x14ac:dyDescent="0.25">
      <c r="A45" s="29">
        <v>42</v>
      </c>
      <c r="B45" s="482"/>
      <c r="C45" s="483"/>
      <c r="D45" s="484"/>
      <c r="E45" s="29">
        <v>57.8</v>
      </c>
      <c r="F45" s="30"/>
      <c r="G45" s="29"/>
      <c r="H45" s="29"/>
      <c r="I45" s="29"/>
    </row>
    <row r="46" spans="1:9" ht="35.1" customHeight="1" x14ac:dyDescent="0.25">
      <c r="A46" s="29">
        <v>43</v>
      </c>
      <c r="B46" s="482"/>
      <c r="C46" s="483"/>
      <c r="D46" s="484"/>
      <c r="E46" s="29">
        <v>67.8</v>
      </c>
      <c r="F46" s="30">
        <v>1</v>
      </c>
      <c r="G46" s="29"/>
      <c r="H46" s="29"/>
      <c r="I46" s="29"/>
    </row>
    <row r="47" spans="1:9" ht="35.1" customHeight="1" x14ac:dyDescent="0.25">
      <c r="A47" s="29">
        <v>44</v>
      </c>
      <c r="B47" s="482"/>
      <c r="C47" s="483"/>
      <c r="D47" s="484"/>
      <c r="E47" s="29">
        <v>83.7</v>
      </c>
      <c r="F47" s="30"/>
      <c r="G47" s="29"/>
      <c r="H47" s="29"/>
      <c r="I47" s="29" t="s">
        <v>870</v>
      </c>
    </row>
    <row r="48" spans="1:9" ht="35.1" customHeight="1" x14ac:dyDescent="0.25">
      <c r="A48" s="29">
        <v>35</v>
      </c>
      <c r="B48" s="482"/>
      <c r="C48" s="483"/>
      <c r="D48" s="484"/>
      <c r="E48" s="29">
        <v>93.3</v>
      </c>
      <c r="F48" s="30"/>
      <c r="G48" s="29"/>
      <c r="H48" s="29"/>
      <c r="I48" s="29" t="s">
        <v>870</v>
      </c>
    </row>
    <row r="49" spans="1:9" ht="35.1" customHeight="1" x14ac:dyDescent="0.25">
      <c r="A49" s="29">
        <v>47</v>
      </c>
      <c r="B49" s="482"/>
      <c r="C49" s="483"/>
      <c r="D49" s="484"/>
      <c r="E49" s="29">
        <v>55.2</v>
      </c>
      <c r="F49" s="30"/>
      <c r="G49" s="29"/>
      <c r="H49" s="29"/>
      <c r="I49" s="29"/>
    </row>
    <row r="50" spans="1:9" ht="35.1" customHeight="1" x14ac:dyDescent="0.25">
      <c r="A50" s="29">
        <v>36</v>
      </c>
      <c r="B50" s="482"/>
      <c r="C50" s="483"/>
      <c r="D50" s="484"/>
      <c r="E50" s="29">
        <v>90.5</v>
      </c>
      <c r="F50" s="30"/>
      <c r="G50" s="29"/>
      <c r="H50" s="29"/>
      <c r="I50" s="29"/>
    </row>
    <row r="51" spans="1:9" ht="35.1" customHeight="1" x14ac:dyDescent="0.25">
      <c r="A51" s="29">
        <v>45</v>
      </c>
      <c r="B51" s="482"/>
      <c r="C51" s="483"/>
      <c r="D51" s="484"/>
      <c r="E51" s="29">
        <v>59.4</v>
      </c>
      <c r="F51" s="30">
        <v>1</v>
      </c>
      <c r="G51" s="29"/>
      <c r="H51" s="29"/>
      <c r="I51" s="29"/>
    </row>
    <row r="52" spans="1:9" ht="35.1" customHeight="1" x14ac:dyDescent="0.25">
      <c r="A52" s="29"/>
      <c r="B52" s="482"/>
      <c r="C52" s="483"/>
      <c r="D52" s="484"/>
      <c r="E52" s="29"/>
      <c r="F52" s="30"/>
      <c r="G52" s="29"/>
      <c r="H52" s="29"/>
      <c r="I52" s="29"/>
    </row>
    <row r="53" spans="1:9" ht="35.1" customHeight="1" x14ac:dyDescent="0.25">
      <c r="A53" s="29"/>
      <c r="B53" s="482"/>
      <c r="C53" s="483"/>
      <c r="D53" s="484"/>
      <c r="E53" s="29"/>
      <c r="F53" s="30"/>
      <c r="G53" s="29"/>
      <c r="H53" s="29"/>
      <c r="I53" s="29"/>
    </row>
    <row r="54" spans="1:9" ht="35.1" customHeight="1" x14ac:dyDescent="0.25">
      <c r="A54" s="29"/>
      <c r="B54" s="482"/>
      <c r="C54" s="483"/>
      <c r="D54" s="484"/>
      <c r="E54" s="29"/>
      <c r="F54" s="30"/>
      <c r="G54" s="29"/>
      <c r="H54" s="29"/>
      <c r="I54" s="29"/>
    </row>
    <row r="55" spans="1:9" ht="35.1" customHeight="1" x14ac:dyDescent="0.25">
      <c r="A55" s="29"/>
      <c r="B55" s="482"/>
      <c r="C55" s="483"/>
      <c r="D55" s="484"/>
      <c r="E55" s="29"/>
      <c r="F55" s="30"/>
      <c r="G55" s="29"/>
      <c r="H55" s="29"/>
      <c r="I55" s="29"/>
    </row>
    <row r="56" spans="1:9" ht="35.1" customHeight="1" x14ac:dyDescent="0.25">
      <c r="A56" s="29"/>
      <c r="B56" s="482"/>
      <c r="C56" s="483"/>
      <c r="D56" s="484"/>
      <c r="E56" s="29"/>
      <c r="F56" s="30"/>
      <c r="G56" s="29"/>
      <c r="H56" s="29"/>
      <c r="I56" s="29"/>
    </row>
    <row r="57" spans="1:9" ht="35.1" customHeight="1" x14ac:dyDescent="0.25">
      <c r="A57" s="29"/>
      <c r="B57" s="482"/>
      <c r="C57" s="483"/>
      <c r="D57" s="484"/>
      <c r="E57" s="29"/>
      <c r="F57" s="30"/>
      <c r="G57" s="29"/>
      <c r="H57" s="29"/>
      <c r="I57" s="29"/>
    </row>
    <row r="58" spans="1:9" ht="35.1" customHeight="1" x14ac:dyDescent="0.25">
      <c r="A58" s="29"/>
      <c r="B58" s="482"/>
      <c r="C58" s="483"/>
      <c r="D58" s="484"/>
      <c r="E58" s="29"/>
      <c r="F58" s="30"/>
      <c r="G58" s="29"/>
      <c r="H58" s="29"/>
      <c r="I58" s="29"/>
    </row>
    <row r="59" spans="1:9" ht="35.1" customHeight="1" x14ac:dyDescent="0.25">
      <c r="A59" s="29"/>
      <c r="B59" s="482"/>
      <c r="C59" s="483"/>
      <c r="D59" s="484"/>
      <c r="E59" s="29"/>
      <c r="F59" s="30"/>
      <c r="G59" s="29"/>
      <c r="H59" s="29"/>
      <c r="I59" s="29"/>
    </row>
    <row r="60" spans="1:9" ht="35.1" customHeight="1" x14ac:dyDescent="0.25">
      <c r="A60" s="29"/>
      <c r="B60" s="482"/>
      <c r="C60" s="483"/>
      <c r="D60" s="484"/>
      <c r="E60" s="29"/>
      <c r="F60" s="30"/>
      <c r="G60" s="29"/>
      <c r="H60" s="29"/>
      <c r="I60" s="29"/>
    </row>
    <row r="61" spans="1:9" ht="35.1" customHeight="1" x14ac:dyDescent="0.25">
      <c r="A61" s="29"/>
      <c r="B61" s="482"/>
      <c r="C61" s="483"/>
      <c r="D61" s="484"/>
      <c r="E61" s="29"/>
      <c r="F61" s="30"/>
      <c r="G61" s="29"/>
      <c r="H61" s="29"/>
      <c r="I61" s="29"/>
    </row>
  </sheetData>
  <mergeCells count="1">
    <mergeCell ref="A7:I7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13 строк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00B0F0"/>
  </sheetPr>
  <dimension ref="A1:K66"/>
  <sheetViews>
    <sheetView view="pageBreakPreview" topLeftCell="A4" zoomScale="85" zoomScaleSheetLayoutView="85" workbookViewId="0">
      <selection activeCell="A18" sqref="A18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765</v>
      </c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>
        <v>0.45555555638339784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0.504166667494509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580</v>
      </c>
      <c r="B7" s="725"/>
      <c r="C7" s="725"/>
      <c r="D7" s="725"/>
    </row>
    <row r="8" spans="1:11" s="268" customFormat="1" ht="21" customHeight="1" x14ac:dyDescent="0.25">
      <c r="A8" s="271" t="s">
        <v>405</v>
      </c>
      <c r="B8" s="270" t="s">
        <v>185</v>
      </c>
      <c r="C8" s="270" t="s">
        <v>185</v>
      </c>
      <c r="D8" s="269"/>
    </row>
    <row r="9" spans="1:11" ht="21" x14ac:dyDescent="0.25">
      <c r="A9" s="69" t="s">
        <v>0</v>
      </c>
      <c r="B9" s="70" t="s">
        <v>62</v>
      </c>
      <c r="C9" s="464" t="s">
        <v>685</v>
      </c>
      <c r="D9" s="70" t="s">
        <v>88</v>
      </c>
      <c r="J9" s="25"/>
      <c r="K9" s="26"/>
    </row>
    <row r="10" spans="1:11" ht="30" customHeight="1" x14ac:dyDescent="0.25">
      <c r="A10" s="29"/>
      <c r="B10" s="76"/>
      <c r="C10" s="76"/>
      <c r="D10" s="71" t="s">
        <v>875</v>
      </c>
    </row>
    <row r="11" spans="1:11" ht="30" customHeight="1" x14ac:dyDescent="0.25">
      <c r="A11" s="29" t="s">
        <v>874</v>
      </c>
      <c r="B11" s="76">
        <v>0.4597222222222222</v>
      </c>
      <c r="C11" s="76"/>
      <c r="D11" s="71" t="s">
        <v>876</v>
      </c>
    </row>
    <row r="12" spans="1:11" ht="30" customHeight="1" x14ac:dyDescent="0.25">
      <c r="A12" s="29">
        <v>1</v>
      </c>
      <c r="B12" s="76">
        <v>0.46597222222222223</v>
      </c>
      <c r="C12" s="76">
        <v>0.4680555555555555</v>
      </c>
      <c r="D12" s="71"/>
    </row>
    <row r="13" spans="1:11" ht="30" customHeight="1" x14ac:dyDescent="0.25">
      <c r="A13" s="29">
        <v>2</v>
      </c>
      <c r="B13" s="76">
        <v>0.46666666666666662</v>
      </c>
      <c r="C13" s="76">
        <v>0.46875</v>
      </c>
      <c r="D13" s="71"/>
    </row>
    <row r="14" spans="1:11" ht="30" customHeight="1" x14ac:dyDescent="0.25">
      <c r="A14" s="29">
        <v>4</v>
      </c>
      <c r="B14" s="76">
        <v>0.4680555555555555</v>
      </c>
      <c r="C14" s="76">
        <v>0.47013888888888888</v>
      </c>
      <c r="D14" s="71"/>
    </row>
    <row r="15" spans="1:11" ht="30" customHeight="1" x14ac:dyDescent="0.25">
      <c r="A15" s="29">
        <v>3</v>
      </c>
      <c r="B15" s="76">
        <v>0.4680555555555555</v>
      </c>
      <c r="C15" s="76">
        <v>0.47083333333333338</v>
      </c>
      <c r="D15" s="71"/>
    </row>
    <row r="16" spans="1:11" ht="30" customHeight="1" x14ac:dyDescent="0.25">
      <c r="A16" s="29">
        <v>5</v>
      </c>
      <c r="B16" s="76">
        <v>0.46875</v>
      </c>
      <c r="C16" s="76">
        <v>0.47152777777777777</v>
      </c>
      <c r="D16" s="71"/>
    </row>
    <row r="17" spans="1:4" ht="30" customHeight="1" x14ac:dyDescent="0.25">
      <c r="A17" s="29">
        <v>6</v>
      </c>
      <c r="B17" s="76">
        <v>0.4694444444444445</v>
      </c>
      <c r="C17" s="76">
        <v>0.47222222222222227</v>
      </c>
      <c r="D17" s="71"/>
    </row>
    <row r="18" spans="1:4" ht="30" customHeight="1" x14ac:dyDescent="0.25">
      <c r="A18" s="29">
        <v>7</v>
      </c>
      <c r="B18" s="76">
        <v>0.47013888888888888</v>
      </c>
      <c r="C18" s="76">
        <v>0.47291666666666665</v>
      </c>
      <c r="D18" s="71"/>
    </row>
    <row r="19" spans="1:4" ht="30" customHeight="1" x14ac:dyDescent="0.25">
      <c r="A19" s="29">
        <v>8</v>
      </c>
      <c r="B19" s="76">
        <v>0.47083333333333338</v>
      </c>
      <c r="C19" s="76">
        <v>0.47361111111111115</v>
      </c>
      <c r="D19" s="71"/>
    </row>
    <row r="20" spans="1:4" ht="30" customHeight="1" x14ac:dyDescent="0.25">
      <c r="A20" s="29">
        <v>9</v>
      </c>
      <c r="B20" s="76">
        <v>0.47152777777777777</v>
      </c>
      <c r="C20" s="76">
        <v>0.47430555555555554</v>
      </c>
      <c r="D20" s="71"/>
    </row>
    <row r="21" spans="1:4" ht="30" customHeight="1" x14ac:dyDescent="0.25">
      <c r="A21" s="29">
        <v>10</v>
      </c>
      <c r="B21" s="76">
        <v>0.47152777777777777</v>
      </c>
      <c r="C21" s="76">
        <v>0.47500000000000003</v>
      </c>
      <c r="D21" s="71"/>
    </row>
    <row r="22" spans="1:4" ht="30" customHeight="1" x14ac:dyDescent="0.25">
      <c r="A22" s="29">
        <v>11</v>
      </c>
      <c r="B22" s="76">
        <v>0.47222222222222227</v>
      </c>
      <c r="C22" s="76">
        <v>0.47569444444444442</v>
      </c>
      <c r="D22" s="71"/>
    </row>
    <row r="23" spans="1:4" ht="30" customHeight="1" x14ac:dyDescent="0.25">
      <c r="A23" s="29">
        <v>12</v>
      </c>
      <c r="B23" s="76">
        <v>0.47361111111111115</v>
      </c>
      <c r="C23" s="76">
        <v>0.47638888888888892</v>
      </c>
      <c r="D23" s="71"/>
    </row>
    <row r="24" spans="1:4" ht="30" customHeight="1" x14ac:dyDescent="0.25">
      <c r="A24" s="29">
        <v>13</v>
      </c>
      <c r="B24" s="76">
        <v>0.47430555555555554</v>
      </c>
      <c r="C24" s="76">
        <v>0.4770833333333333</v>
      </c>
      <c r="D24" s="71"/>
    </row>
    <row r="25" spans="1:4" ht="30" customHeight="1" x14ac:dyDescent="0.25">
      <c r="A25" s="29">
        <v>14</v>
      </c>
      <c r="B25" s="76">
        <v>0.47500000000000003</v>
      </c>
      <c r="C25" s="76">
        <v>0.4777777777777778</v>
      </c>
      <c r="D25" s="71"/>
    </row>
    <row r="26" spans="1:4" ht="30" customHeight="1" x14ac:dyDescent="0.25">
      <c r="A26" s="29">
        <v>16</v>
      </c>
      <c r="B26" s="76">
        <v>0.47569444444444442</v>
      </c>
      <c r="C26" s="76">
        <v>0.47847222222222219</v>
      </c>
      <c r="D26" s="71"/>
    </row>
    <row r="27" spans="1:4" ht="30" customHeight="1" x14ac:dyDescent="0.25">
      <c r="A27" s="29">
        <v>17</v>
      </c>
      <c r="B27" s="76">
        <v>0.47638888888888892</v>
      </c>
      <c r="C27" s="76">
        <v>0.47916666666666669</v>
      </c>
      <c r="D27" s="71"/>
    </row>
    <row r="28" spans="1:4" ht="30" customHeight="1" x14ac:dyDescent="0.25">
      <c r="A28" s="29">
        <v>18</v>
      </c>
      <c r="B28" s="76">
        <v>0.4770833333333333</v>
      </c>
      <c r="C28" s="76">
        <v>0.47986111111111113</v>
      </c>
      <c r="D28" s="71"/>
    </row>
    <row r="29" spans="1:4" ht="30" customHeight="1" x14ac:dyDescent="0.25">
      <c r="A29" s="29">
        <v>20</v>
      </c>
      <c r="B29" s="76">
        <v>0.4777777777777778</v>
      </c>
      <c r="C29" s="76">
        <v>0.48055555555555557</v>
      </c>
      <c r="D29" s="71"/>
    </row>
    <row r="30" spans="1:4" ht="30" customHeight="1" x14ac:dyDescent="0.25">
      <c r="A30" s="29">
        <v>22</v>
      </c>
      <c r="B30" s="76">
        <v>0.47847222222222219</v>
      </c>
      <c r="C30" s="76">
        <v>0.48125000000000001</v>
      </c>
      <c r="D30" s="71"/>
    </row>
    <row r="31" spans="1:4" ht="30" customHeight="1" x14ac:dyDescent="0.25">
      <c r="A31" s="29">
        <v>21</v>
      </c>
      <c r="B31" s="76">
        <v>0.47916666666666669</v>
      </c>
      <c r="C31" s="76">
        <v>0.48194444444444445</v>
      </c>
      <c r="D31" s="71"/>
    </row>
    <row r="32" spans="1:4" ht="30" customHeight="1" x14ac:dyDescent="0.25">
      <c r="A32" s="29">
        <v>23</v>
      </c>
      <c r="B32" s="76">
        <v>0.47986111111111113</v>
      </c>
      <c r="C32" s="76">
        <v>0.4826388888888889</v>
      </c>
      <c r="D32" s="71"/>
    </row>
    <row r="33" spans="1:4" ht="30" customHeight="1" x14ac:dyDescent="0.25">
      <c r="A33" s="29">
        <v>24</v>
      </c>
      <c r="B33" s="76">
        <v>0.48055555555555557</v>
      </c>
      <c r="C33" s="76">
        <v>0.48333333333333334</v>
      </c>
      <c r="D33" s="71"/>
    </row>
    <row r="34" spans="1:4" ht="30" customHeight="1" x14ac:dyDescent="0.25">
      <c r="A34" s="29">
        <v>25</v>
      </c>
      <c r="B34" s="76">
        <v>0.48125000000000001</v>
      </c>
      <c r="C34" s="76">
        <v>0.48402777777777778</v>
      </c>
      <c r="D34" s="71"/>
    </row>
    <row r="35" spans="1:4" ht="30" customHeight="1" x14ac:dyDescent="0.25">
      <c r="A35" s="29">
        <v>26</v>
      </c>
      <c r="B35" s="76">
        <v>0.48194444444444445</v>
      </c>
      <c r="C35" s="76">
        <v>0.48472222222222222</v>
      </c>
      <c r="D35" s="71"/>
    </row>
    <row r="36" spans="1:4" ht="30" customHeight="1" x14ac:dyDescent="0.25">
      <c r="A36" s="29">
        <v>29</v>
      </c>
      <c r="B36" s="76">
        <v>0.4826388888888889</v>
      </c>
      <c r="C36" s="76">
        <v>0.48541666666666666</v>
      </c>
      <c r="D36" s="71"/>
    </row>
    <row r="37" spans="1:4" ht="30" customHeight="1" x14ac:dyDescent="0.25">
      <c r="A37" s="29">
        <v>30</v>
      </c>
      <c r="B37" s="76">
        <v>0.48333333333333334</v>
      </c>
      <c r="C37" s="76">
        <v>0.4861111111111111</v>
      </c>
      <c r="D37" s="71"/>
    </row>
    <row r="38" spans="1:4" ht="30" customHeight="1" x14ac:dyDescent="0.25">
      <c r="A38" s="29">
        <v>31</v>
      </c>
      <c r="B38" s="76">
        <v>0.48402777777777778</v>
      </c>
      <c r="C38" s="76">
        <v>0.48680555555555555</v>
      </c>
      <c r="D38" s="71"/>
    </row>
    <row r="39" spans="1:4" ht="30" customHeight="1" x14ac:dyDescent="0.25">
      <c r="A39" s="29">
        <v>32</v>
      </c>
      <c r="B39" s="76">
        <v>0.48472222222222222</v>
      </c>
      <c r="C39" s="76">
        <v>0.48749999999999999</v>
      </c>
      <c r="D39" s="71"/>
    </row>
    <row r="40" spans="1:4" ht="30" customHeight="1" x14ac:dyDescent="0.25">
      <c r="A40" s="29">
        <v>33</v>
      </c>
      <c r="B40" s="76">
        <v>0.48541666666666666</v>
      </c>
      <c r="C40" s="76">
        <v>0.48819444444444443</v>
      </c>
      <c r="D40" s="71"/>
    </row>
    <row r="41" spans="1:4" ht="30" customHeight="1" x14ac:dyDescent="0.25">
      <c r="A41" s="29">
        <v>34</v>
      </c>
      <c r="B41" s="76">
        <v>0.48541666666666666</v>
      </c>
      <c r="C41" s="76">
        <v>0.48888888888888887</v>
      </c>
      <c r="D41" s="71"/>
    </row>
    <row r="42" spans="1:4" ht="30" customHeight="1" x14ac:dyDescent="0.25">
      <c r="A42" s="29">
        <v>35</v>
      </c>
      <c r="B42" s="76">
        <v>0.4861111111111111</v>
      </c>
      <c r="C42" s="76">
        <v>0.48958333333333331</v>
      </c>
      <c r="D42" s="71"/>
    </row>
    <row r="43" spans="1:4" ht="30" customHeight="1" x14ac:dyDescent="0.25">
      <c r="A43" s="29">
        <v>38</v>
      </c>
      <c r="B43" s="76">
        <v>0.48749999999999999</v>
      </c>
      <c r="C43" s="76">
        <v>0.49027777777777781</v>
      </c>
      <c r="D43" s="71"/>
    </row>
    <row r="44" spans="1:4" ht="30" customHeight="1" x14ac:dyDescent="0.25">
      <c r="A44" s="29">
        <v>37</v>
      </c>
      <c r="B44" s="76">
        <v>0.48749999999999999</v>
      </c>
      <c r="C44" s="76">
        <v>0.4909722222222222</v>
      </c>
      <c r="D44" s="71"/>
    </row>
    <row r="45" spans="1:4" ht="30" customHeight="1" x14ac:dyDescent="0.25">
      <c r="A45" s="29">
        <v>39</v>
      </c>
      <c r="B45" s="76">
        <v>0.48819444444444443</v>
      </c>
      <c r="C45" s="76">
        <v>0.4916666666666667</v>
      </c>
      <c r="D45" s="71"/>
    </row>
    <row r="46" spans="1:4" ht="30" customHeight="1" x14ac:dyDescent="0.25">
      <c r="A46" s="29">
        <v>40</v>
      </c>
      <c r="B46" s="76">
        <v>0.48958333333333331</v>
      </c>
      <c r="C46" s="76">
        <v>0.49236111111111108</v>
      </c>
      <c r="D46" s="71"/>
    </row>
    <row r="47" spans="1:4" ht="30" customHeight="1" x14ac:dyDescent="0.25">
      <c r="A47" s="29">
        <v>41</v>
      </c>
      <c r="B47" s="76">
        <v>0.49027777777777781</v>
      </c>
      <c r="C47" s="76">
        <v>0.49305555555555558</v>
      </c>
      <c r="D47" s="71"/>
    </row>
    <row r="48" spans="1:4" ht="30" customHeight="1" x14ac:dyDescent="0.25">
      <c r="A48" s="29">
        <v>42</v>
      </c>
      <c r="B48" s="76">
        <v>0.49027777777777781</v>
      </c>
      <c r="C48" s="76">
        <v>0.49374999999999997</v>
      </c>
      <c r="D48" s="71"/>
    </row>
    <row r="49" spans="1:4" ht="30" customHeight="1" x14ac:dyDescent="0.25">
      <c r="A49" s="29">
        <v>44</v>
      </c>
      <c r="B49" s="76">
        <v>0.4909722222222222</v>
      </c>
      <c r="C49" s="76">
        <v>0.49444444444444446</v>
      </c>
      <c r="D49" s="71"/>
    </row>
    <row r="50" spans="1:4" ht="30" customHeight="1" x14ac:dyDescent="0.25">
      <c r="A50" s="29">
        <v>43</v>
      </c>
      <c r="B50" s="76">
        <v>0.4916666666666667</v>
      </c>
      <c r="C50" s="76">
        <v>0.49513888888888885</v>
      </c>
      <c r="D50" s="71"/>
    </row>
    <row r="51" spans="1:4" ht="30" customHeight="1" x14ac:dyDescent="0.25">
      <c r="A51" s="29">
        <v>45</v>
      </c>
      <c r="B51" s="76">
        <v>0.49305555555555558</v>
      </c>
      <c r="C51" s="76">
        <v>0.49583333333333335</v>
      </c>
      <c r="D51" s="71"/>
    </row>
    <row r="52" spans="1:4" ht="30" customHeight="1" x14ac:dyDescent="0.25">
      <c r="A52" s="29">
        <v>47</v>
      </c>
      <c r="B52" s="76">
        <v>0.49374999999999997</v>
      </c>
      <c r="C52" s="76">
        <v>0.49652777777777773</v>
      </c>
      <c r="D52" s="71"/>
    </row>
    <row r="53" spans="1:4" ht="30" customHeight="1" x14ac:dyDescent="0.25">
      <c r="A53" s="29">
        <v>36</v>
      </c>
      <c r="B53" s="76">
        <v>0.49444444444444446</v>
      </c>
      <c r="C53" s="76">
        <v>0.49722222222222223</v>
      </c>
      <c r="D53" s="71"/>
    </row>
    <row r="54" spans="1:4" ht="30" customHeight="1" x14ac:dyDescent="0.25">
      <c r="A54" s="29"/>
      <c r="B54" s="76"/>
      <c r="C54" s="76"/>
      <c r="D54" s="71"/>
    </row>
    <row r="55" spans="1:4" ht="30" customHeight="1" x14ac:dyDescent="0.25">
      <c r="A55" s="29"/>
      <c r="B55" s="76"/>
      <c r="C55" s="76"/>
      <c r="D55" s="71"/>
    </row>
    <row r="56" spans="1:4" ht="30" customHeight="1" x14ac:dyDescent="0.25">
      <c r="A56" s="29"/>
      <c r="B56" s="76"/>
      <c r="C56" s="76"/>
      <c r="D56" s="71"/>
    </row>
    <row r="57" spans="1:4" ht="30" customHeight="1" x14ac:dyDescent="0.25">
      <c r="A57" s="29"/>
      <c r="B57" s="76"/>
      <c r="C57" s="76"/>
      <c r="D57" s="71"/>
    </row>
    <row r="58" spans="1:4" ht="30" customHeight="1" x14ac:dyDescent="0.25">
      <c r="A58" s="29"/>
      <c r="B58" s="76"/>
      <c r="C58" s="76"/>
      <c r="D58" s="71"/>
    </row>
    <row r="59" spans="1:4" ht="30" customHeight="1" x14ac:dyDescent="0.25">
      <c r="A59" s="29"/>
      <c r="B59" s="76"/>
      <c r="C59" s="76"/>
      <c r="D59" s="71"/>
    </row>
    <row r="60" spans="1:4" ht="30" customHeight="1" x14ac:dyDescent="0.25">
      <c r="A60" s="29"/>
      <c r="B60" s="76"/>
      <c r="C60" s="76"/>
      <c r="D60" s="71"/>
    </row>
    <row r="61" spans="1:4" ht="30" customHeight="1" x14ac:dyDescent="0.25">
      <c r="A61" s="29"/>
      <c r="B61" s="76"/>
      <c r="C61" s="76"/>
      <c r="D61" s="71"/>
    </row>
    <row r="62" spans="1:4" ht="30" customHeight="1" x14ac:dyDescent="0.25">
      <c r="A62" s="29"/>
      <c r="B62" s="76"/>
      <c r="C62" s="76"/>
      <c r="D62" s="71"/>
    </row>
    <row r="63" spans="1:4" ht="30" customHeight="1" x14ac:dyDescent="0.25">
      <c r="A63" s="29"/>
      <c r="B63" s="76"/>
      <c r="C63" s="76"/>
      <c r="D63" s="71"/>
    </row>
    <row r="64" spans="1:4" ht="30" customHeight="1" x14ac:dyDescent="0.25">
      <c r="A64" s="29"/>
      <c r="B64" s="76"/>
      <c r="C64" s="76"/>
      <c r="D64" s="71"/>
    </row>
    <row r="65" spans="1:4" ht="30" customHeight="1" x14ac:dyDescent="0.25">
      <c r="A65" s="29"/>
      <c r="B65" s="76"/>
      <c r="C65" s="76"/>
      <c r="D65" s="71"/>
    </row>
    <row r="66" spans="1:4" ht="30" customHeight="1" x14ac:dyDescent="0.25">
      <c r="A66" s="29"/>
      <c r="B66" s="76"/>
      <c r="C66" s="76"/>
      <c r="D66" s="71"/>
    </row>
  </sheetData>
  <sheetProtection sheet="1" objects="1" scenarios="1"/>
  <mergeCells count="1">
    <mergeCell ref="A7:D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00B0F0"/>
  </sheetPr>
  <dimension ref="A1:K66"/>
  <sheetViews>
    <sheetView view="pageBreakPreview" topLeftCell="A43" zoomScale="85" zoomScaleSheetLayoutView="85" workbookViewId="0">
      <selection activeCell="C10" sqref="C10:D10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766</v>
      </c>
      <c r="C2" s="273" t="s">
        <v>387</v>
      </c>
      <c r="D2" s="272" t="s">
        <v>569</v>
      </c>
    </row>
    <row r="3" spans="1:11" s="261" customFormat="1" ht="21" customHeight="1" x14ac:dyDescent="0.25">
      <c r="A3" s="274" t="s">
        <v>92</v>
      </c>
      <c r="B3" s="272">
        <v>0.45555555638339784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0.504166667494509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36" x14ac:dyDescent="0.25">
      <c r="A7" s="736" t="s">
        <v>638</v>
      </c>
      <c r="B7" s="736"/>
      <c r="C7" s="736"/>
      <c r="D7" s="736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102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0.4680555555555555</v>
      </c>
      <c r="C10" s="726"/>
      <c r="D10" s="727"/>
    </row>
    <row r="11" spans="1:11" ht="30" customHeight="1" x14ac:dyDescent="0.25">
      <c r="A11" s="29">
        <v>2</v>
      </c>
      <c r="B11" s="76">
        <v>0.46875</v>
      </c>
      <c r="C11" s="726"/>
      <c r="D11" s="727"/>
    </row>
    <row r="12" spans="1:11" ht="30" customHeight="1" x14ac:dyDescent="0.25">
      <c r="A12" s="29">
        <v>4</v>
      </c>
      <c r="B12" s="76">
        <v>0.47013888888888888</v>
      </c>
      <c r="C12" s="726"/>
      <c r="D12" s="727"/>
    </row>
    <row r="13" spans="1:11" ht="30" customHeight="1" x14ac:dyDescent="0.25">
      <c r="A13" s="29">
        <v>3</v>
      </c>
      <c r="B13" s="76">
        <v>0.47083333333333338</v>
      </c>
      <c r="C13" s="726"/>
      <c r="D13" s="727"/>
    </row>
    <row r="14" spans="1:11" ht="30" customHeight="1" x14ac:dyDescent="0.25">
      <c r="A14" s="29">
        <v>5</v>
      </c>
      <c r="B14" s="76">
        <v>0.47152777777777777</v>
      </c>
      <c r="C14" s="726"/>
      <c r="D14" s="727"/>
    </row>
    <row r="15" spans="1:11" ht="30" customHeight="1" x14ac:dyDescent="0.25">
      <c r="A15" s="29">
        <v>6</v>
      </c>
      <c r="B15" s="76">
        <v>0.47222222222222227</v>
      </c>
      <c r="C15" s="726"/>
      <c r="D15" s="727"/>
    </row>
    <row r="16" spans="1:11" ht="30" customHeight="1" x14ac:dyDescent="0.25">
      <c r="A16" s="29">
        <v>7</v>
      </c>
      <c r="B16" s="76">
        <v>0.47291666666666665</v>
      </c>
      <c r="C16" s="726"/>
      <c r="D16" s="727"/>
    </row>
    <row r="17" spans="1:4" ht="30" customHeight="1" x14ac:dyDescent="0.25">
      <c r="A17" s="29">
        <v>8</v>
      </c>
      <c r="B17" s="76">
        <v>0.47361111111111115</v>
      </c>
      <c r="C17" s="726"/>
      <c r="D17" s="727"/>
    </row>
    <row r="18" spans="1:4" ht="30" customHeight="1" x14ac:dyDescent="0.25">
      <c r="A18" s="29">
        <v>9</v>
      </c>
      <c r="B18" s="76">
        <v>0.47430555555555554</v>
      </c>
      <c r="C18" s="726"/>
      <c r="D18" s="727"/>
    </row>
    <row r="19" spans="1:4" ht="30" customHeight="1" x14ac:dyDescent="0.25">
      <c r="A19" s="29">
        <v>10</v>
      </c>
      <c r="B19" s="76">
        <v>0.47500000000000003</v>
      </c>
      <c r="C19" s="726"/>
      <c r="D19" s="727"/>
    </row>
    <row r="20" spans="1:4" ht="30" customHeight="1" x14ac:dyDescent="0.25">
      <c r="A20" s="29">
        <v>11</v>
      </c>
      <c r="B20" s="76">
        <v>0.47569444444444442</v>
      </c>
      <c r="C20" s="726"/>
      <c r="D20" s="727"/>
    </row>
    <row r="21" spans="1:4" ht="30" customHeight="1" x14ac:dyDescent="0.25">
      <c r="A21" s="29">
        <v>12</v>
      </c>
      <c r="B21" s="76">
        <v>0.47638888888888892</v>
      </c>
      <c r="C21" s="726"/>
      <c r="D21" s="727"/>
    </row>
    <row r="22" spans="1:4" ht="30" customHeight="1" x14ac:dyDescent="0.25">
      <c r="A22" s="29">
        <v>13</v>
      </c>
      <c r="B22" s="76">
        <v>0.4770833333333333</v>
      </c>
      <c r="C22" s="726"/>
      <c r="D22" s="727"/>
    </row>
    <row r="23" spans="1:4" ht="30" customHeight="1" x14ac:dyDescent="0.25">
      <c r="A23" s="29">
        <v>14</v>
      </c>
      <c r="B23" s="76">
        <v>0.4777777777777778</v>
      </c>
      <c r="C23" s="726"/>
      <c r="D23" s="727"/>
    </row>
    <row r="24" spans="1:4" ht="30" customHeight="1" x14ac:dyDescent="0.25">
      <c r="A24" s="29">
        <v>16</v>
      </c>
      <c r="B24" s="76">
        <v>0.47847222222222219</v>
      </c>
      <c r="C24" s="726"/>
      <c r="D24" s="727"/>
    </row>
    <row r="25" spans="1:4" ht="30" customHeight="1" x14ac:dyDescent="0.25">
      <c r="A25" s="29">
        <v>17</v>
      </c>
      <c r="B25" s="76">
        <v>0.47916666666666669</v>
      </c>
      <c r="C25" s="726"/>
      <c r="D25" s="727"/>
    </row>
    <row r="26" spans="1:4" ht="30" customHeight="1" x14ac:dyDescent="0.25">
      <c r="A26" s="29">
        <v>18</v>
      </c>
      <c r="B26" s="76">
        <v>0.47986111111111113</v>
      </c>
      <c r="C26" s="726"/>
      <c r="D26" s="727"/>
    </row>
    <row r="27" spans="1:4" ht="30" customHeight="1" x14ac:dyDescent="0.25">
      <c r="A27" s="29">
        <v>20</v>
      </c>
      <c r="B27" s="76">
        <v>0.48055555555555557</v>
      </c>
      <c r="C27" s="726"/>
      <c r="D27" s="727"/>
    </row>
    <row r="28" spans="1:4" ht="30" customHeight="1" x14ac:dyDescent="0.25">
      <c r="A28" s="29">
        <v>22</v>
      </c>
      <c r="B28" s="76">
        <v>0.48125000000000001</v>
      </c>
      <c r="C28" s="726"/>
      <c r="D28" s="727"/>
    </row>
    <row r="29" spans="1:4" ht="30" customHeight="1" x14ac:dyDescent="0.25">
      <c r="A29" s="29">
        <v>21</v>
      </c>
      <c r="B29" s="76">
        <v>0.48194444444444445</v>
      </c>
      <c r="C29" s="726"/>
      <c r="D29" s="727"/>
    </row>
    <row r="30" spans="1:4" ht="30" customHeight="1" x14ac:dyDescent="0.25">
      <c r="A30" s="29">
        <v>23</v>
      </c>
      <c r="B30" s="76">
        <v>0.4826388888888889</v>
      </c>
      <c r="C30" s="726"/>
      <c r="D30" s="727"/>
    </row>
    <row r="31" spans="1:4" ht="30" customHeight="1" x14ac:dyDescent="0.25">
      <c r="A31" s="29">
        <v>24</v>
      </c>
      <c r="B31" s="76">
        <v>0.48333333333333334</v>
      </c>
      <c r="C31" s="726"/>
      <c r="D31" s="727"/>
    </row>
    <row r="32" spans="1:4" ht="30" customHeight="1" x14ac:dyDescent="0.25">
      <c r="A32" s="29">
        <v>25</v>
      </c>
      <c r="B32" s="76">
        <v>0.48402777777777778</v>
      </c>
      <c r="C32" s="726"/>
      <c r="D32" s="727"/>
    </row>
    <row r="33" spans="1:4" ht="30" customHeight="1" x14ac:dyDescent="0.25">
      <c r="A33" s="29">
        <v>26</v>
      </c>
      <c r="B33" s="76">
        <v>0.48472222222222222</v>
      </c>
      <c r="C33" s="726"/>
      <c r="D33" s="727"/>
    </row>
    <row r="34" spans="1:4" ht="30" customHeight="1" x14ac:dyDescent="0.25">
      <c r="A34" s="29">
        <v>29</v>
      </c>
      <c r="B34" s="76">
        <v>0.48541666666666666</v>
      </c>
      <c r="C34" s="726"/>
      <c r="D34" s="727"/>
    </row>
    <row r="35" spans="1:4" ht="30" customHeight="1" x14ac:dyDescent="0.25">
      <c r="A35" s="29">
        <v>30</v>
      </c>
      <c r="B35" s="76">
        <v>0.4861111111111111</v>
      </c>
      <c r="C35" s="726"/>
      <c r="D35" s="727"/>
    </row>
    <row r="36" spans="1:4" ht="30" customHeight="1" x14ac:dyDescent="0.25">
      <c r="A36" s="29">
        <v>31</v>
      </c>
      <c r="B36" s="76">
        <v>0.48680555555555555</v>
      </c>
      <c r="C36" s="726"/>
      <c r="D36" s="727"/>
    </row>
    <row r="37" spans="1:4" ht="30" customHeight="1" x14ac:dyDescent="0.25">
      <c r="A37" s="29">
        <v>32</v>
      </c>
      <c r="B37" s="76">
        <v>0.48749999999999999</v>
      </c>
      <c r="C37" s="726"/>
      <c r="D37" s="727"/>
    </row>
    <row r="38" spans="1:4" ht="30" customHeight="1" x14ac:dyDescent="0.25">
      <c r="A38" s="29">
        <v>33</v>
      </c>
      <c r="B38" s="76">
        <v>0.48819444444444443</v>
      </c>
      <c r="C38" s="726"/>
      <c r="D38" s="727"/>
    </row>
    <row r="39" spans="1:4" ht="30" customHeight="1" x14ac:dyDescent="0.25">
      <c r="A39" s="29">
        <v>34</v>
      </c>
      <c r="B39" s="76">
        <v>0.48888888888888887</v>
      </c>
      <c r="C39" s="726"/>
      <c r="D39" s="727"/>
    </row>
    <row r="40" spans="1:4" ht="30" customHeight="1" x14ac:dyDescent="0.25">
      <c r="A40" s="29">
        <v>35</v>
      </c>
      <c r="B40" s="76">
        <v>0.48958333333333331</v>
      </c>
      <c r="C40" s="726"/>
      <c r="D40" s="727"/>
    </row>
    <row r="41" spans="1:4" ht="30" customHeight="1" x14ac:dyDescent="0.25">
      <c r="A41" s="29">
        <v>38</v>
      </c>
      <c r="B41" s="76">
        <v>0.49027777777777781</v>
      </c>
      <c r="C41" s="726"/>
      <c r="D41" s="727"/>
    </row>
    <row r="42" spans="1:4" ht="30" customHeight="1" x14ac:dyDescent="0.25">
      <c r="A42" s="29">
        <v>37</v>
      </c>
      <c r="B42" s="76">
        <v>0.4909722222222222</v>
      </c>
      <c r="C42" s="726"/>
      <c r="D42" s="727"/>
    </row>
    <row r="43" spans="1:4" ht="30" customHeight="1" x14ac:dyDescent="0.25">
      <c r="A43" s="29">
        <v>39</v>
      </c>
      <c r="B43" s="76">
        <v>0.4916666666666667</v>
      </c>
      <c r="C43" s="726"/>
      <c r="D43" s="727"/>
    </row>
    <row r="44" spans="1:4" ht="30" customHeight="1" x14ac:dyDescent="0.25">
      <c r="A44" s="29">
        <v>40</v>
      </c>
      <c r="B44" s="76">
        <v>0.49236111111111108</v>
      </c>
      <c r="C44" s="726"/>
      <c r="D44" s="727"/>
    </row>
    <row r="45" spans="1:4" ht="30" customHeight="1" x14ac:dyDescent="0.25">
      <c r="A45" s="29">
        <v>41</v>
      </c>
      <c r="B45" s="76">
        <v>0.49305555555555558</v>
      </c>
      <c r="C45" s="726"/>
      <c r="D45" s="727"/>
    </row>
    <row r="46" spans="1:4" ht="30" customHeight="1" x14ac:dyDescent="0.25">
      <c r="A46" s="29">
        <v>42</v>
      </c>
      <c r="B46" s="76">
        <v>0.49374999999999997</v>
      </c>
      <c r="C46" s="726"/>
      <c r="D46" s="727"/>
    </row>
    <row r="47" spans="1:4" ht="30" customHeight="1" x14ac:dyDescent="0.25">
      <c r="A47" s="29">
        <v>44</v>
      </c>
      <c r="B47" s="76">
        <v>0.49444444444444446</v>
      </c>
      <c r="C47" s="726"/>
      <c r="D47" s="727"/>
    </row>
    <row r="48" spans="1:4" ht="30" customHeight="1" x14ac:dyDescent="0.25">
      <c r="A48" s="29">
        <v>43</v>
      </c>
      <c r="B48" s="76">
        <v>0.49513888888888885</v>
      </c>
      <c r="C48" s="726"/>
      <c r="D48" s="727"/>
    </row>
    <row r="49" spans="1:4" ht="30" customHeight="1" x14ac:dyDescent="0.25">
      <c r="A49" s="29">
        <v>45</v>
      </c>
      <c r="B49" s="76">
        <v>0.49652777777777773</v>
      </c>
      <c r="C49" s="726"/>
      <c r="D49" s="727"/>
    </row>
    <row r="50" spans="1:4" ht="30" customHeight="1" x14ac:dyDescent="0.25">
      <c r="A50" s="29">
        <v>47</v>
      </c>
      <c r="B50" s="76">
        <v>0.49722222222222223</v>
      </c>
      <c r="C50" s="726"/>
      <c r="D50" s="727"/>
    </row>
    <row r="51" spans="1:4" ht="30" customHeight="1" x14ac:dyDescent="0.25">
      <c r="A51" s="29">
        <v>36</v>
      </c>
      <c r="B51" s="76">
        <v>0.49791666666666662</v>
      </c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F0"/>
  </sheetPr>
  <dimension ref="A1:K66"/>
  <sheetViews>
    <sheetView view="pageBreakPreview" topLeftCell="A40" zoomScale="85" zoomScaleSheetLayoutView="85" workbookViewId="0">
      <selection activeCell="C51" sqref="C51:D5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566</v>
      </c>
      <c r="C2" s="273" t="s">
        <v>387</v>
      </c>
      <c r="D2" s="272" t="s">
        <v>570</v>
      </c>
    </row>
    <row r="3" spans="1:11" s="261" customFormat="1" ht="21" customHeight="1" x14ac:dyDescent="0.25">
      <c r="A3" s="274" t="s">
        <v>92</v>
      </c>
      <c r="B3" s="272">
        <v>0.46685908622699945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0.5154701973381105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496</v>
      </c>
      <c r="B7" s="725"/>
      <c r="C7" s="725"/>
      <c r="D7" s="725"/>
    </row>
    <row r="8" spans="1:11" s="268" customFormat="1" ht="21" customHeight="1" x14ac:dyDescent="0.25">
      <c r="A8" s="271" t="s">
        <v>404</v>
      </c>
      <c r="B8" s="270" t="s">
        <v>188</v>
      </c>
      <c r="C8" s="269"/>
      <c r="D8" s="269"/>
    </row>
    <row r="9" spans="1:11" ht="21" x14ac:dyDescent="0.25">
      <c r="A9" s="69" t="s">
        <v>0</v>
      </c>
      <c r="B9" s="70" t="s">
        <v>397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28">
        <v>0.47546296296296298</v>
      </c>
      <c r="C10" s="733"/>
      <c r="D10" s="734"/>
    </row>
    <row r="11" spans="1:11" ht="30" customHeight="1" x14ac:dyDescent="0.25">
      <c r="A11" s="29">
        <v>2</v>
      </c>
      <c r="B11" s="28">
        <v>0.47642361111111109</v>
      </c>
      <c r="C11" s="733"/>
      <c r="D11" s="734"/>
    </row>
    <row r="12" spans="1:11" ht="30" customHeight="1" x14ac:dyDescent="0.25">
      <c r="A12" s="29">
        <v>4</v>
      </c>
      <c r="B12" s="28">
        <v>0.47767361111111112</v>
      </c>
      <c r="C12" s="733"/>
      <c r="D12" s="734"/>
    </row>
    <row r="13" spans="1:11" ht="30" customHeight="1" x14ac:dyDescent="0.25">
      <c r="A13" s="29">
        <v>5</v>
      </c>
      <c r="B13" s="28">
        <v>0.47881944444444446</v>
      </c>
      <c r="C13" s="733"/>
      <c r="D13" s="734"/>
    </row>
    <row r="14" spans="1:11" ht="30" customHeight="1" x14ac:dyDescent="0.25">
      <c r="A14" s="29">
        <v>6</v>
      </c>
      <c r="B14" s="28">
        <v>0.48026620370370371</v>
      </c>
      <c r="C14" s="733"/>
      <c r="D14" s="734"/>
    </row>
    <row r="15" spans="1:11" ht="30" customHeight="1" x14ac:dyDescent="0.25">
      <c r="A15" s="29">
        <v>7</v>
      </c>
      <c r="B15" s="28">
        <v>0.48079861111111111</v>
      </c>
      <c r="C15" s="733"/>
      <c r="D15" s="734"/>
    </row>
    <row r="16" spans="1:11" ht="30" customHeight="1" x14ac:dyDescent="0.25">
      <c r="A16" s="29">
        <v>8</v>
      </c>
      <c r="B16" s="28">
        <v>0.48092592592592592</v>
      </c>
      <c r="C16" s="733"/>
      <c r="D16" s="734"/>
    </row>
    <row r="17" spans="1:4" ht="30" customHeight="1" x14ac:dyDescent="0.25">
      <c r="A17" s="29">
        <v>9</v>
      </c>
      <c r="B17" s="28">
        <v>0.48202546296296295</v>
      </c>
      <c r="C17" s="733" t="s">
        <v>871</v>
      </c>
      <c r="D17" s="734"/>
    </row>
    <row r="18" spans="1:4" ht="30" customHeight="1" x14ac:dyDescent="0.25">
      <c r="A18" s="29">
        <v>10</v>
      </c>
      <c r="B18" s="28">
        <v>0.48281250000000003</v>
      </c>
      <c r="C18" s="733"/>
      <c r="D18" s="734"/>
    </row>
    <row r="19" spans="1:4" ht="30" customHeight="1" x14ac:dyDescent="0.25">
      <c r="A19" s="29">
        <v>12</v>
      </c>
      <c r="B19" s="28">
        <v>0.48381944444444441</v>
      </c>
      <c r="C19" s="733"/>
      <c r="D19" s="734"/>
    </row>
    <row r="20" spans="1:4" ht="30" customHeight="1" x14ac:dyDescent="0.25">
      <c r="A20" s="29">
        <v>13</v>
      </c>
      <c r="B20" s="28">
        <v>0.48527777777777775</v>
      </c>
      <c r="C20" s="733"/>
      <c r="D20" s="734"/>
    </row>
    <row r="21" spans="1:4" ht="30" customHeight="1" x14ac:dyDescent="0.25">
      <c r="A21" s="29">
        <v>11</v>
      </c>
      <c r="B21" s="28">
        <v>0.48598379629629629</v>
      </c>
      <c r="C21" s="733"/>
      <c r="D21" s="734"/>
    </row>
    <row r="22" spans="1:4" ht="30" customHeight="1" x14ac:dyDescent="0.25">
      <c r="A22" s="29">
        <v>16</v>
      </c>
      <c r="B22" s="28">
        <v>0.4863425925925926</v>
      </c>
      <c r="C22" s="733"/>
      <c r="D22" s="734"/>
    </row>
    <row r="23" spans="1:4" ht="30" customHeight="1" x14ac:dyDescent="0.25">
      <c r="A23" s="29">
        <v>14</v>
      </c>
      <c r="B23" s="28">
        <v>0.48692129629629632</v>
      </c>
      <c r="C23" s="733"/>
      <c r="D23" s="734"/>
    </row>
    <row r="24" spans="1:4" ht="30" customHeight="1" x14ac:dyDescent="0.25">
      <c r="A24" s="29">
        <v>17</v>
      </c>
      <c r="B24" s="28">
        <v>0.48771990740740739</v>
      </c>
      <c r="C24" s="733"/>
      <c r="D24" s="734"/>
    </row>
    <row r="25" spans="1:4" ht="30" customHeight="1" x14ac:dyDescent="0.25">
      <c r="A25" s="29">
        <v>18</v>
      </c>
      <c r="B25" s="28">
        <v>0.48796296296296293</v>
      </c>
      <c r="C25" s="733"/>
      <c r="D25" s="734"/>
    </row>
    <row r="26" spans="1:4" ht="30" customHeight="1" x14ac:dyDescent="0.25">
      <c r="A26" s="29">
        <v>20</v>
      </c>
      <c r="B26" s="28">
        <v>0.48865740740740743</v>
      </c>
      <c r="C26" s="733"/>
      <c r="D26" s="734"/>
    </row>
    <row r="27" spans="1:4" ht="30" customHeight="1" x14ac:dyDescent="0.25">
      <c r="A27" s="29">
        <v>22</v>
      </c>
      <c r="B27" s="28">
        <v>0.48934027777777778</v>
      </c>
      <c r="C27" s="733"/>
      <c r="D27" s="734"/>
    </row>
    <row r="28" spans="1:4" ht="30" customHeight="1" x14ac:dyDescent="0.25">
      <c r="A28" s="29">
        <v>21</v>
      </c>
      <c r="B28" s="28">
        <v>0.48979166666666668</v>
      </c>
      <c r="C28" s="733"/>
      <c r="D28" s="734"/>
    </row>
    <row r="29" spans="1:4" ht="30" customHeight="1" x14ac:dyDescent="0.25">
      <c r="A29" s="29">
        <v>23</v>
      </c>
      <c r="B29" s="28">
        <v>0.49076388888888894</v>
      </c>
      <c r="C29" s="733"/>
      <c r="D29" s="734"/>
    </row>
    <row r="30" spans="1:4" ht="30" customHeight="1" x14ac:dyDescent="0.25">
      <c r="A30" s="29">
        <v>24</v>
      </c>
      <c r="B30" s="28">
        <v>0.49129629629629629</v>
      </c>
      <c r="C30" s="733"/>
      <c r="D30" s="734"/>
    </row>
    <row r="31" spans="1:4" ht="30" customHeight="1" x14ac:dyDescent="0.25">
      <c r="A31" s="29">
        <v>25</v>
      </c>
      <c r="B31" s="28">
        <v>0.49222222222222217</v>
      </c>
      <c r="C31" s="733"/>
      <c r="D31" s="734"/>
    </row>
    <row r="32" spans="1:4" ht="30" customHeight="1" x14ac:dyDescent="0.25">
      <c r="A32" s="29">
        <v>26</v>
      </c>
      <c r="B32" s="28">
        <v>0.4927199074074074</v>
      </c>
      <c r="C32" s="733"/>
      <c r="D32" s="734"/>
    </row>
    <row r="33" spans="1:4" ht="30" customHeight="1" x14ac:dyDescent="0.25">
      <c r="A33" s="29">
        <v>29</v>
      </c>
      <c r="B33" s="28">
        <v>0.49290509259259258</v>
      </c>
      <c r="C33" s="733"/>
      <c r="D33" s="734"/>
    </row>
    <row r="34" spans="1:4" ht="30" customHeight="1" x14ac:dyDescent="0.25">
      <c r="A34" s="29">
        <v>30</v>
      </c>
      <c r="B34" s="28">
        <v>0.49421296296296297</v>
      </c>
      <c r="C34" s="733"/>
      <c r="D34" s="734"/>
    </row>
    <row r="35" spans="1:4" ht="30" customHeight="1" x14ac:dyDescent="0.25">
      <c r="A35" s="29">
        <v>31</v>
      </c>
      <c r="B35" s="28">
        <v>0.49461805555555555</v>
      </c>
      <c r="C35" s="733"/>
      <c r="D35" s="734"/>
    </row>
    <row r="36" spans="1:4" ht="30" customHeight="1" x14ac:dyDescent="0.25">
      <c r="A36" s="29">
        <v>32</v>
      </c>
      <c r="B36" s="28">
        <v>0.49601851851851847</v>
      </c>
      <c r="C36" s="733"/>
      <c r="D36" s="734"/>
    </row>
    <row r="37" spans="1:4" ht="30" customHeight="1" x14ac:dyDescent="0.25">
      <c r="A37" s="29">
        <v>33</v>
      </c>
      <c r="B37" s="28">
        <v>0.49604166666666666</v>
      </c>
      <c r="C37" s="733"/>
      <c r="D37" s="734"/>
    </row>
    <row r="38" spans="1:4" ht="30" customHeight="1" x14ac:dyDescent="0.25">
      <c r="A38" s="29">
        <v>38</v>
      </c>
      <c r="B38" s="28">
        <v>0.49774305555555554</v>
      </c>
      <c r="C38" s="733"/>
      <c r="D38" s="734"/>
    </row>
    <row r="39" spans="1:4" ht="30" customHeight="1" x14ac:dyDescent="0.25">
      <c r="A39" s="29">
        <v>35</v>
      </c>
      <c r="B39" s="28">
        <v>0.49777777777777782</v>
      </c>
      <c r="C39" s="733"/>
      <c r="D39" s="734"/>
    </row>
    <row r="40" spans="1:4" ht="30" customHeight="1" x14ac:dyDescent="0.25">
      <c r="A40" s="29">
        <v>34</v>
      </c>
      <c r="B40" s="28">
        <v>0.49869212962962961</v>
      </c>
      <c r="C40" s="733"/>
      <c r="D40" s="734"/>
    </row>
    <row r="41" spans="1:4" ht="30" customHeight="1" x14ac:dyDescent="0.25">
      <c r="A41" s="29">
        <v>37</v>
      </c>
      <c r="B41" s="28">
        <v>0.50069444444444444</v>
      </c>
      <c r="C41" s="733"/>
      <c r="D41" s="734"/>
    </row>
    <row r="42" spans="1:4" ht="30" customHeight="1" x14ac:dyDescent="0.25">
      <c r="A42" s="29">
        <v>40</v>
      </c>
      <c r="B42" s="28">
        <v>0.50170138888888893</v>
      </c>
      <c r="C42" s="733"/>
      <c r="D42" s="734"/>
    </row>
    <row r="43" spans="1:4" ht="30" customHeight="1" x14ac:dyDescent="0.25">
      <c r="A43" s="29">
        <v>41</v>
      </c>
      <c r="B43" s="28">
        <v>0.50172453703703701</v>
      </c>
      <c r="C43" s="733"/>
      <c r="D43" s="734"/>
    </row>
    <row r="44" spans="1:4" ht="30" customHeight="1" x14ac:dyDescent="0.25">
      <c r="A44" s="29">
        <v>39</v>
      </c>
      <c r="B44" s="28">
        <v>0.50182870370370369</v>
      </c>
      <c r="C44" s="733"/>
      <c r="D44" s="734"/>
    </row>
    <row r="45" spans="1:4" ht="30" customHeight="1" x14ac:dyDescent="0.25">
      <c r="A45" s="29">
        <v>42</v>
      </c>
      <c r="B45" s="28">
        <v>0.5019675925925926</v>
      </c>
      <c r="C45" s="733"/>
      <c r="D45" s="734"/>
    </row>
    <row r="46" spans="1:4" ht="30" customHeight="1" x14ac:dyDescent="0.25">
      <c r="A46" s="29">
        <v>44</v>
      </c>
      <c r="B46" s="28">
        <v>0.50262731481481482</v>
      </c>
      <c r="C46" s="733"/>
      <c r="D46" s="734"/>
    </row>
    <row r="47" spans="1:4" ht="30" customHeight="1" x14ac:dyDescent="0.25">
      <c r="A47" s="29">
        <v>47</v>
      </c>
      <c r="B47" s="28">
        <v>0.50501157407407404</v>
      </c>
      <c r="C47" s="733" t="s">
        <v>872</v>
      </c>
      <c r="D47" s="734"/>
    </row>
    <row r="48" spans="1:4" ht="30" customHeight="1" x14ac:dyDescent="0.25">
      <c r="A48" s="29">
        <v>43</v>
      </c>
      <c r="B48" s="28">
        <v>0.50511574074074073</v>
      </c>
      <c r="C48" s="733"/>
      <c r="D48" s="734"/>
    </row>
    <row r="49" spans="1:4" ht="30" customHeight="1" x14ac:dyDescent="0.25">
      <c r="A49" s="29">
        <v>36</v>
      </c>
      <c r="B49" s="28">
        <v>0.50592592592592589</v>
      </c>
      <c r="C49" s="733"/>
      <c r="D49" s="734"/>
    </row>
    <row r="50" spans="1:4" ht="30" customHeight="1" x14ac:dyDescent="0.25">
      <c r="A50" s="29">
        <v>45</v>
      </c>
      <c r="B50" s="28">
        <v>0.50886574074074076</v>
      </c>
      <c r="C50" s="733"/>
      <c r="D50" s="734"/>
    </row>
    <row r="51" spans="1:4" ht="30" customHeight="1" x14ac:dyDescent="0.25">
      <c r="A51" s="29">
        <v>3</v>
      </c>
      <c r="B51" s="28">
        <v>0.51825231481481482</v>
      </c>
      <c r="C51" s="733"/>
      <c r="D51" s="734"/>
    </row>
    <row r="52" spans="1:4" ht="30" customHeight="1" x14ac:dyDescent="0.25">
      <c r="A52" s="29"/>
      <c r="B52" s="28"/>
      <c r="C52" s="733"/>
      <c r="D52" s="734"/>
    </row>
    <row r="53" spans="1:4" ht="30" customHeight="1" x14ac:dyDescent="0.25">
      <c r="A53" s="29"/>
      <c r="B53" s="28"/>
      <c r="C53" s="733"/>
      <c r="D53" s="734"/>
    </row>
    <row r="54" spans="1:4" ht="30" customHeight="1" x14ac:dyDescent="0.25">
      <c r="A54" s="29"/>
      <c r="B54" s="28"/>
      <c r="C54" s="733"/>
      <c r="D54" s="734"/>
    </row>
    <row r="55" spans="1:4" ht="30" customHeight="1" x14ac:dyDescent="0.25">
      <c r="A55" s="29"/>
      <c r="B55" s="28"/>
      <c r="C55" s="733"/>
      <c r="D55" s="734"/>
    </row>
    <row r="56" spans="1:4" ht="30" customHeight="1" x14ac:dyDescent="0.25">
      <c r="A56" s="29"/>
      <c r="B56" s="28"/>
      <c r="C56" s="733"/>
      <c r="D56" s="734"/>
    </row>
    <row r="57" spans="1:4" ht="30" customHeight="1" x14ac:dyDescent="0.25">
      <c r="A57" s="29"/>
      <c r="B57" s="28"/>
      <c r="C57" s="733"/>
      <c r="D57" s="734"/>
    </row>
    <row r="58" spans="1:4" ht="30" customHeight="1" x14ac:dyDescent="0.25">
      <c r="A58" s="29"/>
      <c r="B58" s="28"/>
      <c r="C58" s="733"/>
      <c r="D58" s="734"/>
    </row>
    <row r="59" spans="1:4" ht="30" customHeight="1" x14ac:dyDescent="0.25">
      <c r="A59" s="29"/>
      <c r="B59" s="28"/>
      <c r="C59" s="733"/>
      <c r="D59" s="734"/>
    </row>
    <row r="60" spans="1:4" ht="30" customHeight="1" x14ac:dyDescent="0.25">
      <c r="A60" s="29"/>
      <c r="B60" s="28"/>
      <c r="C60" s="733"/>
      <c r="D60" s="734"/>
    </row>
    <row r="61" spans="1:4" ht="30" customHeight="1" x14ac:dyDescent="0.25">
      <c r="A61" s="29"/>
      <c r="B61" s="28"/>
      <c r="C61" s="733"/>
      <c r="D61" s="734"/>
    </row>
    <row r="62" spans="1:4" ht="30" customHeight="1" x14ac:dyDescent="0.25">
      <c r="A62" s="29"/>
      <c r="B62" s="28"/>
      <c r="C62" s="733"/>
      <c r="D62" s="734"/>
    </row>
    <row r="63" spans="1:4" ht="30" customHeight="1" x14ac:dyDescent="0.25">
      <c r="A63" s="29"/>
      <c r="B63" s="28"/>
      <c r="C63" s="733"/>
      <c r="D63" s="734"/>
    </row>
    <row r="64" spans="1:4" ht="30" customHeight="1" x14ac:dyDescent="0.25">
      <c r="A64" s="29"/>
      <c r="B64" s="28"/>
      <c r="C64" s="733"/>
      <c r="D64" s="734"/>
    </row>
    <row r="65" spans="1:4" ht="30" customHeight="1" x14ac:dyDescent="0.25">
      <c r="A65" s="29"/>
      <c r="B65" s="28"/>
      <c r="C65" s="733"/>
      <c r="D65" s="734"/>
    </row>
    <row r="66" spans="1:4" ht="30" customHeight="1" x14ac:dyDescent="0.25">
      <c r="A66" s="29"/>
      <c r="B66" s="28"/>
      <c r="C66" s="733"/>
      <c r="D66" s="734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F0"/>
  </sheetPr>
  <dimension ref="A1:K66"/>
  <sheetViews>
    <sheetView view="pageBreakPreview" topLeftCell="A37" zoomScale="85" zoomScaleSheetLayoutView="85" workbookViewId="0">
      <selection activeCell="B49" sqref="B49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773</v>
      </c>
      <c r="C2" s="273" t="s">
        <v>387</v>
      </c>
      <c r="D2" s="272" t="s">
        <v>775</v>
      </c>
    </row>
    <row r="3" spans="1:11" s="261" customFormat="1" ht="21" customHeight="1" x14ac:dyDescent="0.25">
      <c r="A3" s="274" t="s">
        <v>92</v>
      </c>
      <c r="B3" s="272">
        <v>0.48027646515552658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0.52888757626663763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495</v>
      </c>
      <c r="B7" s="725"/>
      <c r="C7" s="725"/>
      <c r="D7" s="725"/>
    </row>
    <row r="8" spans="1:11" s="268" customFormat="1" ht="21" customHeight="1" x14ac:dyDescent="0.25">
      <c r="A8" s="271" t="s">
        <v>404</v>
      </c>
      <c r="B8" s="270" t="s">
        <v>188</v>
      </c>
      <c r="C8" s="269"/>
      <c r="D8" s="269"/>
    </row>
    <row r="9" spans="1:11" ht="21" x14ac:dyDescent="0.25">
      <c r="A9" s="69" t="s">
        <v>0</v>
      </c>
      <c r="B9" s="70" t="s">
        <v>397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28">
        <v>0.48972222222222223</v>
      </c>
      <c r="C10" s="733"/>
      <c r="D10" s="734"/>
    </row>
    <row r="11" spans="1:11" ht="30" customHeight="1" x14ac:dyDescent="0.25">
      <c r="A11" s="29">
        <v>2</v>
      </c>
      <c r="B11" s="28">
        <v>0.48993055555555554</v>
      </c>
      <c r="C11" s="733"/>
      <c r="D11" s="734"/>
    </row>
    <row r="12" spans="1:11" ht="30" customHeight="1" x14ac:dyDescent="0.25">
      <c r="A12" s="29">
        <v>5</v>
      </c>
      <c r="B12" s="28">
        <v>0.49105324074074069</v>
      </c>
      <c r="C12" s="733"/>
      <c r="D12" s="734"/>
    </row>
    <row r="13" spans="1:11" ht="30" customHeight="1" x14ac:dyDescent="0.25">
      <c r="A13" s="29">
        <v>4</v>
      </c>
      <c r="B13" s="28">
        <v>0.4918865740740741</v>
      </c>
      <c r="C13" s="733"/>
      <c r="D13" s="734"/>
    </row>
    <row r="14" spans="1:11" ht="30" customHeight="1" x14ac:dyDescent="0.25">
      <c r="A14" s="29">
        <v>6</v>
      </c>
      <c r="B14" s="28">
        <v>0.49432870370370369</v>
      </c>
      <c r="C14" s="733"/>
      <c r="D14" s="734"/>
    </row>
    <row r="15" spans="1:11" ht="30" customHeight="1" x14ac:dyDescent="0.25">
      <c r="A15" s="29">
        <v>7</v>
      </c>
      <c r="B15" s="28">
        <v>0.49443287037037037</v>
      </c>
      <c r="C15" s="733"/>
      <c r="D15" s="734"/>
    </row>
    <row r="16" spans="1:11" ht="30" customHeight="1" x14ac:dyDescent="0.25">
      <c r="A16" s="29">
        <v>8</v>
      </c>
      <c r="B16" s="28">
        <v>0.49459490740740741</v>
      </c>
      <c r="C16" s="733"/>
      <c r="D16" s="734"/>
    </row>
    <row r="17" spans="1:4" ht="30" customHeight="1" x14ac:dyDescent="0.25">
      <c r="A17" s="29">
        <v>9</v>
      </c>
      <c r="B17" s="28">
        <v>0.49500000000000005</v>
      </c>
      <c r="C17" s="733" t="s">
        <v>873</v>
      </c>
      <c r="D17" s="734"/>
    </row>
    <row r="18" spans="1:4" ht="30" customHeight="1" x14ac:dyDescent="0.25">
      <c r="A18" s="29">
        <v>10</v>
      </c>
      <c r="B18" s="28">
        <v>0.49521990740740746</v>
      </c>
      <c r="C18" s="733"/>
      <c r="D18" s="734"/>
    </row>
    <row r="19" spans="1:4" ht="30" customHeight="1" x14ac:dyDescent="0.25">
      <c r="A19" s="29">
        <v>12</v>
      </c>
      <c r="B19" s="28">
        <v>0.49586805555555552</v>
      </c>
      <c r="C19" s="733"/>
      <c r="D19" s="734"/>
    </row>
    <row r="20" spans="1:4" ht="30" customHeight="1" x14ac:dyDescent="0.25">
      <c r="A20" s="29">
        <v>13</v>
      </c>
      <c r="B20" s="28">
        <v>0.49898148148148147</v>
      </c>
      <c r="C20" s="733"/>
      <c r="D20" s="734"/>
    </row>
    <row r="21" spans="1:4" ht="30" customHeight="1" x14ac:dyDescent="0.25">
      <c r="A21" s="29">
        <v>17</v>
      </c>
      <c r="B21" s="28">
        <v>0.50119212962962967</v>
      </c>
      <c r="C21" s="733"/>
      <c r="D21" s="734"/>
    </row>
    <row r="22" spans="1:4" ht="30" customHeight="1" x14ac:dyDescent="0.25">
      <c r="A22" s="29">
        <v>18</v>
      </c>
      <c r="B22" s="28">
        <v>0.50142361111111111</v>
      </c>
      <c r="C22" s="733"/>
      <c r="D22" s="734"/>
    </row>
    <row r="23" spans="1:4" ht="30" customHeight="1" x14ac:dyDescent="0.25">
      <c r="A23" s="29">
        <v>22</v>
      </c>
      <c r="B23" s="28">
        <v>0.50307870370370367</v>
      </c>
      <c r="C23" s="733"/>
      <c r="D23" s="734"/>
    </row>
    <row r="24" spans="1:4" ht="30" customHeight="1" x14ac:dyDescent="0.25">
      <c r="A24" s="29">
        <v>21</v>
      </c>
      <c r="B24" s="28">
        <v>0.50396990740740744</v>
      </c>
      <c r="C24" s="733"/>
      <c r="D24" s="734"/>
    </row>
    <row r="25" spans="1:4" ht="30" customHeight="1" x14ac:dyDescent="0.25">
      <c r="A25" s="29">
        <v>14</v>
      </c>
      <c r="B25" s="28">
        <v>0.50403935185185189</v>
      </c>
      <c r="C25" s="733"/>
      <c r="D25" s="734"/>
    </row>
    <row r="26" spans="1:4" ht="30" customHeight="1" x14ac:dyDescent="0.25">
      <c r="A26" s="29">
        <v>23</v>
      </c>
      <c r="B26" s="28">
        <v>0.50593750000000004</v>
      </c>
      <c r="C26" s="733"/>
      <c r="D26" s="734"/>
    </row>
    <row r="27" spans="1:4" ht="30" customHeight="1" x14ac:dyDescent="0.25">
      <c r="A27" s="29">
        <v>25</v>
      </c>
      <c r="B27" s="28">
        <v>0.50599537037037035</v>
      </c>
      <c r="C27" s="733"/>
      <c r="D27" s="734"/>
    </row>
    <row r="28" spans="1:4" ht="30" customHeight="1" x14ac:dyDescent="0.25">
      <c r="A28" s="29">
        <v>24</v>
      </c>
      <c r="B28" s="28">
        <v>0.50624999999999998</v>
      </c>
      <c r="C28" s="733"/>
      <c r="D28" s="734"/>
    </row>
    <row r="29" spans="1:4" ht="30" customHeight="1" x14ac:dyDescent="0.25">
      <c r="A29" s="29">
        <v>20</v>
      </c>
      <c r="B29" s="28">
        <v>0.50668981481481479</v>
      </c>
      <c r="C29" s="733"/>
      <c r="D29" s="734"/>
    </row>
    <row r="30" spans="1:4" ht="30" customHeight="1" x14ac:dyDescent="0.25">
      <c r="A30" s="29">
        <v>29</v>
      </c>
      <c r="B30" s="28">
        <v>0.50719907407407405</v>
      </c>
      <c r="C30" s="733"/>
      <c r="D30" s="734"/>
    </row>
    <row r="31" spans="1:4" ht="30" customHeight="1" x14ac:dyDescent="0.25">
      <c r="A31" s="29">
        <v>26</v>
      </c>
      <c r="B31" s="28">
        <v>0.50725694444444447</v>
      </c>
      <c r="C31" s="733"/>
      <c r="D31" s="734"/>
    </row>
    <row r="32" spans="1:4" ht="30" customHeight="1" x14ac:dyDescent="0.25">
      <c r="A32" s="29">
        <v>16</v>
      </c>
      <c r="B32" s="28">
        <v>0.5074305555555555</v>
      </c>
      <c r="C32" s="733"/>
      <c r="D32" s="734"/>
    </row>
    <row r="33" spans="1:4" ht="30" customHeight="1" x14ac:dyDescent="0.25">
      <c r="A33" s="29">
        <v>11</v>
      </c>
      <c r="B33" s="28">
        <v>0.50785879629629627</v>
      </c>
      <c r="C33" s="733"/>
      <c r="D33" s="734"/>
    </row>
    <row r="34" spans="1:4" ht="30" customHeight="1" x14ac:dyDescent="0.25">
      <c r="A34" s="29">
        <v>30</v>
      </c>
      <c r="B34" s="28">
        <v>0.50851851851851848</v>
      </c>
      <c r="C34" s="733"/>
      <c r="D34" s="734"/>
    </row>
    <row r="35" spans="1:4" ht="30" customHeight="1" x14ac:dyDescent="0.25">
      <c r="A35" s="29">
        <v>31</v>
      </c>
      <c r="B35" s="28">
        <v>0.5085763888888889</v>
      </c>
      <c r="C35" s="733"/>
      <c r="D35" s="734"/>
    </row>
    <row r="36" spans="1:4" ht="30" customHeight="1" x14ac:dyDescent="0.25">
      <c r="A36" s="29">
        <v>35</v>
      </c>
      <c r="B36" s="28">
        <v>0.50859953703703698</v>
      </c>
      <c r="C36" s="733"/>
      <c r="D36" s="734"/>
    </row>
    <row r="37" spans="1:4" ht="30" customHeight="1" x14ac:dyDescent="0.25">
      <c r="A37" s="29">
        <v>33</v>
      </c>
      <c r="B37" s="28">
        <v>0.51015046296296296</v>
      </c>
      <c r="C37" s="733"/>
      <c r="D37" s="734"/>
    </row>
    <row r="38" spans="1:4" ht="30" customHeight="1" x14ac:dyDescent="0.25">
      <c r="A38" s="29">
        <v>38</v>
      </c>
      <c r="B38" s="28">
        <v>0.5119907407407408</v>
      </c>
      <c r="C38" s="733"/>
      <c r="D38" s="734"/>
    </row>
    <row r="39" spans="1:4" ht="30" customHeight="1" x14ac:dyDescent="0.25">
      <c r="A39" s="29">
        <v>34</v>
      </c>
      <c r="B39" s="28">
        <v>0.51214120370370375</v>
      </c>
      <c r="C39" s="733"/>
      <c r="D39" s="734"/>
    </row>
    <row r="40" spans="1:4" ht="30" customHeight="1" x14ac:dyDescent="0.25">
      <c r="A40" s="29">
        <v>37</v>
      </c>
      <c r="B40" s="28">
        <v>0.51487268518518514</v>
      </c>
      <c r="C40" s="733"/>
      <c r="D40" s="734"/>
    </row>
    <row r="41" spans="1:4" ht="30" customHeight="1" x14ac:dyDescent="0.25">
      <c r="A41" s="29">
        <v>40</v>
      </c>
      <c r="B41" s="28">
        <v>0.51574074074074072</v>
      </c>
      <c r="C41" s="733"/>
      <c r="D41" s="734"/>
    </row>
    <row r="42" spans="1:4" ht="30" customHeight="1" x14ac:dyDescent="0.25">
      <c r="A42" s="29">
        <v>41</v>
      </c>
      <c r="B42" s="28">
        <v>0.5157870370370371</v>
      </c>
      <c r="C42" s="733"/>
      <c r="D42" s="734"/>
    </row>
    <row r="43" spans="1:4" ht="30" customHeight="1" x14ac:dyDescent="0.25">
      <c r="A43" s="29">
        <v>44</v>
      </c>
      <c r="B43" s="28">
        <v>0.51689814814814816</v>
      </c>
      <c r="C43" s="733"/>
      <c r="D43" s="734"/>
    </row>
    <row r="44" spans="1:4" ht="30" customHeight="1" x14ac:dyDescent="0.25">
      <c r="A44" s="29">
        <v>42</v>
      </c>
      <c r="B44" s="28">
        <v>0.51790509259259265</v>
      </c>
      <c r="C44" s="733"/>
      <c r="D44" s="734"/>
    </row>
    <row r="45" spans="1:4" ht="30" customHeight="1" x14ac:dyDescent="0.25">
      <c r="A45" s="29">
        <v>47</v>
      </c>
      <c r="B45" s="28">
        <v>0.51903935185185179</v>
      </c>
      <c r="C45" s="733"/>
      <c r="D45" s="734"/>
    </row>
    <row r="46" spans="1:4" ht="30" customHeight="1" x14ac:dyDescent="0.25">
      <c r="A46" s="29">
        <v>39</v>
      </c>
      <c r="B46" s="28">
        <v>0.51928240740740739</v>
      </c>
      <c r="C46" s="733"/>
      <c r="D46" s="734"/>
    </row>
    <row r="47" spans="1:4" ht="30" customHeight="1" x14ac:dyDescent="0.25">
      <c r="A47" s="29">
        <v>36</v>
      </c>
      <c r="B47" s="28">
        <v>0.52046296296296302</v>
      </c>
      <c r="C47" s="733"/>
      <c r="D47" s="734"/>
    </row>
    <row r="48" spans="1:4" ht="30" customHeight="1" x14ac:dyDescent="0.25">
      <c r="A48" s="29">
        <v>43</v>
      </c>
      <c r="B48" s="28">
        <v>0.52195601851851847</v>
      </c>
      <c r="C48" s="733"/>
      <c r="D48" s="734"/>
    </row>
    <row r="49" spans="1:4" ht="30" customHeight="1" x14ac:dyDescent="0.25">
      <c r="A49" s="29">
        <v>45</v>
      </c>
      <c r="B49" s="28">
        <v>0.5239583333333333</v>
      </c>
      <c r="C49" s="733"/>
      <c r="D49" s="734"/>
    </row>
    <row r="50" spans="1:4" ht="30" customHeight="1" x14ac:dyDescent="0.25">
      <c r="A50" s="29"/>
      <c r="B50" s="28"/>
      <c r="C50" s="733"/>
      <c r="D50" s="734"/>
    </row>
    <row r="51" spans="1:4" ht="30" customHeight="1" x14ac:dyDescent="0.25">
      <c r="A51" s="29"/>
      <c r="B51" s="28"/>
      <c r="C51" s="733"/>
      <c r="D51" s="734"/>
    </row>
    <row r="52" spans="1:4" ht="30" customHeight="1" x14ac:dyDescent="0.25">
      <c r="A52" s="29"/>
      <c r="B52" s="28"/>
      <c r="C52" s="733"/>
      <c r="D52" s="734"/>
    </row>
    <row r="53" spans="1:4" ht="30" customHeight="1" x14ac:dyDescent="0.25">
      <c r="A53" s="29"/>
      <c r="B53" s="28"/>
      <c r="C53" s="733"/>
      <c r="D53" s="734"/>
    </row>
    <row r="54" spans="1:4" ht="30" customHeight="1" x14ac:dyDescent="0.25">
      <c r="A54" s="29"/>
      <c r="B54" s="28"/>
      <c r="C54" s="733"/>
      <c r="D54" s="734"/>
    </row>
    <row r="55" spans="1:4" ht="30" customHeight="1" x14ac:dyDescent="0.25">
      <c r="A55" s="29"/>
      <c r="B55" s="28"/>
      <c r="C55" s="733"/>
      <c r="D55" s="734"/>
    </row>
    <row r="56" spans="1:4" ht="30" customHeight="1" x14ac:dyDescent="0.25">
      <c r="A56" s="29"/>
      <c r="B56" s="28"/>
      <c r="C56" s="733"/>
      <c r="D56" s="734"/>
    </row>
    <row r="57" spans="1:4" ht="30" customHeight="1" x14ac:dyDescent="0.25">
      <c r="A57" s="29"/>
      <c r="B57" s="28"/>
      <c r="C57" s="733"/>
      <c r="D57" s="734"/>
    </row>
    <row r="58" spans="1:4" ht="30" customHeight="1" x14ac:dyDescent="0.25">
      <c r="A58" s="29"/>
      <c r="B58" s="28"/>
      <c r="C58" s="733"/>
      <c r="D58" s="734"/>
    </row>
    <row r="59" spans="1:4" ht="30" customHeight="1" x14ac:dyDescent="0.25">
      <c r="A59" s="29"/>
      <c r="B59" s="28"/>
      <c r="C59" s="733"/>
      <c r="D59" s="734"/>
    </row>
    <row r="60" spans="1:4" ht="30" customHeight="1" x14ac:dyDescent="0.25">
      <c r="A60" s="29"/>
      <c r="B60" s="28"/>
      <c r="C60" s="733"/>
      <c r="D60" s="734"/>
    </row>
    <row r="61" spans="1:4" ht="30" customHeight="1" x14ac:dyDescent="0.25">
      <c r="A61" s="29"/>
      <c r="B61" s="28"/>
      <c r="C61" s="733"/>
      <c r="D61" s="734"/>
    </row>
    <row r="62" spans="1:4" ht="30" customHeight="1" x14ac:dyDescent="0.25">
      <c r="A62" s="29"/>
      <c r="B62" s="28"/>
      <c r="C62" s="733"/>
      <c r="D62" s="734"/>
    </row>
    <row r="63" spans="1:4" ht="30" customHeight="1" x14ac:dyDescent="0.25">
      <c r="A63" s="29"/>
      <c r="B63" s="28"/>
      <c r="C63" s="733"/>
      <c r="D63" s="734"/>
    </row>
    <row r="64" spans="1:4" ht="30" customHeight="1" x14ac:dyDescent="0.25">
      <c r="A64" s="29"/>
      <c r="B64" s="28"/>
      <c r="C64" s="733"/>
      <c r="D64" s="734"/>
    </row>
    <row r="65" spans="1:4" ht="30" customHeight="1" x14ac:dyDescent="0.25">
      <c r="A65" s="29"/>
      <c r="B65" s="28"/>
      <c r="C65" s="733"/>
      <c r="D65" s="734"/>
    </row>
    <row r="66" spans="1:4" ht="30" customHeight="1" x14ac:dyDescent="0.25">
      <c r="A66" s="29"/>
      <c r="B66" s="28"/>
      <c r="C66" s="733"/>
      <c r="D66" s="734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F0"/>
  </sheetPr>
  <dimension ref="A1:K66"/>
  <sheetViews>
    <sheetView view="pageBreakPreview" zoomScale="85" zoomScaleSheetLayoutView="85" workbookViewId="0">
      <selection activeCell="A10" sqref="A10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/>
      <c r="C2" s="273" t="s">
        <v>387</v>
      </c>
      <c r="D2" s="272" t="s">
        <v>775</v>
      </c>
    </row>
    <row r="3" spans="1:11" s="261" customFormat="1" ht="21" customHeight="1" x14ac:dyDescent="0.25">
      <c r="A3" s="274" t="s">
        <v>92</v>
      </c>
      <c r="B3" s="272">
        <v>0.48027646515552658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0.52888757626663763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808</v>
      </c>
      <c r="B7" s="725"/>
      <c r="C7" s="725"/>
      <c r="D7" s="725"/>
    </row>
    <row r="8" spans="1:11" s="268" customFormat="1" ht="21" customHeight="1" x14ac:dyDescent="0.25">
      <c r="A8" s="271" t="s">
        <v>404</v>
      </c>
      <c r="B8" s="270" t="s">
        <v>188</v>
      </c>
      <c r="C8" s="269"/>
      <c r="D8" s="269"/>
    </row>
    <row r="9" spans="1:11" ht="21" x14ac:dyDescent="0.25">
      <c r="A9" s="69" t="s">
        <v>0</v>
      </c>
      <c r="B9" s="70" t="s">
        <v>397</v>
      </c>
      <c r="C9" s="731" t="s">
        <v>88</v>
      </c>
      <c r="D9" s="732"/>
      <c r="J9" s="25"/>
      <c r="K9" s="26"/>
    </row>
    <row r="10" spans="1:11" ht="30" customHeight="1" x14ac:dyDescent="0.25">
      <c r="A10" s="29"/>
      <c r="B10" s="28"/>
      <c r="C10" s="733"/>
      <c r="D10" s="734"/>
    </row>
    <row r="11" spans="1:11" ht="30" customHeight="1" x14ac:dyDescent="0.25">
      <c r="A11" s="29"/>
      <c r="B11" s="28"/>
      <c r="C11" s="733"/>
      <c r="D11" s="734"/>
    </row>
    <row r="12" spans="1:11" ht="30" customHeight="1" x14ac:dyDescent="0.25">
      <c r="A12" s="29"/>
      <c r="B12" s="28"/>
      <c r="C12" s="733"/>
      <c r="D12" s="734"/>
    </row>
    <row r="13" spans="1:11" ht="30" customHeight="1" x14ac:dyDescent="0.25">
      <c r="A13" s="29"/>
      <c r="B13" s="28"/>
      <c r="C13" s="733"/>
      <c r="D13" s="734"/>
    </row>
    <row r="14" spans="1:11" ht="30" customHeight="1" x14ac:dyDescent="0.25">
      <c r="A14" s="29"/>
      <c r="B14" s="28"/>
      <c r="C14" s="733"/>
      <c r="D14" s="734"/>
    </row>
    <row r="15" spans="1:11" ht="30" customHeight="1" x14ac:dyDescent="0.25">
      <c r="A15" s="29"/>
      <c r="B15" s="28"/>
      <c r="C15" s="733"/>
      <c r="D15" s="734"/>
    </row>
    <row r="16" spans="1:11" ht="30" customHeight="1" x14ac:dyDescent="0.25">
      <c r="A16" s="29"/>
      <c r="B16" s="28"/>
      <c r="C16" s="733"/>
      <c r="D16" s="734"/>
    </row>
    <row r="17" spans="1:4" ht="30" customHeight="1" x14ac:dyDescent="0.25">
      <c r="A17" s="29"/>
      <c r="B17" s="28"/>
      <c r="C17" s="733"/>
      <c r="D17" s="734"/>
    </row>
    <row r="18" spans="1:4" ht="30" customHeight="1" x14ac:dyDescent="0.25">
      <c r="A18" s="29"/>
      <c r="B18" s="28"/>
      <c r="C18" s="733"/>
      <c r="D18" s="734"/>
    </row>
    <row r="19" spans="1:4" ht="30" customHeight="1" x14ac:dyDescent="0.25">
      <c r="A19" s="29"/>
      <c r="B19" s="28"/>
      <c r="C19" s="733"/>
      <c r="D19" s="734"/>
    </row>
    <row r="20" spans="1:4" ht="30" customHeight="1" x14ac:dyDescent="0.25">
      <c r="A20" s="29"/>
      <c r="B20" s="28"/>
      <c r="C20" s="733"/>
      <c r="D20" s="734"/>
    </row>
    <row r="21" spans="1:4" ht="30" customHeight="1" x14ac:dyDescent="0.25">
      <c r="A21" s="29"/>
      <c r="B21" s="28"/>
      <c r="C21" s="733"/>
      <c r="D21" s="734"/>
    </row>
    <row r="22" spans="1:4" ht="30" customHeight="1" x14ac:dyDescent="0.25">
      <c r="A22" s="29"/>
      <c r="B22" s="28"/>
      <c r="C22" s="733"/>
      <c r="D22" s="734"/>
    </row>
    <row r="23" spans="1:4" ht="30" customHeight="1" x14ac:dyDescent="0.25">
      <c r="A23" s="29"/>
      <c r="B23" s="28"/>
      <c r="C23" s="733"/>
      <c r="D23" s="734"/>
    </row>
    <row r="24" spans="1:4" ht="30" customHeight="1" x14ac:dyDescent="0.25">
      <c r="A24" s="29"/>
      <c r="B24" s="28"/>
      <c r="C24" s="733"/>
      <c r="D24" s="734"/>
    </row>
    <row r="25" spans="1:4" ht="30" customHeight="1" x14ac:dyDescent="0.25">
      <c r="A25" s="29"/>
      <c r="B25" s="28"/>
      <c r="C25" s="733"/>
      <c r="D25" s="734"/>
    </row>
    <row r="26" spans="1:4" ht="30" customHeight="1" x14ac:dyDescent="0.25">
      <c r="A26" s="29"/>
      <c r="B26" s="28"/>
      <c r="C26" s="733"/>
      <c r="D26" s="734"/>
    </row>
    <row r="27" spans="1:4" ht="30" customHeight="1" x14ac:dyDescent="0.25">
      <c r="A27" s="29"/>
      <c r="B27" s="28"/>
      <c r="C27" s="733"/>
      <c r="D27" s="734"/>
    </row>
    <row r="28" spans="1:4" ht="30" customHeight="1" x14ac:dyDescent="0.25">
      <c r="A28" s="29"/>
      <c r="B28" s="28"/>
      <c r="C28" s="733"/>
      <c r="D28" s="734"/>
    </row>
    <row r="29" spans="1:4" ht="30" customHeight="1" x14ac:dyDescent="0.25">
      <c r="A29" s="29"/>
      <c r="B29" s="28"/>
      <c r="C29" s="733"/>
      <c r="D29" s="734"/>
    </row>
    <row r="30" spans="1:4" ht="30" customHeight="1" x14ac:dyDescent="0.25">
      <c r="A30" s="29"/>
      <c r="B30" s="28"/>
      <c r="C30" s="733"/>
      <c r="D30" s="734"/>
    </row>
    <row r="31" spans="1:4" ht="30" customHeight="1" x14ac:dyDescent="0.25">
      <c r="A31" s="29"/>
      <c r="B31" s="28"/>
      <c r="C31" s="733"/>
      <c r="D31" s="734"/>
    </row>
    <row r="32" spans="1:4" ht="30" customHeight="1" x14ac:dyDescent="0.25">
      <c r="A32" s="29"/>
      <c r="B32" s="28"/>
      <c r="C32" s="733"/>
      <c r="D32" s="734"/>
    </row>
    <row r="33" spans="1:4" ht="30" customHeight="1" x14ac:dyDescent="0.25">
      <c r="A33" s="29"/>
      <c r="B33" s="28"/>
      <c r="C33" s="733"/>
      <c r="D33" s="734"/>
    </row>
    <row r="34" spans="1:4" ht="30" customHeight="1" x14ac:dyDescent="0.25">
      <c r="A34" s="29"/>
      <c r="B34" s="28"/>
      <c r="C34" s="733"/>
      <c r="D34" s="734"/>
    </row>
    <row r="35" spans="1:4" ht="30" customHeight="1" x14ac:dyDescent="0.25">
      <c r="A35" s="29"/>
      <c r="B35" s="28"/>
      <c r="C35" s="733"/>
      <c r="D35" s="734"/>
    </row>
    <row r="36" spans="1:4" ht="30" customHeight="1" x14ac:dyDescent="0.25">
      <c r="A36" s="29"/>
      <c r="B36" s="28"/>
      <c r="C36" s="733"/>
      <c r="D36" s="734"/>
    </row>
    <row r="37" spans="1:4" ht="30" customHeight="1" x14ac:dyDescent="0.25">
      <c r="A37" s="29"/>
      <c r="B37" s="28"/>
      <c r="C37" s="733"/>
      <c r="D37" s="734"/>
    </row>
    <row r="38" spans="1:4" ht="30" customHeight="1" x14ac:dyDescent="0.25">
      <c r="A38" s="29"/>
      <c r="B38" s="28"/>
      <c r="C38" s="733"/>
      <c r="D38" s="734"/>
    </row>
    <row r="39" spans="1:4" ht="30" customHeight="1" x14ac:dyDescent="0.25">
      <c r="A39" s="29"/>
      <c r="B39" s="28"/>
      <c r="C39" s="733"/>
      <c r="D39" s="734"/>
    </row>
    <row r="40" spans="1:4" ht="30" customHeight="1" x14ac:dyDescent="0.25">
      <c r="A40" s="29"/>
      <c r="B40" s="28"/>
      <c r="C40" s="733"/>
      <c r="D40" s="734"/>
    </row>
    <row r="41" spans="1:4" ht="30" customHeight="1" x14ac:dyDescent="0.25">
      <c r="A41" s="29"/>
      <c r="B41" s="28"/>
      <c r="C41" s="733"/>
      <c r="D41" s="734"/>
    </row>
    <row r="42" spans="1:4" ht="30" customHeight="1" x14ac:dyDescent="0.25">
      <c r="A42" s="29"/>
      <c r="B42" s="28"/>
      <c r="C42" s="733"/>
      <c r="D42" s="734"/>
    </row>
    <row r="43" spans="1:4" ht="30" customHeight="1" x14ac:dyDescent="0.25">
      <c r="A43" s="29"/>
      <c r="B43" s="28"/>
      <c r="C43" s="733"/>
      <c r="D43" s="734"/>
    </row>
    <row r="44" spans="1:4" ht="30" customHeight="1" x14ac:dyDescent="0.25">
      <c r="A44" s="29"/>
      <c r="B44" s="28"/>
      <c r="C44" s="733"/>
      <c r="D44" s="734"/>
    </row>
    <row r="45" spans="1:4" ht="30" customHeight="1" x14ac:dyDescent="0.25">
      <c r="A45" s="29"/>
      <c r="B45" s="28"/>
      <c r="C45" s="733"/>
      <c r="D45" s="734"/>
    </row>
    <row r="46" spans="1:4" ht="30" customHeight="1" x14ac:dyDescent="0.25">
      <c r="A46" s="29"/>
      <c r="B46" s="28"/>
      <c r="C46" s="733"/>
      <c r="D46" s="734"/>
    </row>
    <row r="47" spans="1:4" ht="30" customHeight="1" x14ac:dyDescent="0.25">
      <c r="A47" s="29"/>
      <c r="B47" s="28"/>
      <c r="C47" s="733"/>
      <c r="D47" s="734"/>
    </row>
    <row r="48" spans="1:4" ht="30" customHeight="1" x14ac:dyDescent="0.25">
      <c r="A48" s="29"/>
      <c r="B48" s="28"/>
      <c r="C48" s="733"/>
      <c r="D48" s="734"/>
    </row>
    <row r="49" spans="1:4" ht="30" customHeight="1" x14ac:dyDescent="0.25">
      <c r="A49" s="29"/>
      <c r="B49" s="28"/>
      <c r="C49" s="733"/>
      <c r="D49" s="734"/>
    </row>
    <row r="50" spans="1:4" ht="30" customHeight="1" x14ac:dyDescent="0.25">
      <c r="A50" s="29"/>
      <c r="B50" s="28"/>
      <c r="C50" s="733"/>
      <c r="D50" s="734"/>
    </row>
    <row r="51" spans="1:4" ht="30" customHeight="1" x14ac:dyDescent="0.25">
      <c r="A51" s="29"/>
      <c r="B51" s="28"/>
      <c r="C51" s="733"/>
      <c r="D51" s="734"/>
    </row>
    <row r="52" spans="1:4" ht="30" customHeight="1" x14ac:dyDescent="0.25">
      <c r="A52" s="29"/>
      <c r="B52" s="28"/>
      <c r="C52" s="733"/>
      <c r="D52" s="734"/>
    </row>
    <row r="53" spans="1:4" ht="30" customHeight="1" x14ac:dyDescent="0.25">
      <c r="A53" s="29"/>
      <c r="B53" s="28"/>
      <c r="C53" s="733"/>
      <c r="D53" s="734"/>
    </row>
    <row r="54" spans="1:4" ht="30" customHeight="1" x14ac:dyDescent="0.25">
      <c r="A54" s="29"/>
      <c r="B54" s="28"/>
      <c r="C54" s="733"/>
      <c r="D54" s="734"/>
    </row>
    <row r="55" spans="1:4" ht="30" customHeight="1" x14ac:dyDescent="0.25">
      <c r="A55" s="29"/>
      <c r="B55" s="28"/>
      <c r="C55" s="733"/>
      <c r="D55" s="734"/>
    </row>
    <row r="56" spans="1:4" ht="30" customHeight="1" x14ac:dyDescent="0.25">
      <c r="A56" s="29"/>
      <c r="B56" s="28"/>
      <c r="C56" s="733"/>
      <c r="D56" s="734"/>
    </row>
    <row r="57" spans="1:4" ht="30" customHeight="1" x14ac:dyDescent="0.25">
      <c r="A57" s="29"/>
      <c r="B57" s="28"/>
      <c r="C57" s="733"/>
      <c r="D57" s="734"/>
    </row>
    <row r="58" spans="1:4" ht="30" customHeight="1" x14ac:dyDescent="0.25">
      <c r="A58" s="29"/>
      <c r="B58" s="28"/>
      <c r="C58" s="733"/>
      <c r="D58" s="734"/>
    </row>
    <row r="59" spans="1:4" ht="30" customHeight="1" x14ac:dyDescent="0.25">
      <c r="A59" s="29"/>
      <c r="B59" s="28"/>
      <c r="C59" s="733"/>
      <c r="D59" s="734"/>
    </row>
    <row r="60" spans="1:4" ht="30" customHeight="1" x14ac:dyDescent="0.25">
      <c r="A60" s="29"/>
      <c r="B60" s="28"/>
      <c r="C60" s="733"/>
      <c r="D60" s="734"/>
    </row>
    <row r="61" spans="1:4" ht="30" customHeight="1" x14ac:dyDescent="0.25">
      <c r="A61" s="29"/>
      <c r="B61" s="28"/>
      <c r="C61" s="733"/>
      <c r="D61" s="734"/>
    </row>
    <row r="62" spans="1:4" ht="30" customHeight="1" x14ac:dyDescent="0.25">
      <c r="A62" s="29"/>
      <c r="B62" s="28"/>
      <c r="C62" s="733"/>
      <c r="D62" s="734"/>
    </row>
    <row r="63" spans="1:4" ht="30" customHeight="1" x14ac:dyDescent="0.25">
      <c r="A63" s="29"/>
      <c r="B63" s="28"/>
      <c r="C63" s="733"/>
      <c r="D63" s="734"/>
    </row>
    <row r="64" spans="1:4" ht="30" customHeight="1" x14ac:dyDescent="0.25">
      <c r="A64" s="29"/>
      <c r="B64" s="28"/>
      <c r="C64" s="733"/>
      <c r="D64" s="734"/>
    </row>
    <row r="65" spans="1:4" ht="30" customHeight="1" x14ac:dyDescent="0.25">
      <c r="A65" s="29"/>
      <c r="B65" s="28"/>
      <c r="C65" s="733"/>
      <c r="D65" s="734"/>
    </row>
    <row r="66" spans="1:4" ht="30" customHeight="1" x14ac:dyDescent="0.25">
      <c r="A66" s="29"/>
      <c r="B66" s="28"/>
      <c r="C66" s="733"/>
      <c r="D66" s="734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F0"/>
  </sheetPr>
  <dimension ref="A1:K66"/>
  <sheetViews>
    <sheetView view="pageBreakPreview" topLeftCell="A28" zoomScale="85" zoomScaleSheetLayoutView="85" workbookViewId="0">
      <selection activeCell="B50" sqref="B50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772</v>
      </c>
      <c r="C2" s="273" t="s">
        <v>387</v>
      </c>
      <c r="D2" s="272" t="s">
        <v>561</v>
      </c>
    </row>
    <row r="3" spans="1:11" s="261" customFormat="1" ht="21" customHeight="1" x14ac:dyDescent="0.25">
      <c r="A3" s="274" t="s">
        <v>92</v>
      </c>
      <c r="B3" s="272">
        <v>0.50416666832235135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0.5527777794334624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581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0.51666666666666672</v>
      </c>
      <c r="C10" s="726"/>
      <c r="D10" s="727"/>
    </row>
    <row r="11" spans="1:11" ht="30" customHeight="1" x14ac:dyDescent="0.25">
      <c r="A11" s="29">
        <v>2</v>
      </c>
      <c r="B11" s="76">
        <v>0.51736111111111105</v>
      </c>
      <c r="C11" s="726"/>
      <c r="D11" s="727"/>
    </row>
    <row r="12" spans="1:11" ht="30" customHeight="1" x14ac:dyDescent="0.25">
      <c r="A12" s="29">
        <v>4</v>
      </c>
      <c r="B12" s="76">
        <v>0.51874999999999993</v>
      </c>
      <c r="C12" s="726"/>
      <c r="D12" s="727"/>
    </row>
    <row r="13" spans="1:11" ht="30" customHeight="1" x14ac:dyDescent="0.25">
      <c r="A13" s="29">
        <v>5</v>
      </c>
      <c r="B13" s="76">
        <v>0.52013888888888882</v>
      </c>
      <c r="C13" s="726"/>
      <c r="D13" s="727"/>
    </row>
    <row r="14" spans="1:11" ht="30" customHeight="1" x14ac:dyDescent="0.25">
      <c r="A14" s="29">
        <v>6</v>
      </c>
      <c r="B14" s="76">
        <v>0.52083333333333337</v>
      </c>
      <c r="C14" s="726"/>
      <c r="D14" s="727"/>
    </row>
    <row r="15" spans="1:11" ht="30" customHeight="1" x14ac:dyDescent="0.25">
      <c r="A15" s="29">
        <v>7</v>
      </c>
      <c r="B15" s="76">
        <v>0.52152777777777781</v>
      </c>
      <c r="C15" s="726"/>
      <c r="D15" s="727"/>
    </row>
    <row r="16" spans="1:11" ht="30" customHeight="1" x14ac:dyDescent="0.25">
      <c r="A16" s="29">
        <v>8</v>
      </c>
      <c r="B16" s="76">
        <v>0.52222222222222225</v>
      </c>
      <c r="C16" s="726"/>
      <c r="D16" s="727"/>
    </row>
    <row r="17" spans="1:4" ht="30" customHeight="1" x14ac:dyDescent="0.25">
      <c r="A17" s="29">
        <v>9</v>
      </c>
      <c r="B17" s="76">
        <v>0.5229166666666667</v>
      </c>
      <c r="C17" s="726"/>
      <c r="D17" s="727"/>
    </row>
    <row r="18" spans="1:4" ht="30" customHeight="1" x14ac:dyDescent="0.25">
      <c r="A18" s="29">
        <v>10</v>
      </c>
      <c r="B18" s="76">
        <v>0.52361111111111114</v>
      </c>
      <c r="C18" s="726"/>
      <c r="D18" s="727"/>
    </row>
    <row r="19" spans="1:4" ht="30" customHeight="1" x14ac:dyDescent="0.25">
      <c r="A19" s="29">
        <v>11</v>
      </c>
      <c r="B19" s="76">
        <v>0.52430555555555558</v>
      </c>
      <c r="C19" s="726"/>
      <c r="D19" s="727"/>
    </row>
    <row r="20" spans="1:4" ht="30" customHeight="1" x14ac:dyDescent="0.25">
      <c r="A20" s="29">
        <v>12</v>
      </c>
      <c r="B20" s="76">
        <v>0.52500000000000002</v>
      </c>
      <c r="C20" s="726"/>
      <c r="D20" s="727"/>
    </row>
    <row r="21" spans="1:4" ht="30" customHeight="1" x14ac:dyDescent="0.25">
      <c r="A21" s="29">
        <v>13</v>
      </c>
      <c r="B21" s="76">
        <v>0.52569444444444446</v>
      </c>
      <c r="C21" s="726"/>
      <c r="D21" s="727"/>
    </row>
    <row r="22" spans="1:4" ht="30" customHeight="1" x14ac:dyDescent="0.25">
      <c r="A22" s="29">
        <v>14</v>
      </c>
      <c r="B22" s="76">
        <v>0.52638888888888891</v>
      </c>
      <c r="C22" s="726"/>
      <c r="D22" s="727"/>
    </row>
    <row r="23" spans="1:4" ht="30" customHeight="1" x14ac:dyDescent="0.25">
      <c r="A23" s="29">
        <v>16</v>
      </c>
      <c r="B23" s="76">
        <v>0.52638888888888891</v>
      </c>
      <c r="C23" s="726"/>
      <c r="D23" s="727"/>
    </row>
    <row r="24" spans="1:4" ht="30" customHeight="1" x14ac:dyDescent="0.25">
      <c r="A24" s="29">
        <v>17</v>
      </c>
      <c r="B24" s="76">
        <v>0.52708333333333335</v>
      </c>
      <c r="C24" s="726"/>
      <c r="D24" s="727"/>
    </row>
    <row r="25" spans="1:4" ht="30" customHeight="1" x14ac:dyDescent="0.25">
      <c r="A25" s="29">
        <v>18</v>
      </c>
      <c r="B25" s="76">
        <v>0.52847222222222223</v>
      </c>
      <c r="C25" s="726"/>
      <c r="D25" s="727"/>
    </row>
    <row r="26" spans="1:4" ht="30" customHeight="1" x14ac:dyDescent="0.25">
      <c r="A26" s="29">
        <v>20</v>
      </c>
      <c r="B26" s="76">
        <v>0.52916666666666667</v>
      </c>
      <c r="C26" s="726"/>
      <c r="D26" s="727"/>
    </row>
    <row r="27" spans="1:4" ht="30" customHeight="1" x14ac:dyDescent="0.25">
      <c r="A27" s="29">
        <v>22</v>
      </c>
      <c r="B27" s="76">
        <v>0.52986111111111112</v>
      </c>
      <c r="C27" s="726"/>
      <c r="D27" s="727"/>
    </row>
    <row r="28" spans="1:4" ht="30" customHeight="1" x14ac:dyDescent="0.25">
      <c r="A28" s="29">
        <v>21</v>
      </c>
      <c r="B28" s="76">
        <v>0.53055555555555556</v>
      </c>
      <c r="C28" s="726"/>
      <c r="D28" s="727"/>
    </row>
    <row r="29" spans="1:4" ht="30" customHeight="1" x14ac:dyDescent="0.25">
      <c r="A29" s="29">
        <v>23</v>
      </c>
      <c r="B29" s="76">
        <v>0.53125</v>
      </c>
      <c r="C29" s="726"/>
      <c r="D29" s="727"/>
    </row>
    <row r="30" spans="1:4" ht="30" customHeight="1" x14ac:dyDescent="0.25">
      <c r="A30" s="29">
        <v>24</v>
      </c>
      <c r="B30" s="76">
        <v>0.53194444444444444</v>
      </c>
      <c r="C30" s="726"/>
      <c r="D30" s="727"/>
    </row>
    <row r="31" spans="1:4" ht="30" customHeight="1" x14ac:dyDescent="0.25">
      <c r="A31" s="29">
        <v>25</v>
      </c>
      <c r="B31" s="76">
        <v>0.53263888888888888</v>
      </c>
      <c r="C31" s="726"/>
      <c r="D31" s="727"/>
    </row>
    <row r="32" spans="1:4" ht="30" customHeight="1" x14ac:dyDescent="0.25">
      <c r="A32" s="29">
        <v>26</v>
      </c>
      <c r="B32" s="76">
        <v>0.53333333333333333</v>
      </c>
      <c r="C32" s="726"/>
      <c r="D32" s="727"/>
    </row>
    <row r="33" spans="1:4" ht="30" customHeight="1" x14ac:dyDescent="0.25">
      <c r="A33" s="29">
        <v>29</v>
      </c>
      <c r="B33" s="76">
        <v>0.53402777777777777</v>
      </c>
      <c r="C33" s="726"/>
      <c r="D33" s="727"/>
    </row>
    <row r="34" spans="1:4" ht="30" customHeight="1" x14ac:dyDescent="0.25">
      <c r="A34" s="29">
        <v>30</v>
      </c>
      <c r="B34" s="76">
        <v>0.53472222222222221</v>
      </c>
      <c r="C34" s="726"/>
      <c r="D34" s="727"/>
    </row>
    <row r="35" spans="1:4" ht="30" customHeight="1" x14ac:dyDescent="0.25">
      <c r="A35" s="29">
        <v>31</v>
      </c>
      <c r="B35" s="76">
        <v>0.53541666666666665</v>
      </c>
      <c r="C35" s="726"/>
      <c r="D35" s="727"/>
    </row>
    <row r="36" spans="1:4" ht="30" customHeight="1" x14ac:dyDescent="0.25">
      <c r="A36" s="29">
        <v>33</v>
      </c>
      <c r="B36" s="76">
        <v>0.53680555555555554</v>
      </c>
      <c r="C36" s="726"/>
      <c r="D36" s="727"/>
    </row>
    <row r="37" spans="1:4" ht="30" customHeight="1" x14ac:dyDescent="0.25">
      <c r="A37" s="29">
        <v>34</v>
      </c>
      <c r="B37" s="76">
        <v>0.53749999999999998</v>
      </c>
      <c r="C37" s="726"/>
      <c r="D37" s="727"/>
    </row>
    <row r="38" spans="1:4" ht="30" customHeight="1" x14ac:dyDescent="0.25">
      <c r="A38" s="29">
        <v>35</v>
      </c>
      <c r="B38" s="76">
        <v>0.53819444444444442</v>
      </c>
      <c r="C38" s="726"/>
      <c r="D38" s="727"/>
    </row>
    <row r="39" spans="1:4" ht="30" customHeight="1" x14ac:dyDescent="0.25">
      <c r="A39" s="29">
        <v>38</v>
      </c>
      <c r="B39" s="76">
        <v>0.53888888888888886</v>
      </c>
      <c r="C39" s="726"/>
      <c r="D39" s="727"/>
    </row>
    <row r="40" spans="1:4" ht="30" customHeight="1" x14ac:dyDescent="0.25">
      <c r="A40" s="29">
        <v>37</v>
      </c>
      <c r="B40" s="76">
        <v>0.5395833333333333</v>
      </c>
      <c r="C40" s="726"/>
      <c r="D40" s="727"/>
    </row>
    <row r="41" spans="1:4" ht="30" customHeight="1" x14ac:dyDescent="0.25">
      <c r="A41" s="29">
        <v>39</v>
      </c>
      <c r="B41" s="76">
        <v>0.54027777777777775</v>
      </c>
      <c r="C41" s="726"/>
      <c r="D41" s="727"/>
    </row>
    <row r="42" spans="1:4" ht="30" customHeight="1" x14ac:dyDescent="0.25">
      <c r="A42" s="29">
        <v>40</v>
      </c>
      <c r="B42" s="76">
        <v>0.54097222222222219</v>
      </c>
      <c r="C42" s="726"/>
      <c r="D42" s="727"/>
    </row>
    <row r="43" spans="1:4" ht="30" customHeight="1" x14ac:dyDescent="0.25">
      <c r="A43" s="29">
        <v>41</v>
      </c>
      <c r="B43" s="76">
        <v>0.54166666666666663</v>
      </c>
      <c r="C43" s="726"/>
      <c r="D43" s="727"/>
    </row>
    <row r="44" spans="1:4" ht="30" customHeight="1" x14ac:dyDescent="0.25">
      <c r="A44" s="29">
        <v>42</v>
      </c>
      <c r="B44" s="76">
        <v>0.54236111111111118</v>
      </c>
      <c r="C44" s="726"/>
      <c r="D44" s="727"/>
    </row>
    <row r="45" spans="1:4" ht="30" customHeight="1" x14ac:dyDescent="0.25">
      <c r="A45" s="29">
        <v>44</v>
      </c>
      <c r="B45" s="76">
        <v>0.54305555555555551</v>
      </c>
      <c r="C45" s="726"/>
      <c r="D45" s="727"/>
    </row>
    <row r="46" spans="1:4" ht="30" customHeight="1" x14ac:dyDescent="0.25">
      <c r="A46" s="29">
        <v>43</v>
      </c>
      <c r="B46" s="76">
        <v>0.54305555555555551</v>
      </c>
      <c r="C46" s="726"/>
      <c r="D46" s="727"/>
    </row>
    <row r="47" spans="1:4" ht="30" customHeight="1" x14ac:dyDescent="0.25">
      <c r="A47" s="29">
        <v>45</v>
      </c>
      <c r="B47" s="76">
        <v>0.54513888888888895</v>
      </c>
      <c r="C47" s="726"/>
      <c r="D47" s="727"/>
    </row>
    <row r="48" spans="1:4" ht="30" customHeight="1" x14ac:dyDescent="0.25">
      <c r="A48" s="29">
        <v>47</v>
      </c>
      <c r="B48" s="76">
        <v>0.54583333333333328</v>
      </c>
      <c r="C48" s="726"/>
      <c r="D48" s="727"/>
    </row>
    <row r="49" spans="1:4" ht="30" customHeight="1" x14ac:dyDescent="0.25">
      <c r="A49" s="29">
        <v>36</v>
      </c>
      <c r="B49" s="76">
        <v>0.54652777777777783</v>
      </c>
      <c r="C49" s="726"/>
      <c r="D49" s="727"/>
    </row>
    <row r="50" spans="1:4" ht="30" customHeight="1" x14ac:dyDescent="0.25">
      <c r="A50" s="29">
        <v>32</v>
      </c>
      <c r="B50" s="76">
        <v>0.55486111111111114</v>
      </c>
      <c r="C50" s="726"/>
      <c r="D50" s="727"/>
    </row>
    <row r="51" spans="1:4" ht="30" customHeight="1" x14ac:dyDescent="0.25">
      <c r="A51" s="29">
        <v>3</v>
      </c>
      <c r="B51" s="76">
        <v>0.55763888888888891</v>
      </c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G28"/>
  <sheetViews>
    <sheetView topLeftCell="A4" zoomScale="85" zoomScaleNormal="85" workbookViewId="0">
      <selection activeCell="A29" sqref="A29"/>
    </sheetView>
  </sheetViews>
  <sheetFormatPr defaultRowHeight="15" x14ac:dyDescent="0.25"/>
  <cols>
    <col min="1" max="1" width="41.42578125" style="1" customWidth="1"/>
    <col min="2" max="2" width="5.7109375" style="1" customWidth="1"/>
    <col min="3" max="16384" width="9.140625" style="1"/>
  </cols>
  <sheetData>
    <row r="1" spans="1:7" ht="30" customHeight="1" thickTop="1" thickBot="1" x14ac:dyDescent="0.3">
      <c r="A1" s="554">
        <f>стартНомер</f>
        <v>47</v>
      </c>
      <c r="B1" s="555"/>
      <c r="D1" s="551" t="str">
        <f>фио1</f>
        <v>Кананадзе Сергей</v>
      </c>
      <c r="E1" s="552"/>
      <c r="F1" s="552"/>
      <c r="G1" s="553"/>
    </row>
    <row r="2" spans="1:7" ht="5.0999999999999996" customHeight="1" thickTop="1" thickBot="1" x14ac:dyDescent="0.3">
      <c r="A2" s="556"/>
      <c r="B2" s="557"/>
    </row>
    <row r="3" spans="1:7" ht="30" customHeight="1" thickTop="1" thickBot="1" x14ac:dyDescent="0.3">
      <c r="A3" s="556"/>
      <c r="B3" s="557"/>
      <c r="D3" s="551" t="str">
        <f>фио2</f>
        <v>Подшивалов Александр</v>
      </c>
      <c r="E3" s="552"/>
      <c r="F3" s="552"/>
      <c r="G3" s="553"/>
    </row>
    <row r="4" spans="1:7" ht="5.0999999999999996" customHeight="1" thickTop="1" thickBot="1" x14ac:dyDescent="0.3">
      <c r="A4" s="556"/>
      <c r="B4" s="557"/>
    </row>
    <row r="5" spans="1:7" ht="30" customHeight="1" thickTop="1" thickBot="1" x14ac:dyDescent="0.3">
      <c r="A5" s="558"/>
      <c r="B5" s="559"/>
      <c r="D5" s="551" t="str">
        <f>зачет</f>
        <v>Pro, Кубок</v>
      </c>
      <c r="E5" s="552"/>
      <c r="F5" s="552"/>
      <c r="G5" s="553"/>
    </row>
    <row r="6" spans="1:7" ht="5.0999999999999996" customHeight="1" thickTop="1" thickBot="1" x14ac:dyDescent="0.3"/>
    <row r="7" spans="1:7" s="478" customFormat="1" ht="24.95" customHeight="1" thickTop="1" thickBot="1" x14ac:dyDescent="0.3">
      <c r="A7" s="477" t="s">
        <v>788</v>
      </c>
      <c r="B7" s="479"/>
    </row>
    <row r="8" spans="1:7" ht="5.0999999999999996" customHeight="1" thickTop="1" thickBot="1" x14ac:dyDescent="0.3"/>
    <row r="9" spans="1:7" s="478" customFormat="1" ht="24.95" customHeight="1" thickTop="1" thickBot="1" x14ac:dyDescent="0.3">
      <c r="A9" s="477" t="s">
        <v>783</v>
      </c>
      <c r="B9" s="479"/>
      <c r="D9" s="560" t="s">
        <v>795</v>
      </c>
      <c r="E9" s="561"/>
      <c r="F9" s="561"/>
      <c r="G9" s="562"/>
    </row>
    <row r="10" spans="1:7" ht="5.0999999999999996" customHeight="1" thickTop="1" thickBot="1" x14ac:dyDescent="0.3">
      <c r="D10" s="563"/>
      <c r="E10" s="564"/>
      <c r="F10" s="564"/>
      <c r="G10" s="565"/>
    </row>
    <row r="11" spans="1:7" s="478" customFormat="1" ht="24.95" customHeight="1" thickTop="1" thickBot="1" x14ac:dyDescent="0.3">
      <c r="A11" s="477" t="s">
        <v>784</v>
      </c>
      <c r="B11" s="479"/>
      <c r="D11" s="563"/>
      <c r="E11" s="564"/>
      <c r="F11" s="564"/>
      <c r="G11" s="565"/>
    </row>
    <row r="12" spans="1:7" ht="5.0999999999999996" customHeight="1" thickTop="1" thickBot="1" x14ac:dyDescent="0.3">
      <c r="D12" s="563"/>
      <c r="E12" s="564"/>
      <c r="F12" s="564"/>
      <c r="G12" s="565"/>
    </row>
    <row r="13" spans="1:7" s="478" customFormat="1" ht="24.95" customHeight="1" thickTop="1" thickBot="1" x14ac:dyDescent="0.3">
      <c r="A13" s="477" t="s">
        <v>785</v>
      </c>
      <c r="B13" s="479"/>
      <c r="D13" s="563"/>
      <c r="E13" s="564"/>
      <c r="F13" s="564"/>
      <c r="G13" s="565"/>
    </row>
    <row r="14" spans="1:7" ht="5.0999999999999996" customHeight="1" thickTop="1" thickBot="1" x14ac:dyDescent="0.3">
      <c r="D14" s="563"/>
      <c r="E14" s="564"/>
      <c r="F14" s="564"/>
      <c r="G14" s="565"/>
    </row>
    <row r="15" spans="1:7" s="478" customFormat="1" ht="24.95" customHeight="1" thickTop="1" thickBot="1" x14ac:dyDescent="0.3">
      <c r="A15" s="477" t="s">
        <v>786</v>
      </c>
      <c r="B15" s="479"/>
      <c r="D15" s="563"/>
      <c r="E15" s="564"/>
      <c r="F15" s="564"/>
      <c r="G15" s="565"/>
    </row>
    <row r="16" spans="1:7" ht="5.0999999999999996" customHeight="1" thickTop="1" thickBot="1" x14ac:dyDescent="0.3">
      <c r="D16" s="563"/>
      <c r="E16" s="564"/>
      <c r="F16" s="564"/>
      <c r="G16" s="565"/>
    </row>
    <row r="17" spans="1:7" s="478" customFormat="1" ht="24.95" customHeight="1" thickTop="1" thickBot="1" x14ac:dyDescent="0.3">
      <c r="A17" s="477" t="s">
        <v>787</v>
      </c>
      <c r="B17" s="479"/>
      <c r="D17" s="563"/>
      <c r="E17" s="564"/>
      <c r="F17" s="564"/>
      <c r="G17" s="565"/>
    </row>
    <row r="18" spans="1:7" ht="5.0999999999999996" customHeight="1" thickTop="1" thickBot="1" x14ac:dyDescent="0.3">
      <c r="D18" s="563"/>
      <c r="E18" s="564"/>
      <c r="F18" s="564"/>
      <c r="G18" s="565"/>
    </row>
    <row r="19" spans="1:7" s="478" customFormat="1" ht="24.95" customHeight="1" thickTop="1" thickBot="1" x14ac:dyDescent="0.3">
      <c r="A19" s="477" t="s">
        <v>789</v>
      </c>
      <c r="B19" s="479"/>
      <c r="D19" s="566"/>
      <c r="E19" s="567"/>
      <c r="F19" s="567"/>
      <c r="G19" s="568"/>
    </row>
    <row r="20" spans="1:7" ht="5.0999999999999996" customHeight="1" thickTop="1" thickBot="1" x14ac:dyDescent="0.3"/>
    <row r="21" spans="1:7" s="478" customFormat="1" ht="24.95" customHeight="1" thickTop="1" thickBot="1" x14ac:dyDescent="0.3">
      <c r="A21" s="477" t="s">
        <v>790</v>
      </c>
      <c r="B21" s="479"/>
    </row>
    <row r="22" spans="1:7" ht="5.0999999999999996" customHeight="1" thickTop="1" thickBot="1" x14ac:dyDescent="0.3"/>
    <row r="23" spans="1:7" s="478" customFormat="1" ht="24.95" customHeight="1" thickTop="1" thickBot="1" x14ac:dyDescent="0.3">
      <c r="A23" s="477" t="s">
        <v>796</v>
      </c>
      <c r="B23" s="479"/>
    </row>
    <row r="24" spans="1:7" ht="5.0999999999999996" customHeight="1" thickTop="1" thickBot="1" x14ac:dyDescent="0.3"/>
    <row r="25" spans="1:7" s="478" customFormat="1" ht="24.95" customHeight="1" thickTop="1" thickBot="1" x14ac:dyDescent="0.3">
      <c r="A25" s="477" t="s">
        <v>791</v>
      </c>
      <c r="B25" s="479"/>
      <c r="D25" s="551" t="str">
        <f>авто</f>
        <v>Toyota RAV4</v>
      </c>
      <c r="E25" s="552"/>
      <c r="F25" s="552"/>
      <c r="G25" s="553"/>
    </row>
    <row r="26" spans="1:7" ht="5.0999999999999996" customHeight="1" thickTop="1" thickBot="1" x14ac:dyDescent="0.3"/>
    <row r="27" spans="1:7" s="478" customFormat="1" ht="24.95" customHeight="1" thickTop="1" thickBot="1" x14ac:dyDescent="0.3">
      <c r="A27" s="477" t="s">
        <v>792</v>
      </c>
      <c r="B27" s="479"/>
      <c r="D27" s="551" t="str">
        <f>госномер</f>
        <v>с530ео777</v>
      </c>
      <c r="E27" s="552"/>
      <c r="F27" s="552"/>
      <c r="G27" s="553"/>
    </row>
    <row r="28" spans="1:7" ht="15.75" thickTop="1" x14ac:dyDescent="0.25"/>
  </sheetData>
  <mergeCells count="7">
    <mergeCell ref="D25:G25"/>
    <mergeCell ref="D27:G27"/>
    <mergeCell ref="A1:B5"/>
    <mergeCell ref="D9:G19"/>
    <mergeCell ref="D1:G1"/>
    <mergeCell ref="D3:G3"/>
    <mergeCell ref="D5:G5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F0"/>
  </sheetPr>
  <dimension ref="A1:K66"/>
  <sheetViews>
    <sheetView view="pageBreakPreview" topLeftCell="A28" zoomScale="85" zoomScaleSheetLayoutView="85" workbookViewId="0">
      <selection activeCell="A39" sqref="A39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772</v>
      </c>
      <c r="C2" s="273" t="s">
        <v>387</v>
      </c>
      <c r="D2" s="272" t="s">
        <v>561</v>
      </c>
    </row>
    <row r="3" spans="1:11" s="261" customFormat="1" ht="21" customHeight="1" x14ac:dyDescent="0.25">
      <c r="A3" s="274" t="s">
        <v>92</v>
      </c>
      <c r="B3" s="272">
        <v>0.52847222429182805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0.5770833354029391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582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0.54097222222222219</v>
      </c>
      <c r="C10" s="726"/>
      <c r="D10" s="727"/>
    </row>
    <row r="11" spans="1:11" ht="30" customHeight="1" x14ac:dyDescent="0.25">
      <c r="A11" s="29">
        <v>2</v>
      </c>
      <c r="B11" s="76">
        <v>0.54166666666666663</v>
      </c>
      <c r="C11" s="726"/>
      <c r="D11" s="727"/>
    </row>
    <row r="12" spans="1:11" ht="30" customHeight="1" x14ac:dyDescent="0.25">
      <c r="A12" s="29">
        <v>4</v>
      </c>
      <c r="B12" s="76">
        <v>0.54305555555555551</v>
      </c>
      <c r="C12" s="726"/>
      <c r="D12" s="727"/>
    </row>
    <row r="13" spans="1:11" ht="30" customHeight="1" x14ac:dyDescent="0.25">
      <c r="A13" s="29">
        <v>5</v>
      </c>
      <c r="B13" s="76">
        <v>0.5444444444444444</v>
      </c>
      <c r="C13" s="726"/>
      <c r="D13" s="727"/>
    </row>
    <row r="14" spans="1:11" ht="30" customHeight="1" x14ac:dyDescent="0.25">
      <c r="A14" s="29">
        <v>7</v>
      </c>
      <c r="B14" s="76">
        <v>0.54583333333333328</v>
      </c>
      <c r="C14" s="726"/>
      <c r="D14" s="727"/>
    </row>
    <row r="15" spans="1:11" ht="30" customHeight="1" x14ac:dyDescent="0.25">
      <c r="A15" s="29">
        <v>9</v>
      </c>
      <c r="B15" s="76">
        <v>0.54722222222222217</v>
      </c>
      <c r="C15" s="726"/>
      <c r="D15" s="727"/>
    </row>
    <row r="16" spans="1:11" ht="30" customHeight="1" x14ac:dyDescent="0.25">
      <c r="A16" s="29">
        <v>11</v>
      </c>
      <c r="B16" s="76">
        <v>0.54791666666666672</v>
      </c>
      <c r="C16" s="726"/>
      <c r="D16" s="727"/>
    </row>
    <row r="17" spans="1:4" ht="30" customHeight="1" x14ac:dyDescent="0.25">
      <c r="A17" s="29">
        <v>12</v>
      </c>
      <c r="B17" s="76">
        <v>0.5493055555555556</v>
      </c>
      <c r="C17" s="726"/>
      <c r="D17" s="727"/>
    </row>
    <row r="18" spans="1:4" ht="30" customHeight="1" x14ac:dyDescent="0.25">
      <c r="A18" s="29">
        <v>10</v>
      </c>
      <c r="B18" s="76">
        <v>0.5493055555555556</v>
      </c>
      <c r="C18" s="726"/>
      <c r="D18" s="727"/>
    </row>
    <row r="19" spans="1:4" ht="30" customHeight="1" x14ac:dyDescent="0.25">
      <c r="A19" s="29">
        <v>13</v>
      </c>
      <c r="B19" s="76">
        <v>0.54999999999999993</v>
      </c>
      <c r="C19" s="726"/>
      <c r="D19" s="727"/>
    </row>
    <row r="20" spans="1:4" ht="30" customHeight="1" x14ac:dyDescent="0.25">
      <c r="A20" s="29">
        <v>8</v>
      </c>
      <c r="B20" s="76">
        <v>0.55069444444444449</v>
      </c>
      <c r="C20" s="726"/>
      <c r="D20" s="727"/>
    </row>
    <row r="21" spans="1:4" ht="30" customHeight="1" x14ac:dyDescent="0.25">
      <c r="A21" s="29">
        <v>18</v>
      </c>
      <c r="B21" s="76">
        <v>0.55069444444444449</v>
      </c>
      <c r="C21" s="726"/>
      <c r="D21" s="727"/>
    </row>
    <row r="22" spans="1:4" ht="30" customHeight="1" x14ac:dyDescent="0.25">
      <c r="A22" s="29">
        <v>16</v>
      </c>
      <c r="B22" s="76">
        <v>0.55069444444444449</v>
      </c>
      <c r="C22" s="726"/>
      <c r="D22" s="727"/>
    </row>
    <row r="23" spans="1:4" ht="30" customHeight="1" x14ac:dyDescent="0.25">
      <c r="A23" s="29">
        <v>17</v>
      </c>
      <c r="B23" s="76">
        <v>0.5541666666666667</v>
      </c>
      <c r="C23" s="726"/>
      <c r="D23" s="727"/>
    </row>
    <row r="24" spans="1:4" ht="30" customHeight="1" x14ac:dyDescent="0.25">
      <c r="A24" s="29">
        <v>14</v>
      </c>
      <c r="B24" s="76">
        <v>0.5541666666666667</v>
      </c>
      <c r="C24" s="726"/>
      <c r="D24" s="727"/>
    </row>
    <row r="25" spans="1:4" ht="30" customHeight="1" x14ac:dyDescent="0.25">
      <c r="A25" s="29">
        <v>22</v>
      </c>
      <c r="B25" s="76">
        <v>0.55486111111111114</v>
      </c>
      <c r="C25" s="726"/>
      <c r="D25" s="727"/>
    </row>
    <row r="26" spans="1:4" ht="30" customHeight="1" x14ac:dyDescent="0.25">
      <c r="A26" s="29">
        <v>6</v>
      </c>
      <c r="B26" s="76">
        <v>0.55625000000000002</v>
      </c>
      <c r="C26" s="726"/>
      <c r="D26" s="727"/>
    </row>
    <row r="27" spans="1:4" ht="30" customHeight="1" x14ac:dyDescent="0.25">
      <c r="A27" s="29">
        <v>23</v>
      </c>
      <c r="B27" s="76">
        <v>0.55625000000000002</v>
      </c>
      <c r="C27" s="726"/>
      <c r="D27" s="727"/>
    </row>
    <row r="28" spans="1:4" ht="30" customHeight="1" x14ac:dyDescent="0.25">
      <c r="A28" s="29">
        <v>25</v>
      </c>
      <c r="B28" s="76">
        <v>0.55694444444444446</v>
      </c>
      <c r="C28" s="726"/>
      <c r="D28" s="727"/>
    </row>
    <row r="29" spans="1:4" ht="30" customHeight="1" x14ac:dyDescent="0.25">
      <c r="A29" s="29">
        <v>29</v>
      </c>
      <c r="B29" s="76">
        <v>0.55833333333333335</v>
      </c>
      <c r="C29" s="726"/>
      <c r="D29" s="727"/>
    </row>
    <row r="30" spans="1:4" ht="30" customHeight="1" x14ac:dyDescent="0.25">
      <c r="A30" s="29">
        <v>26</v>
      </c>
      <c r="B30" s="76">
        <v>0.55833333333333335</v>
      </c>
      <c r="C30" s="726"/>
      <c r="D30" s="727"/>
    </row>
    <row r="31" spans="1:4" ht="30" customHeight="1" x14ac:dyDescent="0.25">
      <c r="A31" s="29">
        <v>24</v>
      </c>
      <c r="B31" s="76">
        <v>0.55833333333333335</v>
      </c>
      <c r="C31" s="726"/>
      <c r="D31" s="727"/>
    </row>
    <row r="32" spans="1:4" ht="30" customHeight="1" x14ac:dyDescent="0.25">
      <c r="A32" s="29">
        <v>30</v>
      </c>
      <c r="B32" s="76">
        <v>0.56111111111111112</v>
      </c>
      <c r="C32" s="726"/>
      <c r="D32" s="727"/>
    </row>
    <row r="33" spans="1:4" ht="30" customHeight="1" x14ac:dyDescent="0.25">
      <c r="A33" s="29">
        <v>33</v>
      </c>
      <c r="B33" s="76">
        <v>0.56111111111111112</v>
      </c>
      <c r="C33" s="726"/>
      <c r="D33" s="727"/>
    </row>
    <row r="34" spans="1:4" ht="30" customHeight="1" x14ac:dyDescent="0.25">
      <c r="A34" s="29">
        <v>31</v>
      </c>
      <c r="B34" s="76">
        <v>0.56111111111111112</v>
      </c>
      <c r="C34" s="726"/>
      <c r="D34" s="727"/>
    </row>
    <row r="35" spans="1:4" ht="30" customHeight="1" x14ac:dyDescent="0.25">
      <c r="A35" s="29">
        <v>34</v>
      </c>
      <c r="B35" s="76">
        <v>0.56180555555555556</v>
      </c>
      <c r="C35" s="726"/>
      <c r="D35" s="727"/>
    </row>
    <row r="36" spans="1:4" ht="30" customHeight="1" x14ac:dyDescent="0.25">
      <c r="A36" s="29">
        <v>21</v>
      </c>
      <c r="B36" s="76">
        <v>0.56180555555555556</v>
      </c>
      <c r="C36" s="726"/>
      <c r="D36" s="727"/>
    </row>
    <row r="37" spans="1:4" ht="30" customHeight="1" x14ac:dyDescent="0.25">
      <c r="A37" s="29">
        <v>38</v>
      </c>
      <c r="B37" s="76">
        <v>0.56319444444444444</v>
      </c>
      <c r="C37" s="726"/>
      <c r="D37" s="727"/>
    </row>
    <row r="38" spans="1:4" ht="30" customHeight="1" x14ac:dyDescent="0.25">
      <c r="A38" s="29">
        <v>20</v>
      </c>
      <c r="B38" s="76">
        <v>0.56180555555555556</v>
      </c>
      <c r="C38" s="726"/>
      <c r="D38" s="727"/>
    </row>
    <row r="39" spans="1:4" ht="30" customHeight="1" x14ac:dyDescent="0.25">
      <c r="A39" s="29">
        <v>35</v>
      </c>
      <c r="B39" s="76">
        <v>0.56319444444444444</v>
      </c>
      <c r="C39" s="726"/>
      <c r="D39" s="727"/>
    </row>
    <row r="40" spans="1:4" ht="30" customHeight="1" x14ac:dyDescent="0.25">
      <c r="A40" s="29">
        <v>37</v>
      </c>
      <c r="B40" s="76">
        <v>0.56388888888888888</v>
      </c>
      <c r="C40" s="726"/>
      <c r="D40" s="727"/>
    </row>
    <row r="41" spans="1:4" ht="30" customHeight="1" x14ac:dyDescent="0.25">
      <c r="A41" s="29">
        <v>39</v>
      </c>
      <c r="B41" s="76">
        <v>0.56458333333333333</v>
      </c>
      <c r="C41" s="726"/>
      <c r="D41" s="727"/>
    </row>
    <row r="42" spans="1:4" ht="30" customHeight="1" x14ac:dyDescent="0.25">
      <c r="A42" s="29">
        <v>40</v>
      </c>
      <c r="B42" s="76">
        <v>0.56527777777777777</v>
      </c>
      <c r="C42" s="726"/>
      <c r="D42" s="727"/>
    </row>
    <row r="43" spans="1:4" ht="30" customHeight="1" x14ac:dyDescent="0.25">
      <c r="A43" s="29">
        <v>41</v>
      </c>
      <c r="B43" s="76">
        <v>0.56597222222222221</v>
      </c>
      <c r="C43" s="726"/>
      <c r="D43" s="727"/>
    </row>
    <row r="44" spans="1:4" ht="30" customHeight="1" x14ac:dyDescent="0.25">
      <c r="A44" s="29">
        <v>42</v>
      </c>
      <c r="B44" s="76">
        <v>0.56666666666666665</v>
      </c>
      <c r="C44" s="726"/>
      <c r="D44" s="727"/>
    </row>
    <row r="45" spans="1:4" ht="30" customHeight="1" x14ac:dyDescent="0.25">
      <c r="A45" s="29">
        <v>44</v>
      </c>
      <c r="B45" s="76">
        <v>0.56736111111111109</v>
      </c>
      <c r="C45" s="726"/>
      <c r="D45" s="727"/>
    </row>
    <row r="46" spans="1:4" ht="30" customHeight="1" x14ac:dyDescent="0.25">
      <c r="A46" s="29">
        <v>43</v>
      </c>
      <c r="B46" s="76">
        <v>0.56805555555555554</v>
      </c>
      <c r="C46" s="726"/>
      <c r="D46" s="727"/>
    </row>
    <row r="47" spans="1:4" ht="30" customHeight="1" x14ac:dyDescent="0.25">
      <c r="A47" s="29">
        <v>45</v>
      </c>
      <c r="B47" s="76">
        <v>0.56944444444444442</v>
      </c>
      <c r="C47" s="726"/>
      <c r="D47" s="727"/>
    </row>
    <row r="48" spans="1:4" ht="30" customHeight="1" x14ac:dyDescent="0.25">
      <c r="A48" s="29">
        <v>47</v>
      </c>
      <c r="B48" s="76">
        <v>0.57013888888888886</v>
      </c>
      <c r="C48" s="726"/>
      <c r="D48" s="727"/>
    </row>
    <row r="49" spans="1:4" ht="30" customHeight="1" x14ac:dyDescent="0.25">
      <c r="A49" s="29">
        <v>36</v>
      </c>
      <c r="B49" s="76">
        <v>0.57291666666666663</v>
      </c>
      <c r="C49" s="726"/>
      <c r="D49" s="727"/>
    </row>
    <row r="50" spans="1:4" ht="30" customHeight="1" x14ac:dyDescent="0.25">
      <c r="A50" s="29">
        <v>32</v>
      </c>
      <c r="B50" s="76">
        <v>0.57986111111111105</v>
      </c>
      <c r="C50" s="726"/>
      <c r="D50" s="727"/>
    </row>
    <row r="51" spans="1:4" ht="30" customHeight="1" x14ac:dyDescent="0.25">
      <c r="A51" s="29">
        <v>3</v>
      </c>
      <c r="B51" s="76">
        <v>0.58472222222222225</v>
      </c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tabColor rgb="FF00B0F0"/>
  </sheetPr>
  <dimension ref="A1:K66"/>
  <sheetViews>
    <sheetView view="pageBreakPreview" topLeftCell="A33" zoomScale="85" zoomScaleSheetLayoutView="85" workbookViewId="0">
      <selection activeCell="A36" sqref="A36:XFD36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765</v>
      </c>
      <c r="C2" s="273" t="s">
        <v>387</v>
      </c>
      <c r="D2" s="272"/>
    </row>
    <row r="3" spans="1:11" s="261" customFormat="1" ht="21" customHeight="1" x14ac:dyDescent="0.25">
      <c r="A3" s="274" t="s">
        <v>92</v>
      </c>
      <c r="B3" s="272">
        <v>0.55277778026130475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0.6013888913724158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696</v>
      </c>
      <c r="B7" s="725"/>
      <c r="C7" s="725"/>
      <c r="D7" s="725"/>
    </row>
    <row r="8" spans="1:11" s="268" customFormat="1" ht="21" customHeight="1" x14ac:dyDescent="0.25">
      <c r="A8" s="271" t="s">
        <v>405</v>
      </c>
      <c r="B8" s="270" t="s">
        <v>185</v>
      </c>
      <c r="C8" s="270" t="s">
        <v>185</v>
      </c>
      <c r="D8" s="269"/>
    </row>
    <row r="9" spans="1:11" ht="21" x14ac:dyDescent="0.25">
      <c r="A9" s="69" t="s">
        <v>0</v>
      </c>
      <c r="B9" s="70" t="s">
        <v>62</v>
      </c>
      <c r="C9" s="464" t="s">
        <v>685</v>
      </c>
      <c r="D9" s="70" t="s">
        <v>88</v>
      </c>
      <c r="J9" s="25"/>
      <c r="K9" s="26"/>
    </row>
    <row r="10" spans="1:11" ht="30" customHeight="1" x14ac:dyDescent="0.25">
      <c r="A10" s="29">
        <v>1</v>
      </c>
      <c r="B10" s="76">
        <v>0.56527777777777777</v>
      </c>
      <c r="C10" s="76">
        <v>0.56736111111111109</v>
      </c>
      <c r="D10" s="71"/>
    </row>
    <row r="11" spans="1:11" ht="30" customHeight="1" x14ac:dyDescent="0.25">
      <c r="A11" s="29">
        <v>2</v>
      </c>
      <c r="B11" s="76">
        <v>0.56597222222222221</v>
      </c>
      <c r="C11" s="76">
        <v>0.56805555555555554</v>
      </c>
      <c r="D11" s="71"/>
    </row>
    <row r="12" spans="1:11" ht="30" customHeight="1" x14ac:dyDescent="0.25">
      <c r="A12" s="29">
        <v>4</v>
      </c>
      <c r="B12" s="76">
        <v>0.56736111111111109</v>
      </c>
      <c r="C12" s="76">
        <v>0.56944444444444442</v>
      </c>
      <c r="D12" s="71"/>
    </row>
    <row r="13" spans="1:11" ht="30" customHeight="1" x14ac:dyDescent="0.25">
      <c r="A13" s="29">
        <v>5</v>
      </c>
      <c r="B13" s="76">
        <v>0.56874999999999998</v>
      </c>
      <c r="C13" s="76">
        <v>0.5708333333333333</v>
      </c>
      <c r="D13" s="71"/>
    </row>
    <row r="14" spans="1:11" ht="30" customHeight="1" x14ac:dyDescent="0.25">
      <c r="A14" s="29">
        <v>7</v>
      </c>
      <c r="B14" s="76">
        <v>0.57013888888888886</v>
      </c>
      <c r="C14" s="76">
        <v>0.57222222222222219</v>
      </c>
      <c r="D14" s="71"/>
    </row>
    <row r="15" spans="1:11" ht="30" customHeight="1" x14ac:dyDescent="0.25">
      <c r="A15" s="29">
        <v>9</v>
      </c>
      <c r="B15" s="76">
        <v>0.57152777777777775</v>
      </c>
      <c r="C15" s="76">
        <v>0.57361111111111118</v>
      </c>
      <c r="D15" s="71"/>
    </row>
    <row r="16" spans="1:11" ht="30" customHeight="1" x14ac:dyDescent="0.25">
      <c r="A16" s="29">
        <v>11</v>
      </c>
      <c r="B16" s="76">
        <v>0.57222222222222219</v>
      </c>
      <c r="C16" s="76">
        <v>0.57430555555555551</v>
      </c>
      <c r="D16" s="71"/>
    </row>
    <row r="17" spans="1:4" ht="30" customHeight="1" x14ac:dyDescent="0.25">
      <c r="A17" s="29">
        <v>12</v>
      </c>
      <c r="B17" s="76">
        <v>0.57361111111111118</v>
      </c>
      <c r="C17" s="76">
        <v>0.5756944444444444</v>
      </c>
      <c r="D17" s="71"/>
    </row>
    <row r="18" spans="1:4" ht="30" customHeight="1" x14ac:dyDescent="0.25">
      <c r="A18" s="29">
        <v>10</v>
      </c>
      <c r="B18" s="76">
        <v>0.57361111111111118</v>
      </c>
      <c r="C18" s="76">
        <v>0.57638888888888895</v>
      </c>
      <c r="D18" s="71"/>
    </row>
    <row r="19" spans="1:4" ht="30" customHeight="1" x14ac:dyDescent="0.25">
      <c r="A19" s="29">
        <v>13</v>
      </c>
      <c r="B19" s="76">
        <v>0.57430555555555551</v>
      </c>
      <c r="C19" s="76">
        <v>0.57708333333333328</v>
      </c>
      <c r="D19" s="71"/>
    </row>
    <row r="20" spans="1:4" ht="30" customHeight="1" x14ac:dyDescent="0.25">
      <c r="A20" s="29">
        <v>8</v>
      </c>
      <c r="B20" s="76">
        <v>0.57500000000000007</v>
      </c>
      <c r="C20" s="76">
        <v>0.57777777777777783</v>
      </c>
      <c r="D20" s="71"/>
    </row>
    <row r="21" spans="1:4" ht="30" customHeight="1" x14ac:dyDescent="0.25">
      <c r="A21" s="29">
        <v>16</v>
      </c>
      <c r="B21" s="76">
        <v>0.57500000000000007</v>
      </c>
      <c r="C21" s="76">
        <v>0.57847222222222217</v>
      </c>
      <c r="D21" s="71"/>
    </row>
    <row r="22" spans="1:4" ht="30" customHeight="1" x14ac:dyDescent="0.25">
      <c r="A22" s="29">
        <v>18</v>
      </c>
      <c r="B22" s="76">
        <v>0.57500000000000007</v>
      </c>
      <c r="C22" s="76">
        <v>0.57916666666666672</v>
      </c>
      <c r="D22" s="71"/>
    </row>
    <row r="23" spans="1:4" ht="30" customHeight="1" x14ac:dyDescent="0.25">
      <c r="A23" s="29">
        <v>17</v>
      </c>
      <c r="B23" s="76">
        <v>0.57847222222222217</v>
      </c>
      <c r="C23" s="76">
        <v>0.5805555555555556</v>
      </c>
      <c r="D23" s="71"/>
    </row>
    <row r="24" spans="1:4" ht="30" customHeight="1" x14ac:dyDescent="0.25">
      <c r="A24" s="29">
        <v>14</v>
      </c>
      <c r="B24" s="76">
        <v>0.57847222222222217</v>
      </c>
      <c r="C24" s="76">
        <v>0.58124999999999993</v>
      </c>
      <c r="D24" s="71"/>
    </row>
    <row r="25" spans="1:4" ht="30" customHeight="1" x14ac:dyDescent="0.25">
      <c r="A25" s="29">
        <v>22</v>
      </c>
      <c r="B25" s="76">
        <v>0.57916666666666672</v>
      </c>
      <c r="C25" s="76">
        <v>0.58194444444444449</v>
      </c>
      <c r="D25" s="71"/>
    </row>
    <row r="26" spans="1:4" ht="30" customHeight="1" x14ac:dyDescent="0.25">
      <c r="A26" s="29">
        <v>6</v>
      </c>
      <c r="B26" s="76">
        <v>0.5805555555555556</v>
      </c>
      <c r="C26" s="76">
        <v>0.58263888888888882</v>
      </c>
      <c r="D26" s="71"/>
    </row>
    <row r="27" spans="1:4" ht="30" customHeight="1" x14ac:dyDescent="0.25">
      <c r="A27" s="29">
        <v>23</v>
      </c>
      <c r="B27" s="76">
        <v>0.58124999999999993</v>
      </c>
      <c r="C27" s="76">
        <v>0.58333333333333337</v>
      </c>
      <c r="D27" s="71"/>
    </row>
    <row r="28" spans="1:4" ht="30" customHeight="1" x14ac:dyDescent="0.25">
      <c r="A28" s="29">
        <v>25</v>
      </c>
      <c r="B28" s="76">
        <v>0.58124999999999993</v>
      </c>
      <c r="C28" s="76">
        <v>0.58402777777777781</v>
      </c>
      <c r="D28" s="71"/>
    </row>
    <row r="29" spans="1:4" ht="30" customHeight="1" x14ac:dyDescent="0.25">
      <c r="A29" s="29">
        <v>29</v>
      </c>
      <c r="B29" s="76">
        <v>0.58263888888888882</v>
      </c>
      <c r="C29" s="76">
        <v>0.58472222222222225</v>
      </c>
      <c r="D29" s="71"/>
    </row>
    <row r="30" spans="1:4" ht="30" customHeight="1" x14ac:dyDescent="0.25">
      <c r="A30" s="29">
        <v>24</v>
      </c>
      <c r="B30" s="76">
        <v>0.58263888888888882</v>
      </c>
      <c r="C30" s="76">
        <v>0.5854166666666667</v>
      </c>
      <c r="D30" s="71"/>
    </row>
    <row r="31" spans="1:4" ht="30" customHeight="1" x14ac:dyDescent="0.25">
      <c r="A31" s="29">
        <v>26</v>
      </c>
      <c r="B31" s="76">
        <v>0.58333333333333337</v>
      </c>
      <c r="C31" s="76">
        <v>0.58611111111111114</v>
      </c>
      <c r="D31" s="71"/>
    </row>
    <row r="32" spans="1:4" ht="30" customHeight="1" x14ac:dyDescent="0.25">
      <c r="A32" s="29">
        <v>30</v>
      </c>
      <c r="B32" s="76">
        <v>0.5854166666666667</v>
      </c>
      <c r="C32" s="76">
        <v>0.58750000000000002</v>
      </c>
      <c r="D32" s="71"/>
    </row>
    <row r="33" spans="1:4" ht="30" customHeight="1" x14ac:dyDescent="0.25">
      <c r="A33" s="29">
        <v>33</v>
      </c>
      <c r="B33" s="76">
        <v>0.5854166666666667</v>
      </c>
      <c r="C33" s="76">
        <v>0.58819444444444446</v>
      </c>
      <c r="D33" s="71"/>
    </row>
    <row r="34" spans="1:4" ht="30" customHeight="1" x14ac:dyDescent="0.25">
      <c r="A34" s="29">
        <v>31</v>
      </c>
      <c r="B34" s="76">
        <v>0.5854166666666667</v>
      </c>
      <c r="C34" s="76">
        <v>0.58888888888888891</v>
      </c>
      <c r="D34" s="71"/>
    </row>
    <row r="35" spans="1:4" ht="30" customHeight="1" x14ac:dyDescent="0.25">
      <c r="A35" s="29">
        <v>34</v>
      </c>
      <c r="B35" s="76">
        <v>0.58611111111111114</v>
      </c>
      <c r="C35" s="76">
        <v>0.59027777777777779</v>
      </c>
      <c r="D35" s="71"/>
    </row>
    <row r="36" spans="1:4" ht="30" customHeight="1" x14ac:dyDescent="0.25">
      <c r="A36" s="29">
        <v>20</v>
      </c>
      <c r="B36" s="76">
        <v>0.58611111111111114</v>
      </c>
      <c r="C36" s="76">
        <v>0.58958333333333335</v>
      </c>
      <c r="D36" s="71"/>
    </row>
    <row r="37" spans="1:4" ht="30" customHeight="1" x14ac:dyDescent="0.25">
      <c r="A37" s="29">
        <v>35</v>
      </c>
      <c r="B37" s="76">
        <v>0.58611111111111114</v>
      </c>
      <c r="C37" s="76">
        <v>0.59097222222222223</v>
      </c>
      <c r="D37" s="71"/>
    </row>
    <row r="38" spans="1:4" ht="30" customHeight="1" x14ac:dyDescent="0.25">
      <c r="A38" s="29">
        <v>21</v>
      </c>
      <c r="B38" s="76">
        <v>0.58611111111111114</v>
      </c>
      <c r="C38" s="76">
        <v>0.59166666666666667</v>
      </c>
      <c r="D38" s="71"/>
    </row>
    <row r="39" spans="1:4" ht="30" customHeight="1" x14ac:dyDescent="0.25">
      <c r="A39" s="29">
        <v>38</v>
      </c>
      <c r="B39" s="76">
        <v>0.58750000000000002</v>
      </c>
      <c r="C39" s="76">
        <v>0.59236111111111112</v>
      </c>
      <c r="D39" s="71"/>
    </row>
    <row r="40" spans="1:4" ht="30" customHeight="1" x14ac:dyDescent="0.25">
      <c r="A40" s="29">
        <v>37</v>
      </c>
      <c r="B40" s="76">
        <v>0.58819444444444446</v>
      </c>
      <c r="C40" s="76">
        <v>0.59305555555555556</v>
      </c>
      <c r="D40" s="71"/>
    </row>
    <row r="41" spans="1:4" ht="30" customHeight="1" x14ac:dyDescent="0.25">
      <c r="A41" s="29">
        <v>39</v>
      </c>
      <c r="B41" s="76">
        <v>0.58888888888888891</v>
      </c>
      <c r="C41" s="76">
        <v>0.59375</v>
      </c>
      <c r="D41" s="71"/>
    </row>
    <row r="42" spans="1:4" ht="30" customHeight="1" x14ac:dyDescent="0.25">
      <c r="A42" s="29">
        <v>40</v>
      </c>
      <c r="B42" s="76">
        <v>0.58958333333333335</v>
      </c>
      <c r="C42" s="76">
        <v>0.59444444444444444</v>
      </c>
      <c r="D42" s="71"/>
    </row>
    <row r="43" spans="1:4" ht="30" customHeight="1" x14ac:dyDescent="0.25">
      <c r="A43" s="29">
        <v>41</v>
      </c>
      <c r="B43" s="76">
        <v>0.59027777777777779</v>
      </c>
      <c r="C43" s="76">
        <v>0.59513888888888888</v>
      </c>
      <c r="D43" s="71"/>
    </row>
    <row r="44" spans="1:4" ht="30" customHeight="1" x14ac:dyDescent="0.25">
      <c r="A44" s="29">
        <v>42</v>
      </c>
      <c r="B44" s="76">
        <v>0.59097222222222223</v>
      </c>
      <c r="C44" s="76">
        <v>0.59583333333333333</v>
      </c>
      <c r="D44" s="71"/>
    </row>
    <row r="45" spans="1:4" ht="30" customHeight="1" x14ac:dyDescent="0.25">
      <c r="A45" s="29">
        <v>44</v>
      </c>
      <c r="B45" s="76">
        <v>0.59166666666666667</v>
      </c>
      <c r="C45" s="76">
        <v>0.59652777777777777</v>
      </c>
      <c r="D45" s="71"/>
    </row>
    <row r="46" spans="1:4" ht="30" customHeight="1" x14ac:dyDescent="0.25">
      <c r="A46" s="29">
        <v>43</v>
      </c>
      <c r="B46" s="76">
        <v>0.59236111111111112</v>
      </c>
      <c r="C46" s="76">
        <v>0.59722222222222221</v>
      </c>
      <c r="D46" s="71"/>
    </row>
    <row r="47" spans="1:4" ht="30" customHeight="1" x14ac:dyDescent="0.25">
      <c r="A47" s="29">
        <v>45</v>
      </c>
      <c r="B47" s="76">
        <v>0.59375</v>
      </c>
      <c r="C47" s="76">
        <v>0.59791666666666665</v>
      </c>
      <c r="D47" s="71"/>
    </row>
    <row r="48" spans="1:4" ht="30" customHeight="1" x14ac:dyDescent="0.25">
      <c r="A48" s="29">
        <v>47</v>
      </c>
      <c r="B48" s="76">
        <v>0.59444444444444444</v>
      </c>
      <c r="C48" s="76">
        <v>0.59861111111111109</v>
      </c>
      <c r="D48" s="71"/>
    </row>
    <row r="49" spans="1:4" ht="30" customHeight="1" x14ac:dyDescent="0.25">
      <c r="A49" s="29">
        <v>36</v>
      </c>
      <c r="B49" s="76">
        <v>0.59722222222222221</v>
      </c>
      <c r="C49" s="76">
        <v>0.59930555555555554</v>
      </c>
      <c r="D49" s="71"/>
    </row>
    <row r="50" spans="1:4" ht="30" customHeight="1" x14ac:dyDescent="0.25">
      <c r="A50" s="29">
        <v>32</v>
      </c>
      <c r="B50" s="76">
        <v>0.60416666666666663</v>
      </c>
      <c r="C50" s="76">
        <v>0.60625000000000007</v>
      </c>
      <c r="D50" s="71"/>
    </row>
    <row r="51" spans="1:4" ht="30" customHeight="1" x14ac:dyDescent="0.25">
      <c r="A51" s="29">
        <v>3</v>
      </c>
      <c r="B51" s="76">
        <v>0.6069444444444444</v>
      </c>
      <c r="C51" s="76">
        <v>0.60902777777777783</v>
      </c>
      <c r="D51" s="71"/>
    </row>
    <row r="52" spans="1:4" ht="30" customHeight="1" x14ac:dyDescent="0.25">
      <c r="A52" s="29"/>
      <c r="B52" s="76"/>
      <c r="C52" s="76"/>
      <c r="D52" s="71"/>
    </row>
    <row r="53" spans="1:4" ht="30" customHeight="1" x14ac:dyDescent="0.25">
      <c r="A53" s="29"/>
      <c r="B53" s="76"/>
      <c r="C53" s="76"/>
      <c r="D53" s="71"/>
    </row>
    <row r="54" spans="1:4" ht="30" customHeight="1" x14ac:dyDescent="0.25">
      <c r="A54" s="29"/>
      <c r="B54" s="76"/>
      <c r="C54" s="76"/>
      <c r="D54" s="71"/>
    </row>
    <row r="55" spans="1:4" ht="30" customHeight="1" x14ac:dyDescent="0.25">
      <c r="A55" s="29"/>
      <c r="B55" s="76"/>
      <c r="C55" s="76"/>
      <c r="D55" s="71"/>
    </row>
    <row r="56" spans="1:4" ht="30" customHeight="1" x14ac:dyDescent="0.25">
      <c r="A56" s="29"/>
      <c r="B56" s="76"/>
      <c r="C56" s="76"/>
      <c r="D56" s="71"/>
    </row>
    <row r="57" spans="1:4" ht="30" customHeight="1" x14ac:dyDescent="0.25">
      <c r="A57" s="29"/>
      <c r="B57" s="76"/>
      <c r="C57" s="76"/>
      <c r="D57" s="71"/>
    </row>
    <row r="58" spans="1:4" ht="30" customHeight="1" x14ac:dyDescent="0.25">
      <c r="A58" s="29"/>
      <c r="B58" s="76"/>
      <c r="C58" s="76"/>
      <c r="D58" s="71"/>
    </row>
    <row r="59" spans="1:4" ht="30" customHeight="1" x14ac:dyDescent="0.25">
      <c r="A59" s="29"/>
      <c r="B59" s="76"/>
      <c r="C59" s="76"/>
      <c r="D59" s="71"/>
    </row>
    <row r="60" spans="1:4" ht="30" customHeight="1" x14ac:dyDescent="0.25">
      <c r="A60" s="29"/>
      <c r="B60" s="76"/>
      <c r="C60" s="76"/>
      <c r="D60" s="71"/>
    </row>
    <row r="61" spans="1:4" ht="30" customHeight="1" x14ac:dyDescent="0.25">
      <c r="A61" s="29"/>
      <c r="B61" s="76"/>
      <c r="C61" s="76"/>
      <c r="D61" s="71"/>
    </row>
    <row r="62" spans="1:4" ht="30" customHeight="1" x14ac:dyDescent="0.25">
      <c r="A62" s="29"/>
      <c r="B62" s="76"/>
      <c r="C62" s="76"/>
      <c r="D62" s="71"/>
    </row>
    <row r="63" spans="1:4" ht="30" customHeight="1" x14ac:dyDescent="0.25">
      <c r="A63" s="29"/>
      <c r="B63" s="76"/>
      <c r="C63" s="76"/>
      <c r="D63" s="71"/>
    </row>
    <row r="64" spans="1:4" ht="30" customHeight="1" x14ac:dyDescent="0.25">
      <c r="A64" s="29"/>
      <c r="B64" s="76"/>
      <c r="C64" s="76"/>
      <c r="D64" s="71"/>
    </row>
    <row r="65" spans="1:4" ht="30" customHeight="1" x14ac:dyDescent="0.25">
      <c r="A65" s="29"/>
      <c r="B65" s="76"/>
      <c r="C65" s="76"/>
      <c r="D65" s="71"/>
    </row>
    <row r="66" spans="1:4" ht="30" customHeight="1" x14ac:dyDescent="0.25">
      <c r="A66" s="29"/>
      <c r="B66" s="76"/>
      <c r="C66" s="76"/>
      <c r="D66" s="71"/>
    </row>
  </sheetData>
  <sheetProtection sheet="1" objects="1" scenarios="1"/>
  <mergeCells count="1">
    <mergeCell ref="A7:D7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00B0F0"/>
  </sheetPr>
  <dimension ref="A1:K66"/>
  <sheetViews>
    <sheetView view="pageBreakPreview" topLeftCell="A39" zoomScale="85" zoomScaleSheetLayoutView="85" workbookViewId="0">
      <selection activeCell="B51" sqref="B5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766</v>
      </c>
      <c r="C2" s="273" t="s">
        <v>387</v>
      </c>
      <c r="D2" s="272" t="s">
        <v>569</v>
      </c>
    </row>
    <row r="3" spans="1:11" s="261" customFormat="1" ht="21" customHeight="1" x14ac:dyDescent="0.25">
      <c r="A3" s="274" t="s">
        <v>92</v>
      </c>
      <c r="B3" s="272">
        <v>0.55277778026130475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0.6013888913724158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519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102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0.56736111111111109</v>
      </c>
      <c r="C10" s="726"/>
      <c r="D10" s="727"/>
    </row>
    <row r="11" spans="1:11" ht="30" customHeight="1" x14ac:dyDescent="0.25">
      <c r="A11" s="29">
        <v>2</v>
      </c>
      <c r="B11" s="76">
        <v>0.56805555555555554</v>
      </c>
      <c r="C11" s="726"/>
      <c r="D11" s="727"/>
    </row>
    <row r="12" spans="1:11" ht="30" customHeight="1" x14ac:dyDescent="0.25">
      <c r="A12" s="29">
        <v>4</v>
      </c>
      <c r="B12" s="76">
        <v>0.56944444444444442</v>
      </c>
      <c r="C12" s="726"/>
      <c r="D12" s="727"/>
    </row>
    <row r="13" spans="1:11" ht="30" customHeight="1" x14ac:dyDescent="0.25">
      <c r="A13" s="29">
        <v>5</v>
      </c>
      <c r="B13" s="76">
        <v>0.5708333333333333</v>
      </c>
      <c r="C13" s="726"/>
      <c r="D13" s="727"/>
    </row>
    <row r="14" spans="1:11" ht="30" customHeight="1" x14ac:dyDescent="0.25">
      <c r="A14" s="29">
        <v>7</v>
      </c>
      <c r="B14" s="76">
        <v>0.57222222222222219</v>
      </c>
      <c r="C14" s="726"/>
      <c r="D14" s="727"/>
    </row>
    <row r="15" spans="1:11" ht="30" customHeight="1" x14ac:dyDescent="0.25">
      <c r="A15" s="29">
        <v>9</v>
      </c>
      <c r="B15" s="76">
        <v>0.57361111111111118</v>
      </c>
      <c r="C15" s="726"/>
      <c r="D15" s="727"/>
    </row>
    <row r="16" spans="1:11" ht="30" customHeight="1" x14ac:dyDescent="0.25">
      <c r="A16" s="29">
        <v>11</v>
      </c>
      <c r="B16" s="76">
        <v>0.57430555555555551</v>
      </c>
      <c r="C16" s="726"/>
      <c r="D16" s="727"/>
    </row>
    <row r="17" spans="1:4" ht="30" customHeight="1" x14ac:dyDescent="0.25">
      <c r="A17" s="29">
        <v>12</v>
      </c>
      <c r="B17" s="76">
        <v>0.5756944444444444</v>
      </c>
      <c r="C17" s="726"/>
      <c r="D17" s="727"/>
    </row>
    <row r="18" spans="1:4" ht="30" customHeight="1" x14ac:dyDescent="0.25">
      <c r="A18" s="29">
        <v>10</v>
      </c>
      <c r="B18" s="76">
        <v>0.57638888888888895</v>
      </c>
      <c r="C18" s="726"/>
      <c r="D18" s="727"/>
    </row>
    <row r="19" spans="1:4" ht="30" customHeight="1" x14ac:dyDescent="0.25">
      <c r="A19" s="29">
        <v>13</v>
      </c>
      <c r="B19" s="76">
        <v>0.57708333333333328</v>
      </c>
      <c r="C19" s="726"/>
      <c r="D19" s="727"/>
    </row>
    <row r="20" spans="1:4" ht="30" customHeight="1" x14ac:dyDescent="0.25">
      <c r="A20" s="29">
        <v>8</v>
      </c>
      <c r="B20" s="76">
        <v>0.57777777777777783</v>
      </c>
      <c r="C20" s="726"/>
      <c r="D20" s="727"/>
    </row>
    <row r="21" spans="1:4" ht="30" customHeight="1" x14ac:dyDescent="0.25">
      <c r="A21" s="29">
        <v>16</v>
      </c>
      <c r="B21" s="76">
        <v>0.57916666666666672</v>
      </c>
      <c r="C21" s="726"/>
      <c r="D21" s="727"/>
    </row>
    <row r="22" spans="1:4" ht="30" customHeight="1" x14ac:dyDescent="0.25">
      <c r="A22" s="29">
        <v>18</v>
      </c>
      <c r="B22" s="76">
        <v>0.57986111111111105</v>
      </c>
      <c r="C22" s="726"/>
      <c r="D22" s="727"/>
    </row>
    <row r="23" spans="1:4" ht="30" customHeight="1" x14ac:dyDescent="0.25">
      <c r="A23" s="29">
        <v>17</v>
      </c>
      <c r="B23" s="76">
        <v>0.5805555555555556</v>
      </c>
      <c r="C23" s="726"/>
      <c r="D23" s="727"/>
    </row>
    <row r="24" spans="1:4" ht="30" customHeight="1" x14ac:dyDescent="0.25">
      <c r="A24" s="29">
        <v>14</v>
      </c>
      <c r="B24" s="76">
        <v>0.58124999999999993</v>
      </c>
      <c r="C24" s="726"/>
      <c r="D24" s="727"/>
    </row>
    <row r="25" spans="1:4" ht="30" customHeight="1" x14ac:dyDescent="0.25">
      <c r="A25" s="29">
        <v>22</v>
      </c>
      <c r="B25" s="76">
        <v>0.58194444444444449</v>
      </c>
      <c r="C25" s="726"/>
      <c r="D25" s="727"/>
    </row>
    <row r="26" spans="1:4" ht="30" customHeight="1" x14ac:dyDescent="0.25">
      <c r="A26" s="29">
        <v>6</v>
      </c>
      <c r="B26" s="76">
        <v>0.58263888888888882</v>
      </c>
      <c r="C26" s="726"/>
      <c r="D26" s="727"/>
    </row>
    <row r="27" spans="1:4" ht="30" customHeight="1" x14ac:dyDescent="0.25">
      <c r="A27" s="29">
        <v>23</v>
      </c>
      <c r="B27" s="76">
        <v>0.58333333333333337</v>
      </c>
      <c r="C27" s="726"/>
      <c r="D27" s="727"/>
    </row>
    <row r="28" spans="1:4" ht="30" customHeight="1" x14ac:dyDescent="0.25">
      <c r="A28" s="29">
        <v>25</v>
      </c>
      <c r="B28" s="76">
        <v>0.58402777777777781</v>
      </c>
      <c r="C28" s="726"/>
      <c r="D28" s="727"/>
    </row>
    <row r="29" spans="1:4" ht="30" customHeight="1" x14ac:dyDescent="0.25">
      <c r="A29" s="29">
        <v>29</v>
      </c>
      <c r="B29" s="76">
        <v>0.58472222222222225</v>
      </c>
      <c r="C29" s="726"/>
      <c r="D29" s="727"/>
    </row>
    <row r="30" spans="1:4" ht="30" customHeight="1" x14ac:dyDescent="0.25">
      <c r="A30" s="29">
        <v>24</v>
      </c>
      <c r="B30" s="76">
        <v>0.5854166666666667</v>
      </c>
      <c r="C30" s="726"/>
      <c r="D30" s="727"/>
    </row>
    <row r="31" spans="1:4" ht="30" customHeight="1" x14ac:dyDescent="0.25">
      <c r="A31" s="29">
        <v>26</v>
      </c>
      <c r="B31" s="76">
        <v>0.58611111111111114</v>
      </c>
      <c r="C31" s="726"/>
      <c r="D31" s="727"/>
    </row>
    <row r="32" spans="1:4" ht="30" customHeight="1" x14ac:dyDescent="0.25">
      <c r="A32" s="29">
        <v>30</v>
      </c>
      <c r="B32" s="76">
        <v>0.58750000000000002</v>
      </c>
      <c r="C32" s="726"/>
      <c r="D32" s="727"/>
    </row>
    <row r="33" spans="1:4" ht="30" customHeight="1" x14ac:dyDescent="0.25">
      <c r="A33" s="29">
        <v>33</v>
      </c>
      <c r="B33" s="76">
        <v>0.58819444444444446</v>
      </c>
      <c r="C33" s="726"/>
      <c r="D33" s="727"/>
    </row>
    <row r="34" spans="1:4" ht="30" customHeight="1" x14ac:dyDescent="0.25">
      <c r="A34" s="29">
        <v>31</v>
      </c>
      <c r="B34" s="76">
        <v>0.58888888888888891</v>
      </c>
      <c r="C34" s="726"/>
      <c r="D34" s="727"/>
    </row>
    <row r="35" spans="1:4" ht="30" customHeight="1" x14ac:dyDescent="0.25">
      <c r="A35" s="29">
        <v>20</v>
      </c>
      <c r="B35" s="76">
        <v>0.58958333333333335</v>
      </c>
      <c r="C35" s="726"/>
      <c r="D35" s="727"/>
    </row>
    <row r="36" spans="1:4" ht="30" customHeight="1" x14ac:dyDescent="0.25">
      <c r="A36" s="29">
        <v>34</v>
      </c>
      <c r="B36" s="76">
        <v>0.59027777777777779</v>
      </c>
      <c r="C36" s="726"/>
      <c r="D36" s="727"/>
    </row>
    <row r="37" spans="1:4" ht="30" customHeight="1" x14ac:dyDescent="0.25">
      <c r="A37" s="29">
        <v>35</v>
      </c>
      <c r="B37" s="76">
        <v>0.59097222222222223</v>
      </c>
      <c r="C37" s="726"/>
      <c r="D37" s="727"/>
    </row>
    <row r="38" spans="1:4" ht="30" customHeight="1" x14ac:dyDescent="0.25">
      <c r="A38" s="29">
        <v>21</v>
      </c>
      <c r="B38" s="76">
        <v>0.59166666666666667</v>
      </c>
      <c r="C38" s="726"/>
      <c r="D38" s="727"/>
    </row>
    <row r="39" spans="1:4" ht="30" customHeight="1" x14ac:dyDescent="0.25">
      <c r="A39" s="29">
        <v>38</v>
      </c>
      <c r="B39" s="76">
        <v>0.59236111111111112</v>
      </c>
      <c r="C39" s="726"/>
      <c r="D39" s="727"/>
    </row>
    <row r="40" spans="1:4" ht="30" customHeight="1" x14ac:dyDescent="0.25">
      <c r="A40" s="29">
        <v>37</v>
      </c>
      <c r="B40" s="76">
        <v>0.59305555555555556</v>
      </c>
      <c r="C40" s="726"/>
      <c r="D40" s="727"/>
    </row>
    <row r="41" spans="1:4" ht="30" customHeight="1" x14ac:dyDescent="0.25">
      <c r="A41" s="29">
        <v>39</v>
      </c>
      <c r="B41" s="76">
        <v>0.59375</v>
      </c>
      <c r="C41" s="726"/>
      <c r="D41" s="727"/>
    </row>
    <row r="42" spans="1:4" ht="30" customHeight="1" x14ac:dyDescent="0.25">
      <c r="A42" s="29">
        <v>40</v>
      </c>
      <c r="B42" s="76">
        <v>0.59444444444444444</v>
      </c>
      <c r="C42" s="726"/>
      <c r="D42" s="727"/>
    </row>
    <row r="43" spans="1:4" ht="30" customHeight="1" x14ac:dyDescent="0.25">
      <c r="A43" s="29">
        <v>41</v>
      </c>
      <c r="B43" s="76">
        <v>0.59513888888888888</v>
      </c>
      <c r="C43" s="726"/>
      <c r="D43" s="727"/>
    </row>
    <row r="44" spans="1:4" ht="30" customHeight="1" x14ac:dyDescent="0.25">
      <c r="A44" s="29">
        <v>42</v>
      </c>
      <c r="B44" s="76">
        <v>0.59583333333333333</v>
      </c>
      <c r="C44" s="726"/>
      <c r="D44" s="727"/>
    </row>
    <row r="45" spans="1:4" ht="30" customHeight="1" x14ac:dyDescent="0.25">
      <c r="A45" s="29">
        <v>44</v>
      </c>
      <c r="B45" s="76">
        <v>0.59652777777777777</v>
      </c>
      <c r="C45" s="726"/>
      <c r="D45" s="727"/>
    </row>
    <row r="46" spans="1:4" ht="30" customHeight="1" x14ac:dyDescent="0.25">
      <c r="A46" s="29">
        <v>43</v>
      </c>
      <c r="B46" s="76">
        <v>0.59722222222222221</v>
      </c>
      <c r="C46" s="726"/>
      <c r="D46" s="727"/>
    </row>
    <row r="47" spans="1:4" ht="30" customHeight="1" x14ac:dyDescent="0.25">
      <c r="A47" s="29">
        <v>45</v>
      </c>
      <c r="B47" s="76">
        <v>0.59791666666666665</v>
      </c>
      <c r="C47" s="726"/>
      <c r="D47" s="727"/>
    </row>
    <row r="48" spans="1:4" ht="30" customHeight="1" x14ac:dyDescent="0.25">
      <c r="A48" s="29">
        <v>47</v>
      </c>
      <c r="B48" s="76">
        <v>0.59861111111111109</v>
      </c>
      <c r="C48" s="726"/>
      <c r="D48" s="727"/>
    </row>
    <row r="49" spans="1:4" ht="30" customHeight="1" x14ac:dyDescent="0.25">
      <c r="A49" s="29">
        <v>36</v>
      </c>
      <c r="B49" s="76">
        <v>0.59930555555555554</v>
      </c>
      <c r="C49" s="726"/>
      <c r="D49" s="727"/>
    </row>
    <row r="50" spans="1:4" ht="30" customHeight="1" x14ac:dyDescent="0.25">
      <c r="A50" s="29">
        <v>32</v>
      </c>
      <c r="B50" s="76">
        <v>0.60625000000000007</v>
      </c>
      <c r="C50" s="726"/>
      <c r="D50" s="727"/>
    </row>
    <row r="51" spans="1:4" ht="30" customHeight="1" x14ac:dyDescent="0.25">
      <c r="A51" s="29">
        <v>3</v>
      </c>
      <c r="B51" s="76">
        <v>0.60902777777777783</v>
      </c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00B0F0"/>
  </sheetPr>
  <dimension ref="A1:K66"/>
  <sheetViews>
    <sheetView view="pageBreakPreview" topLeftCell="A40" zoomScale="85" zoomScaleSheetLayoutView="85" workbookViewId="0">
      <selection activeCell="A50" sqref="A50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566</v>
      </c>
      <c r="C2" s="273" t="s">
        <v>387</v>
      </c>
      <c r="D2" s="272" t="s">
        <v>570</v>
      </c>
    </row>
    <row r="3" spans="1:11" s="261" customFormat="1" ht="21" customHeight="1" x14ac:dyDescent="0.25">
      <c r="A3" s="274" t="s">
        <v>92</v>
      </c>
      <c r="B3" s="272">
        <v>0.56314388058492937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0.61175499169604042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392</v>
      </c>
      <c r="B7" s="725"/>
      <c r="C7" s="725"/>
      <c r="D7" s="725"/>
    </row>
    <row r="8" spans="1:11" s="268" customFormat="1" ht="21" customHeight="1" x14ac:dyDescent="0.25">
      <c r="A8" s="271" t="s">
        <v>404</v>
      </c>
      <c r="B8" s="270" t="s">
        <v>188</v>
      </c>
      <c r="C8" s="269"/>
      <c r="D8" s="269"/>
    </row>
    <row r="9" spans="1:11" ht="21" x14ac:dyDescent="0.25">
      <c r="A9" s="69" t="s">
        <v>0</v>
      </c>
      <c r="B9" s="70" t="s">
        <v>397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28">
        <v>0.57406250000000003</v>
      </c>
      <c r="C10" s="733"/>
      <c r="D10" s="734"/>
    </row>
    <row r="11" spans="1:11" ht="30" customHeight="1" x14ac:dyDescent="0.25">
      <c r="A11" s="29">
        <v>4</v>
      </c>
      <c r="B11" s="28">
        <v>0.57633101851851853</v>
      </c>
      <c r="C11" s="733"/>
      <c r="D11" s="734"/>
    </row>
    <row r="12" spans="1:11" ht="30" customHeight="1" x14ac:dyDescent="0.25">
      <c r="A12" s="29">
        <v>5</v>
      </c>
      <c r="B12" s="28">
        <v>0.57740740740740748</v>
      </c>
      <c r="C12" s="733"/>
      <c r="D12" s="734"/>
    </row>
    <row r="13" spans="1:11" ht="30" customHeight="1" x14ac:dyDescent="0.25">
      <c r="A13" s="29">
        <v>2</v>
      </c>
      <c r="B13" s="28">
        <v>0.57881944444444444</v>
      </c>
      <c r="C13" s="733"/>
      <c r="D13" s="734"/>
    </row>
    <row r="14" spans="1:11" ht="30" customHeight="1" x14ac:dyDescent="0.25">
      <c r="A14" s="29">
        <v>7</v>
      </c>
      <c r="B14" s="28">
        <v>0.57969907407407406</v>
      </c>
      <c r="C14" s="733"/>
      <c r="D14" s="734"/>
    </row>
    <row r="15" spans="1:11" ht="30" customHeight="1" x14ac:dyDescent="0.25">
      <c r="A15" s="29">
        <v>9</v>
      </c>
      <c r="B15" s="28">
        <v>0.58113425925925932</v>
      </c>
      <c r="C15" s="733"/>
      <c r="D15" s="734"/>
    </row>
    <row r="16" spans="1:11" ht="30" customHeight="1" x14ac:dyDescent="0.25">
      <c r="A16" s="29">
        <v>11</v>
      </c>
      <c r="B16" s="28">
        <v>0.5821412037037037</v>
      </c>
      <c r="C16" s="733"/>
      <c r="D16" s="734"/>
    </row>
    <row r="17" spans="1:4" ht="30" customHeight="1" x14ac:dyDescent="0.25">
      <c r="A17" s="29">
        <v>12</v>
      </c>
      <c r="B17" s="28">
        <v>0.58259259259259266</v>
      </c>
      <c r="C17" s="733"/>
      <c r="D17" s="734"/>
    </row>
    <row r="18" spans="1:4" ht="30" customHeight="1" x14ac:dyDescent="0.25">
      <c r="A18" s="29">
        <v>10</v>
      </c>
      <c r="B18" s="28">
        <v>0.58395833333333336</v>
      </c>
      <c r="C18" s="733"/>
      <c r="D18" s="734"/>
    </row>
    <row r="19" spans="1:4" ht="30" customHeight="1" x14ac:dyDescent="0.25">
      <c r="A19" s="29">
        <v>13</v>
      </c>
      <c r="B19" s="28">
        <v>0.58504629629629623</v>
      </c>
      <c r="C19" s="733"/>
      <c r="D19" s="734"/>
    </row>
    <row r="20" spans="1:4" ht="30" customHeight="1" x14ac:dyDescent="0.25">
      <c r="A20" s="29">
        <v>8</v>
      </c>
      <c r="B20" s="28">
        <v>0.58562499999999995</v>
      </c>
      <c r="C20" s="733"/>
      <c r="D20" s="734"/>
    </row>
    <row r="21" spans="1:4" ht="30" customHeight="1" x14ac:dyDescent="0.25">
      <c r="A21" s="29">
        <v>16</v>
      </c>
      <c r="B21" s="28">
        <v>0.5861574074074074</v>
      </c>
      <c r="C21" s="733"/>
      <c r="D21" s="734"/>
    </row>
    <row r="22" spans="1:4" ht="30" customHeight="1" x14ac:dyDescent="0.25">
      <c r="A22" s="29">
        <v>18</v>
      </c>
      <c r="B22" s="28">
        <v>0.58706018518518521</v>
      </c>
      <c r="C22" s="733" t="s">
        <v>877</v>
      </c>
      <c r="D22" s="734"/>
    </row>
    <row r="23" spans="1:4" ht="30" customHeight="1" x14ac:dyDescent="0.25">
      <c r="A23" s="29">
        <v>17</v>
      </c>
      <c r="B23" s="28">
        <v>0.58851851851851855</v>
      </c>
      <c r="C23" s="733"/>
      <c r="D23" s="734"/>
    </row>
    <row r="24" spans="1:4" ht="30" customHeight="1" x14ac:dyDescent="0.25">
      <c r="A24" s="29">
        <v>14</v>
      </c>
      <c r="B24" s="28">
        <v>0.58878472222222222</v>
      </c>
      <c r="C24" s="733"/>
      <c r="D24" s="734"/>
    </row>
    <row r="25" spans="1:4" ht="30" customHeight="1" x14ac:dyDescent="0.25">
      <c r="A25" s="29">
        <v>22</v>
      </c>
      <c r="B25" s="28">
        <v>0.58953703703703708</v>
      </c>
      <c r="C25" s="733"/>
      <c r="D25" s="734"/>
    </row>
    <row r="26" spans="1:4" ht="30" customHeight="1" x14ac:dyDescent="0.25">
      <c r="A26" s="29">
        <v>6</v>
      </c>
      <c r="B26" s="28">
        <v>0.59049768518518519</v>
      </c>
      <c r="C26" s="733"/>
      <c r="D26" s="734"/>
    </row>
    <row r="27" spans="1:4" ht="30" customHeight="1" x14ac:dyDescent="0.25">
      <c r="A27" s="29">
        <v>29</v>
      </c>
      <c r="B27" s="28">
        <v>0.5917824074074074</v>
      </c>
      <c r="C27" s="733"/>
      <c r="D27" s="734"/>
    </row>
    <row r="28" spans="1:4" ht="30" customHeight="1" x14ac:dyDescent="0.25">
      <c r="A28" s="29">
        <v>23</v>
      </c>
      <c r="B28" s="28">
        <v>0.59187500000000004</v>
      </c>
      <c r="C28" s="733"/>
      <c r="D28" s="734"/>
    </row>
    <row r="29" spans="1:4" ht="30" customHeight="1" x14ac:dyDescent="0.25">
      <c r="A29" s="29">
        <v>25</v>
      </c>
      <c r="B29" s="28">
        <v>0.59215277777777775</v>
      </c>
      <c r="C29" s="733"/>
      <c r="D29" s="734"/>
    </row>
    <row r="30" spans="1:4" ht="30" customHeight="1" x14ac:dyDescent="0.25">
      <c r="A30" s="29">
        <v>26</v>
      </c>
      <c r="B30" s="28">
        <v>0.59395833333333337</v>
      </c>
      <c r="C30" s="733"/>
      <c r="D30" s="734"/>
    </row>
    <row r="31" spans="1:4" ht="30" customHeight="1" x14ac:dyDescent="0.25">
      <c r="A31" s="29">
        <v>30</v>
      </c>
      <c r="B31" s="28">
        <v>0.59495370370370371</v>
      </c>
      <c r="C31" s="733"/>
      <c r="D31" s="734"/>
    </row>
    <row r="32" spans="1:4" ht="30" customHeight="1" x14ac:dyDescent="0.25">
      <c r="A32" s="29">
        <v>33</v>
      </c>
      <c r="B32" s="28">
        <v>0.59537037037037044</v>
      </c>
      <c r="C32" s="733"/>
      <c r="D32" s="734"/>
    </row>
    <row r="33" spans="1:4" ht="30" customHeight="1" x14ac:dyDescent="0.25">
      <c r="A33" s="29">
        <v>31</v>
      </c>
      <c r="B33" s="28">
        <v>0.59607638888888892</v>
      </c>
      <c r="C33" s="733"/>
      <c r="D33" s="734"/>
    </row>
    <row r="34" spans="1:4" ht="30" customHeight="1" x14ac:dyDescent="0.25">
      <c r="A34" s="29">
        <v>20</v>
      </c>
      <c r="B34" s="28">
        <v>0.59696759259259258</v>
      </c>
      <c r="C34" s="733"/>
      <c r="D34" s="734"/>
    </row>
    <row r="35" spans="1:4" ht="30" customHeight="1" x14ac:dyDescent="0.25">
      <c r="A35" s="29">
        <v>34</v>
      </c>
      <c r="B35" s="28">
        <v>0.59745370370370365</v>
      </c>
      <c r="C35" s="733"/>
      <c r="D35" s="734"/>
    </row>
    <row r="36" spans="1:4" ht="30" customHeight="1" x14ac:dyDescent="0.25">
      <c r="A36" s="29">
        <v>35</v>
      </c>
      <c r="B36" s="28">
        <v>0.59777777777777785</v>
      </c>
      <c r="C36" s="733"/>
      <c r="D36" s="734"/>
    </row>
    <row r="37" spans="1:4" ht="30" customHeight="1" x14ac:dyDescent="0.25">
      <c r="A37" s="29">
        <v>21</v>
      </c>
      <c r="B37" s="28">
        <v>0.59936342592592595</v>
      </c>
      <c r="C37" s="733"/>
      <c r="D37" s="734"/>
    </row>
    <row r="38" spans="1:4" ht="30" customHeight="1" x14ac:dyDescent="0.25">
      <c r="A38" s="29">
        <v>38</v>
      </c>
      <c r="B38" s="28">
        <v>0.59986111111111107</v>
      </c>
      <c r="C38" s="733"/>
      <c r="D38" s="734"/>
    </row>
    <row r="39" spans="1:4" ht="30" customHeight="1" x14ac:dyDescent="0.25">
      <c r="A39" s="29">
        <v>37</v>
      </c>
      <c r="B39" s="28">
        <v>0.60122685185185187</v>
      </c>
      <c r="C39" s="733"/>
      <c r="D39" s="734"/>
    </row>
    <row r="40" spans="1:4" ht="30" customHeight="1" x14ac:dyDescent="0.25">
      <c r="A40" s="29">
        <v>41</v>
      </c>
      <c r="B40" s="28">
        <v>0.60166666666666668</v>
      </c>
      <c r="C40" s="733"/>
      <c r="D40" s="734"/>
    </row>
    <row r="41" spans="1:4" ht="30" customHeight="1" x14ac:dyDescent="0.25">
      <c r="A41" s="29">
        <v>42</v>
      </c>
      <c r="B41" s="28">
        <v>0.60402777777777772</v>
      </c>
      <c r="C41" s="733"/>
      <c r="D41" s="734"/>
    </row>
    <row r="42" spans="1:4" ht="30" customHeight="1" x14ac:dyDescent="0.25">
      <c r="A42" s="29">
        <v>39</v>
      </c>
      <c r="B42" s="28">
        <v>0.60415509259259259</v>
      </c>
      <c r="C42" s="733"/>
      <c r="D42" s="734"/>
    </row>
    <row r="43" spans="1:4" ht="30" customHeight="1" x14ac:dyDescent="0.25">
      <c r="A43" s="29">
        <v>44</v>
      </c>
      <c r="B43" s="28">
        <v>0.6045949074074074</v>
      </c>
      <c r="C43" s="733"/>
      <c r="D43" s="734"/>
    </row>
    <row r="44" spans="1:4" ht="30" customHeight="1" x14ac:dyDescent="0.25">
      <c r="A44" s="29">
        <v>47</v>
      </c>
      <c r="B44" s="28">
        <v>0.6055787037037037</v>
      </c>
      <c r="C44" s="733"/>
      <c r="D44" s="734"/>
    </row>
    <row r="45" spans="1:4" ht="30" customHeight="1" x14ac:dyDescent="0.25">
      <c r="A45" s="29">
        <v>40</v>
      </c>
      <c r="B45" s="28">
        <v>0.60563657407407401</v>
      </c>
      <c r="C45" s="733"/>
      <c r="D45" s="734"/>
    </row>
    <row r="46" spans="1:4" ht="30" customHeight="1" x14ac:dyDescent="0.25">
      <c r="A46" s="29">
        <v>36</v>
      </c>
      <c r="B46" s="28">
        <v>0.6075694444444445</v>
      </c>
      <c r="C46" s="733"/>
      <c r="D46" s="734"/>
    </row>
    <row r="47" spans="1:4" ht="30" customHeight="1" x14ac:dyDescent="0.25">
      <c r="A47" s="29">
        <v>45</v>
      </c>
      <c r="B47" s="28">
        <v>0.60850694444444442</v>
      </c>
      <c r="C47" s="733"/>
      <c r="D47" s="734"/>
    </row>
    <row r="48" spans="1:4" ht="30" customHeight="1" x14ac:dyDescent="0.25">
      <c r="A48" s="29">
        <v>3</v>
      </c>
      <c r="B48" s="28">
        <v>0.61579861111111112</v>
      </c>
      <c r="C48" s="733"/>
      <c r="D48" s="734"/>
    </row>
    <row r="49" spans="1:4" ht="30" customHeight="1" x14ac:dyDescent="0.25">
      <c r="A49" s="29">
        <v>43</v>
      </c>
      <c r="B49" s="28">
        <v>0.60560185185185189</v>
      </c>
      <c r="C49" s="733"/>
      <c r="D49" s="734"/>
    </row>
    <row r="50" spans="1:4" ht="30" customHeight="1" x14ac:dyDescent="0.25">
      <c r="A50" s="29"/>
      <c r="B50" s="28"/>
      <c r="C50" s="733"/>
      <c r="D50" s="734"/>
    </row>
    <row r="51" spans="1:4" ht="30" customHeight="1" x14ac:dyDescent="0.25">
      <c r="A51" s="29"/>
      <c r="B51" s="28"/>
      <c r="C51" s="733"/>
      <c r="D51" s="734"/>
    </row>
    <row r="52" spans="1:4" ht="30" customHeight="1" x14ac:dyDescent="0.25">
      <c r="A52" s="29"/>
      <c r="B52" s="28"/>
      <c r="C52" s="733"/>
      <c r="D52" s="734"/>
    </row>
    <row r="53" spans="1:4" ht="30" customHeight="1" x14ac:dyDescent="0.25">
      <c r="A53" s="29"/>
      <c r="B53" s="28"/>
      <c r="C53" s="733"/>
      <c r="D53" s="734"/>
    </row>
    <row r="54" spans="1:4" ht="30" customHeight="1" x14ac:dyDescent="0.25">
      <c r="A54" s="29"/>
      <c r="B54" s="28"/>
      <c r="C54" s="733"/>
      <c r="D54" s="734"/>
    </row>
    <row r="55" spans="1:4" ht="30" customHeight="1" x14ac:dyDescent="0.25">
      <c r="A55" s="29"/>
      <c r="B55" s="28"/>
      <c r="C55" s="733"/>
      <c r="D55" s="734"/>
    </row>
    <row r="56" spans="1:4" ht="30" customHeight="1" x14ac:dyDescent="0.25">
      <c r="A56" s="29"/>
      <c r="B56" s="28"/>
      <c r="C56" s="733"/>
      <c r="D56" s="734"/>
    </row>
    <row r="57" spans="1:4" ht="30" customHeight="1" x14ac:dyDescent="0.25">
      <c r="A57" s="29"/>
      <c r="B57" s="28"/>
      <c r="C57" s="733"/>
      <c r="D57" s="734"/>
    </row>
    <row r="58" spans="1:4" ht="30" customHeight="1" x14ac:dyDescent="0.25">
      <c r="A58" s="29"/>
      <c r="B58" s="28"/>
      <c r="C58" s="733"/>
      <c r="D58" s="734"/>
    </row>
    <row r="59" spans="1:4" ht="30" customHeight="1" x14ac:dyDescent="0.25">
      <c r="A59" s="29"/>
      <c r="B59" s="28"/>
      <c r="C59" s="733"/>
      <c r="D59" s="734"/>
    </row>
    <row r="60" spans="1:4" ht="30" customHeight="1" x14ac:dyDescent="0.25">
      <c r="A60" s="29"/>
      <c r="B60" s="28"/>
      <c r="C60" s="733"/>
      <c r="D60" s="734"/>
    </row>
    <row r="61" spans="1:4" ht="30" customHeight="1" x14ac:dyDescent="0.25">
      <c r="A61" s="29"/>
      <c r="B61" s="28"/>
      <c r="C61" s="733"/>
      <c r="D61" s="734"/>
    </row>
    <row r="62" spans="1:4" ht="30" customHeight="1" x14ac:dyDescent="0.25">
      <c r="A62" s="29"/>
      <c r="B62" s="28"/>
      <c r="C62" s="733"/>
      <c r="D62" s="734"/>
    </row>
    <row r="63" spans="1:4" ht="30" customHeight="1" x14ac:dyDescent="0.25">
      <c r="A63" s="29"/>
      <c r="B63" s="28"/>
      <c r="C63" s="733"/>
      <c r="D63" s="734"/>
    </row>
    <row r="64" spans="1:4" ht="30" customHeight="1" x14ac:dyDescent="0.25">
      <c r="A64" s="29"/>
      <c r="B64" s="28"/>
      <c r="C64" s="733"/>
      <c r="D64" s="734"/>
    </row>
    <row r="65" spans="1:4" ht="30" customHeight="1" x14ac:dyDescent="0.25">
      <c r="A65" s="29"/>
      <c r="B65" s="28"/>
      <c r="C65" s="733"/>
      <c r="D65" s="734"/>
    </row>
    <row r="66" spans="1:4" ht="30" customHeight="1" x14ac:dyDescent="0.25">
      <c r="A66" s="29"/>
      <c r="B66" s="28"/>
      <c r="C66" s="733"/>
      <c r="D66" s="734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F0"/>
  </sheetPr>
  <dimension ref="A1:K66"/>
  <sheetViews>
    <sheetView view="pageBreakPreview" zoomScale="85" zoomScaleSheetLayoutView="85" workbookViewId="0"/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773</v>
      </c>
      <c r="C2" s="273" t="s">
        <v>387</v>
      </c>
      <c r="D2" s="272" t="s">
        <v>775</v>
      </c>
    </row>
    <row r="3" spans="1:11" s="261" customFormat="1" ht="21" customHeight="1" x14ac:dyDescent="0.25">
      <c r="A3" s="274" t="s">
        <v>92</v>
      </c>
      <c r="B3" s="272">
        <v>0.56373045016421741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0.61234156127532846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302</v>
      </c>
      <c r="B7" s="725"/>
      <c r="C7" s="725"/>
      <c r="D7" s="725"/>
    </row>
    <row r="8" spans="1:11" s="268" customFormat="1" ht="21" customHeight="1" x14ac:dyDescent="0.25">
      <c r="A8" s="271" t="s">
        <v>404</v>
      </c>
      <c r="B8" s="270" t="s">
        <v>188</v>
      </c>
      <c r="C8" s="269"/>
      <c r="D8" s="269"/>
    </row>
    <row r="9" spans="1:11" ht="21" x14ac:dyDescent="0.25">
      <c r="A9" s="69" t="s">
        <v>0</v>
      </c>
      <c r="B9" s="70" t="s">
        <v>397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28">
        <v>0.57454861111111111</v>
      </c>
      <c r="C10" s="733"/>
      <c r="D10" s="734"/>
    </row>
    <row r="11" spans="1:11" ht="30" customHeight="1" x14ac:dyDescent="0.25">
      <c r="A11" s="29">
        <v>4</v>
      </c>
      <c r="B11" s="28">
        <v>0.57681712962962961</v>
      </c>
      <c r="C11" s="733"/>
      <c r="D11" s="734"/>
    </row>
    <row r="12" spans="1:11" ht="30" customHeight="1" x14ac:dyDescent="0.25">
      <c r="A12" s="29">
        <v>5</v>
      </c>
      <c r="B12" s="28">
        <v>0.57789351851851845</v>
      </c>
      <c r="C12" s="733"/>
      <c r="D12" s="734"/>
    </row>
    <row r="13" spans="1:11" ht="30" customHeight="1" x14ac:dyDescent="0.25">
      <c r="A13" s="29">
        <v>2</v>
      </c>
      <c r="B13" s="28">
        <v>0.57914351851851853</v>
      </c>
      <c r="C13" s="733"/>
      <c r="D13" s="734"/>
    </row>
    <row r="14" spans="1:11" ht="30" customHeight="1" x14ac:dyDescent="0.25">
      <c r="A14" s="29">
        <v>7</v>
      </c>
      <c r="B14" s="28">
        <v>0.58020833333333333</v>
      </c>
      <c r="C14" s="733"/>
      <c r="D14" s="734"/>
    </row>
    <row r="15" spans="1:11" ht="30" customHeight="1" x14ac:dyDescent="0.25">
      <c r="A15" s="29">
        <v>9</v>
      </c>
      <c r="B15" s="28">
        <v>0.5816203703703704</v>
      </c>
      <c r="C15" s="733"/>
      <c r="D15" s="734"/>
    </row>
    <row r="16" spans="1:11" ht="30" customHeight="1" x14ac:dyDescent="0.25">
      <c r="A16" s="29">
        <v>11</v>
      </c>
      <c r="B16" s="28">
        <v>0.58270833333333327</v>
      </c>
      <c r="C16" s="733"/>
      <c r="D16" s="734"/>
    </row>
    <row r="17" spans="1:4" ht="30" customHeight="1" x14ac:dyDescent="0.25">
      <c r="A17" s="29">
        <v>12</v>
      </c>
      <c r="B17" s="28">
        <v>0.58298611111111109</v>
      </c>
      <c r="C17" s="733"/>
      <c r="D17" s="734"/>
    </row>
    <row r="18" spans="1:4" ht="30" customHeight="1" x14ac:dyDescent="0.25">
      <c r="A18" s="29">
        <v>10</v>
      </c>
      <c r="B18" s="28">
        <v>0.58454861111111112</v>
      </c>
      <c r="C18" s="733"/>
      <c r="D18" s="734"/>
    </row>
    <row r="19" spans="1:4" ht="30" customHeight="1" x14ac:dyDescent="0.25">
      <c r="A19" s="29">
        <v>13</v>
      </c>
      <c r="B19" s="28">
        <v>0.58550925925925923</v>
      </c>
      <c r="C19" s="733"/>
      <c r="D19" s="734"/>
    </row>
    <row r="20" spans="1:4" ht="30" customHeight="1" x14ac:dyDescent="0.25">
      <c r="A20" s="29">
        <v>8</v>
      </c>
      <c r="B20" s="28">
        <v>0.58627314814814813</v>
      </c>
      <c r="C20" s="733"/>
      <c r="D20" s="734"/>
    </row>
    <row r="21" spans="1:4" ht="30" customHeight="1" x14ac:dyDescent="0.25">
      <c r="A21" s="29">
        <v>16</v>
      </c>
      <c r="B21" s="28">
        <v>0.58674768518518516</v>
      </c>
      <c r="C21" s="733"/>
      <c r="D21" s="734"/>
    </row>
    <row r="22" spans="1:4" ht="30" customHeight="1" x14ac:dyDescent="0.25">
      <c r="A22" s="29">
        <v>18</v>
      </c>
      <c r="B22" s="28">
        <v>0.58759259259259256</v>
      </c>
      <c r="C22" s="733"/>
      <c r="D22" s="734"/>
    </row>
    <row r="23" spans="1:4" ht="30" customHeight="1" x14ac:dyDescent="0.25">
      <c r="A23" s="29">
        <v>17</v>
      </c>
      <c r="B23" s="28">
        <v>0.5889699074074074</v>
      </c>
      <c r="C23" s="733"/>
      <c r="D23" s="734"/>
    </row>
    <row r="24" spans="1:4" ht="30" customHeight="1" x14ac:dyDescent="0.25">
      <c r="A24" s="29">
        <v>14</v>
      </c>
      <c r="B24" s="28">
        <v>0.58923611111111118</v>
      </c>
      <c r="C24" s="733"/>
      <c r="D24" s="734"/>
    </row>
    <row r="25" spans="1:4" ht="30" customHeight="1" x14ac:dyDescent="0.25">
      <c r="A25" s="29">
        <v>22</v>
      </c>
      <c r="B25" s="28">
        <v>0.59005787037037039</v>
      </c>
      <c r="C25" s="733"/>
      <c r="D25" s="734"/>
    </row>
    <row r="26" spans="1:4" ht="30" customHeight="1" x14ac:dyDescent="0.25">
      <c r="A26" s="29">
        <v>6</v>
      </c>
      <c r="B26" s="28">
        <v>0.59097222222222223</v>
      </c>
      <c r="C26" s="733"/>
      <c r="D26" s="734"/>
    </row>
    <row r="27" spans="1:4" ht="30" customHeight="1" x14ac:dyDescent="0.25">
      <c r="A27" s="29">
        <v>29</v>
      </c>
      <c r="B27" s="28">
        <v>0.59233796296296293</v>
      </c>
      <c r="C27" s="733"/>
      <c r="D27" s="734"/>
    </row>
    <row r="28" spans="1:4" ht="30" customHeight="1" x14ac:dyDescent="0.25">
      <c r="A28" s="29">
        <v>23</v>
      </c>
      <c r="B28" s="28">
        <v>0.59248842592592588</v>
      </c>
      <c r="C28" s="733"/>
      <c r="D28" s="734"/>
    </row>
    <row r="29" spans="1:4" ht="30" customHeight="1" x14ac:dyDescent="0.25">
      <c r="A29" s="29">
        <v>25</v>
      </c>
      <c r="B29" s="28">
        <v>0.59265046296296298</v>
      </c>
      <c r="C29" s="733"/>
      <c r="D29" s="734"/>
    </row>
    <row r="30" spans="1:4" ht="30" customHeight="1" x14ac:dyDescent="0.25">
      <c r="A30" s="29">
        <v>26</v>
      </c>
      <c r="B30" s="28">
        <v>0.59437499999999999</v>
      </c>
      <c r="C30" s="733"/>
      <c r="D30" s="734"/>
    </row>
    <row r="31" spans="1:4" ht="30" customHeight="1" x14ac:dyDescent="0.25">
      <c r="A31" s="29">
        <v>30</v>
      </c>
      <c r="B31" s="28">
        <v>0.59542824074074074</v>
      </c>
      <c r="C31" s="733"/>
      <c r="D31" s="734"/>
    </row>
    <row r="32" spans="1:4" ht="30" customHeight="1" x14ac:dyDescent="0.25">
      <c r="A32" s="29">
        <v>33</v>
      </c>
      <c r="B32" s="28">
        <v>0.59581018518518525</v>
      </c>
      <c r="C32" s="733"/>
      <c r="D32" s="734"/>
    </row>
    <row r="33" spans="1:4" ht="30" customHeight="1" x14ac:dyDescent="0.25">
      <c r="A33" s="29">
        <v>31</v>
      </c>
      <c r="B33" s="28">
        <v>0.59642361111111108</v>
      </c>
      <c r="C33" s="733"/>
      <c r="D33" s="734"/>
    </row>
    <row r="34" spans="1:4" ht="30" customHeight="1" x14ac:dyDescent="0.25">
      <c r="A34" s="29">
        <v>20</v>
      </c>
      <c r="B34" s="28">
        <v>0.59745370370370365</v>
      </c>
      <c r="C34" s="733"/>
      <c r="D34" s="734"/>
    </row>
    <row r="35" spans="1:4" ht="30" customHeight="1" x14ac:dyDescent="0.25">
      <c r="A35" s="29">
        <v>34</v>
      </c>
      <c r="B35" s="28">
        <v>0.5978472222222222</v>
      </c>
      <c r="C35" s="733"/>
      <c r="D35" s="734"/>
    </row>
    <row r="36" spans="1:4" ht="30" customHeight="1" x14ac:dyDescent="0.25">
      <c r="A36" s="29">
        <v>35</v>
      </c>
      <c r="B36" s="28">
        <v>0.59814814814814821</v>
      </c>
      <c r="C36" s="733"/>
      <c r="D36" s="734"/>
    </row>
    <row r="37" spans="1:4" ht="30" customHeight="1" x14ac:dyDescent="0.25">
      <c r="A37" s="29">
        <v>21</v>
      </c>
      <c r="B37" s="28">
        <v>0.59980324074074076</v>
      </c>
      <c r="C37" s="733"/>
      <c r="D37" s="734"/>
    </row>
    <row r="38" spans="1:4" ht="30" customHeight="1" x14ac:dyDescent="0.25">
      <c r="A38" s="29">
        <v>38</v>
      </c>
      <c r="B38" s="28">
        <v>0.60034722222222225</v>
      </c>
      <c r="C38" s="733"/>
      <c r="D38" s="734"/>
    </row>
    <row r="39" spans="1:4" ht="30" customHeight="1" x14ac:dyDescent="0.25">
      <c r="A39" s="29">
        <v>37</v>
      </c>
      <c r="B39" s="28">
        <v>0.60174768518518518</v>
      </c>
      <c r="C39" s="733"/>
      <c r="D39" s="734"/>
    </row>
    <row r="40" spans="1:4" ht="30" customHeight="1" x14ac:dyDescent="0.25">
      <c r="A40" s="29">
        <v>41</v>
      </c>
      <c r="B40" s="28">
        <v>0.60207175925925926</v>
      </c>
      <c r="C40" s="733"/>
      <c r="D40" s="734"/>
    </row>
    <row r="41" spans="1:4" ht="30" customHeight="1" x14ac:dyDescent="0.25">
      <c r="A41" s="29">
        <v>39</v>
      </c>
      <c r="B41" s="28">
        <v>0.60464120370370367</v>
      </c>
      <c r="C41" s="733"/>
      <c r="D41" s="734"/>
    </row>
    <row r="42" spans="1:4" ht="30" customHeight="1" x14ac:dyDescent="0.25">
      <c r="A42" s="29">
        <v>42</v>
      </c>
      <c r="B42" s="28">
        <v>0.60468749999999993</v>
      </c>
      <c r="C42" s="733"/>
      <c r="D42" s="734"/>
    </row>
    <row r="43" spans="1:4" ht="30" customHeight="1" x14ac:dyDescent="0.25">
      <c r="A43" s="29">
        <v>44</v>
      </c>
      <c r="B43" s="28">
        <v>0.6050578703703704</v>
      </c>
      <c r="C43" s="733"/>
      <c r="D43" s="734"/>
    </row>
    <row r="44" spans="1:4" ht="30" customHeight="1" x14ac:dyDescent="0.25">
      <c r="A44" s="29">
        <v>43</v>
      </c>
      <c r="B44" s="28">
        <v>0.6060416666666667</v>
      </c>
      <c r="C44" s="733"/>
      <c r="D44" s="734"/>
    </row>
    <row r="45" spans="1:4" ht="30" customHeight="1" x14ac:dyDescent="0.25">
      <c r="A45" s="29">
        <v>47</v>
      </c>
      <c r="B45" s="28">
        <v>0.60607638888888882</v>
      </c>
      <c r="C45" s="733"/>
      <c r="D45" s="734"/>
    </row>
    <row r="46" spans="1:4" ht="30" customHeight="1" x14ac:dyDescent="0.25">
      <c r="A46" s="29">
        <v>40</v>
      </c>
      <c r="B46" s="28">
        <v>0.60611111111111116</v>
      </c>
      <c r="C46" s="733"/>
      <c r="D46" s="734"/>
    </row>
    <row r="47" spans="1:4" ht="30" customHeight="1" x14ac:dyDescent="0.25">
      <c r="A47" s="29">
        <v>36</v>
      </c>
      <c r="B47" s="28">
        <v>0.60810185185185184</v>
      </c>
      <c r="C47" s="733"/>
      <c r="D47" s="734"/>
    </row>
    <row r="48" spans="1:4" ht="30" customHeight="1" x14ac:dyDescent="0.25">
      <c r="A48" s="29">
        <v>45</v>
      </c>
      <c r="B48" s="28">
        <v>0.60855324074074069</v>
      </c>
      <c r="C48" s="733"/>
      <c r="D48" s="734"/>
    </row>
    <row r="49" spans="1:4" ht="30" customHeight="1" x14ac:dyDescent="0.25">
      <c r="A49" s="29">
        <v>3</v>
      </c>
      <c r="B49" s="28">
        <v>0.6162037037037037</v>
      </c>
      <c r="C49" s="733"/>
      <c r="D49" s="734"/>
    </row>
    <row r="50" spans="1:4" ht="30" customHeight="1" x14ac:dyDescent="0.25">
      <c r="A50" s="29"/>
      <c r="B50" s="28"/>
      <c r="C50" s="733"/>
      <c r="D50" s="734"/>
    </row>
    <row r="51" spans="1:4" ht="30" customHeight="1" x14ac:dyDescent="0.25">
      <c r="A51" s="29"/>
      <c r="B51" s="28"/>
      <c r="C51" s="733"/>
      <c r="D51" s="734"/>
    </row>
    <row r="52" spans="1:4" ht="30" customHeight="1" x14ac:dyDescent="0.25">
      <c r="A52" s="29"/>
      <c r="B52" s="28"/>
      <c r="C52" s="733"/>
      <c r="D52" s="734"/>
    </row>
    <row r="53" spans="1:4" ht="30" customHeight="1" x14ac:dyDescent="0.25">
      <c r="A53" s="29"/>
      <c r="B53" s="28"/>
      <c r="C53" s="733"/>
      <c r="D53" s="734"/>
    </row>
    <row r="54" spans="1:4" ht="30" customHeight="1" x14ac:dyDescent="0.25">
      <c r="A54" s="29"/>
      <c r="B54" s="28"/>
      <c r="C54" s="733"/>
      <c r="D54" s="734"/>
    </row>
    <row r="55" spans="1:4" ht="30" customHeight="1" x14ac:dyDescent="0.25">
      <c r="A55" s="29"/>
      <c r="B55" s="28"/>
      <c r="C55" s="733"/>
      <c r="D55" s="734"/>
    </row>
    <row r="56" spans="1:4" ht="30" customHeight="1" x14ac:dyDescent="0.25">
      <c r="A56" s="29"/>
      <c r="B56" s="28"/>
      <c r="C56" s="733"/>
      <c r="D56" s="734"/>
    </row>
    <row r="57" spans="1:4" ht="30" customHeight="1" x14ac:dyDescent="0.25">
      <c r="A57" s="29"/>
      <c r="B57" s="28"/>
      <c r="C57" s="733"/>
      <c r="D57" s="734"/>
    </row>
    <row r="58" spans="1:4" ht="30" customHeight="1" x14ac:dyDescent="0.25">
      <c r="A58" s="29"/>
      <c r="B58" s="28"/>
      <c r="C58" s="733"/>
      <c r="D58" s="734"/>
    </row>
    <row r="59" spans="1:4" ht="30" customHeight="1" x14ac:dyDescent="0.25">
      <c r="A59" s="29"/>
      <c r="B59" s="28"/>
      <c r="C59" s="733"/>
      <c r="D59" s="734"/>
    </row>
    <row r="60" spans="1:4" ht="30" customHeight="1" x14ac:dyDescent="0.25">
      <c r="A60" s="29"/>
      <c r="B60" s="28"/>
      <c r="C60" s="733"/>
      <c r="D60" s="734"/>
    </row>
    <row r="61" spans="1:4" ht="30" customHeight="1" x14ac:dyDescent="0.25">
      <c r="A61" s="29"/>
      <c r="B61" s="28"/>
      <c r="C61" s="733"/>
      <c r="D61" s="734"/>
    </row>
    <row r="62" spans="1:4" ht="30" customHeight="1" x14ac:dyDescent="0.25">
      <c r="A62" s="29"/>
      <c r="B62" s="28"/>
      <c r="C62" s="733"/>
      <c r="D62" s="734"/>
    </row>
    <row r="63" spans="1:4" ht="30" customHeight="1" x14ac:dyDescent="0.25">
      <c r="A63" s="29"/>
      <c r="B63" s="28"/>
      <c r="C63" s="733"/>
      <c r="D63" s="734"/>
    </row>
    <row r="64" spans="1:4" ht="30" customHeight="1" x14ac:dyDescent="0.25">
      <c r="A64" s="29"/>
      <c r="B64" s="28"/>
      <c r="C64" s="733"/>
      <c r="D64" s="734"/>
    </row>
    <row r="65" spans="1:4" ht="30" customHeight="1" x14ac:dyDescent="0.25">
      <c r="A65" s="29"/>
      <c r="B65" s="28"/>
      <c r="C65" s="733"/>
      <c r="D65" s="734"/>
    </row>
    <row r="66" spans="1:4" ht="30" customHeight="1" x14ac:dyDescent="0.25">
      <c r="A66" s="29"/>
      <c r="B66" s="28"/>
      <c r="C66" s="733"/>
      <c r="D66" s="734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F0"/>
  </sheetPr>
  <dimension ref="A1:K66"/>
  <sheetViews>
    <sheetView view="pageBreakPreview" topLeftCell="A39" zoomScale="85" zoomScaleSheetLayoutView="85" workbookViewId="0">
      <selection activeCell="B51" sqref="B5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568</v>
      </c>
      <c r="C2" s="273" t="s">
        <v>387</v>
      </c>
      <c r="D2" s="272" t="s">
        <v>776</v>
      </c>
    </row>
    <row r="3" spans="1:11" s="261" customFormat="1" ht="21" customHeight="1" x14ac:dyDescent="0.25">
      <c r="A3" s="274" t="s">
        <v>92</v>
      </c>
      <c r="B3" s="272">
        <v>0.58402778026130475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0.6326388913724158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583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0.59861111111111109</v>
      </c>
      <c r="C10" s="726"/>
      <c r="D10" s="727"/>
    </row>
    <row r="11" spans="1:11" ht="30" customHeight="1" x14ac:dyDescent="0.25">
      <c r="A11" s="29">
        <v>2</v>
      </c>
      <c r="B11" s="76">
        <v>0.59930555555555554</v>
      </c>
      <c r="C11" s="726"/>
      <c r="D11" s="727"/>
    </row>
    <row r="12" spans="1:11" ht="30" customHeight="1" x14ac:dyDescent="0.25">
      <c r="A12" s="29">
        <v>4</v>
      </c>
      <c r="B12" s="76">
        <v>0.60069444444444442</v>
      </c>
      <c r="C12" s="726"/>
      <c r="D12" s="727"/>
    </row>
    <row r="13" spans="1:11" ht="30" customHeight="1" x14ac:dyDescent="0.25">
      <c r="A13" s="29">
        <v>5</v>
      </c>
      <c r="B13" s="76">
        <v>0.6020833333333333</v>
      </c>
      <c r="C13" s="726"/>
      <c r="D13" s="727"/>
    </row>
    <row r="14" spans="1:11" ht="30" customHeight="1" x14ac:dyDescent="0.25">
      <c r="A14" s="29">
        <v>7</v>
      </c>
      <c r="B14" s="76">
        <v>0.60347222222222219</v>
      </c>
      <c r="C14" s="726"/>
      <c r="D14" s="727"/>
    </row>
    <row r="15" spans="1:11" ht="30" customHeight="1" x14ac:dyDescent="0.25">
      <c r="A15" s="29">
        <v>9</v>
      </c>
      <c r="B15" s="76">
        <v>0.60486111111111118</v>
      </c>
      <c r="C15" s="726"/>
      <c r="D15" s="727"/>
    </row>
    <row r="16" spans="1:11" ht="30" customHeight="1" x14ac:dyDescent="0.25">
      <c r="A16" s="29">
        <v>10</v>
      </c>
      <c r="B16" s="76">
        <v>0.60486111111111118</v>
      </c>
      <c r="C16" s="726"/>
      <c r="D16" s="727"/>
    </row>
    <row r="17" spans="1:4" ht="30" customHeight="1" x14ac:dyDescent="0.25">
      <c r="A17" s="29">
        <v>11</v>
      </c>
      <c r="B17" s="76">
        <v>0.60555555555555551</v>
      </c>
      <c r="C17" s="726"/>
      <c r="D17" s="727"/>
    </row>
    <row r="18" spans="1:4" ht="30" customHeight="1" x14ac:dyDescent="0.25">
      <c r="A18" s="29">
        <v>12</v>
      </c>
      <c r="B18" s="76">
        <v>0.6069444444444444</v>
      </c>
      <c r="C18" s="726"/>
      <c r="D18" s="727"/>
    </row>
    <row r="19" spans="1:4" ht="30" customHeight="1" x14ac:dyDescent="0.25">
      <c r="A19" s="29">
        <v>13</v>
      </c>
      <c r="B19" s="76">
        <v>0.60833333333333328</v>
      </c>
      <c r="C19" s="726"/>
      <c r="D19" s="727"/>
    </row>
    <row r="20" spans="1:4" ht="30" customHeight="1" x14ac:dyDescent="0.25">
      <c r="A20" s="29">
        <v>8</v>
      </c>
      <c r="B20" s="76">
        <v>0.60902777777777783</v>
      </c>
      <c r="C20" s="726"/>
      <c r="D20" s="727"/>
    </row>
    <row r="21" spans="1:4" ht="30" customHeight="1" x14ac:dyDescent="0.25">
      <c r="A21" s="29">
        <v>16</v>
      </c>
      <c r="B21" s="76">
        <v>0.61041666666666672</v>
      </c>
      <c r="C21" s="726" t="s">
        <v>878</v>
      </c>
      <c r="D21" s="727"/>
    </row>
    <row r="22" spans="1:4" ht="30" customHeight="1" x14ac:dyDescent="0.25">
      <c r="A22" s="29">
        <v>17</v>
      </c>
      <c r="B22" s="76">
        <v>0.6118055555555556</v>
      </c>
      <c r="C22" s="726"/>
      <c r="D22" s="727"/>
    </row>
    <row r="23" spans="1:4" ht="30" customHeight="1" x14ac:dyDescent="0.25">
      <c r="A23" s="29">
        <v>14</v>
      </c>
      <c r="B23" s="76">
        <v>0.61249999999999993</v>
      </c>
      <c r="C23" s="726"/>
      <c r="D23" s="727"/>
    </row>
    <row r="24" spans="1:4" ht="30" customHeight="1" x14ac:dyDescent="0.25">
      <c r="A24" s="29">
        <v>22</v>
      </c>
      <c r="B24" s="76">
        <v>0.61319444444444449</v>
      </c>
      <c r="C24" s="726"/>
      <c r="D24" s="727"/>
    </row>
    <row r="25" spans="1:4" ht="30" customHeight="1" x14ac:dyDescent="0.25">
      <c r="A25" s="29">
        <v>18</v>
      </c>
      <c r="B25" s="76">
        <v>0.61388888888888882</v>
      </c>
      <c r="C25" s="726" t="s">
        <v>879</v>
      </c>
      <c r="D25" s="727"/>
    </row>
    <row r="26" spans="1:4" ht="30" customHeight="1" x14ac:dyDescent="0.25">
      <c r="A26" s="29">
        <v>6</v>
      </c>
      <c r="B26" s="76">
        <v>0.61388888888888882</v>
      </c>
      <c r="C26" s="726"/>
      <c r="D26" s="727"/>
    </row>
    <row r="27" spans="1:4" ht="30" customHeight="1" x14ac:dyDescent="0.25">
      <c r="A27" s="29">
        <v>23</v>
      </c>
      <c r="B27" s="76">
        <v>0.61527777777777781</v>
      </c>
      <c r="C27" s="726"/>
      <c r="D27" s="727"/>
    </row>
    <row r="28" spans="1:4" ht="30" customHeight="1" x14ac:dyDescent="0.25">
      <c r="A28" s="29">
        <v>25</v>
      </c>
      <c r="B28" s="76">
        <v>0.61527777777777781</v>
      </c>
      <c r="C28" s="726"/>
      <c r="D28" s="727"/>
    </row>
    <row r="29" spans="1:4" ht="30" customHeight="1" x14ac:dyDescent="0.25">
      <c r="A29" s="29">
        <v>29</v>
      </c>
      <c r="B29" s="76">
        <v>0.61597222222222225</v>
      </c>
      <c r="C29" s="726"/>
      <c r="D29" s="727"/>
    </row>
    <row r="30" spans="1:4" ht="30" customHeight="1" x14ac:dyDescent="0.25">
      <c r="A30" s="29">
        <v>24</v>
      </c>
      <c r="B30" s="76">
        <v>0.61805555555555558</v>
      </c>
      <c r="C30" s="726"/>
      <c r="D30" s="727"/>
    </row>
    <row r="31" spans="1:4" ht="30" customHeight="1" x14ac:dyDescent="0.25">
      <c r="A31" s="29">
        <v>26</v>
      </c>
      <c r="B31" s="76">
        <v>0.61805555555555558</v>
      </c>
      <c r="C31" s="726"/>
      <c r="D31" s="727"/>
    </row>
    <row r="32" spans="1:4" ht="30" customHeight="1" x14ac:dyDescent="0.25">
      <c r="A32" s="29">
        <v>30</v>
      </c>
      <c r="B32" s="76">
        <v>0.61875000000000002</v>
      </c>
      <c r="C32" s="726"/>
      <c r="D32" s="727"/>
    </row>
    <row r="33" spans="1:4" ht="30" customHeight="1" x14ac:dyDescent="0.25">
      <c r="A33" s="29">
        <v>33</v>
      </c>
      <c r="B33" s="76">
        <v>0.61944444444444446</v>
      </c>
      <c r="C33" s="726"/>
      <c r="D33" s="727"/>
    </row>
    <row r="34" spans="1:4" ht="30" customHeight="1" x14ac:dyDescent="0.25">
      <c r="A34" s="29">
        <v>31</v>
      </c>
      <c r="B34" s="76">
        <v>0.62013888888888891</v>
      </c>
      <c r="C34" s="726"/>
      <c r="D34" s="727"/>
    </row>
    <row r="35" spans="1:4" ht="30" customHeight="1" x14ac:dyDescent="0.25">
      <c r="A35" s="29">
        <v>20</v>
      </c>
      <c r="B35" s="76">
        <v>0.62083333333333335</v>
      </c>
      <c r="C35" s="726"/>
      <c r="D35" s="727"/>
    </row>
    <row r="36" spans="1:4" ht="30" customHeight="1" x14ac:dyDescent="0.25">
      <c r="A36" s="29">
        <v>34</v>
      </c>
      <c r="B36" s="76">
        <v>0.62152777777777779</v>
      </c>
      <c r="C36" s="726"/>
      <c r="D36" s="727"/>
    </row>
    <row r="37" spans="1:4" ht="30" customHeight="1" x14ac:dyDescent="0.25">
      <c r="A37" s="29">
        <v>35</v>
      </c>
      <c r="B37" s="76">
        <v>0.62152777777777779</v>
      </c>
      <c r="C37" s="726"/>
      <c r="D37" s="727"/>
    </row>
    <row r="38" spans="1:4" ht="30" customHeight="1" x14ac:dyDescent="0.25">
      <c r="A38" s="29">
        <v>21</v>
      </c>
      <c r="B38" s="76">
        <v>0.62291666666666667</v>
      </c>
      <c r="C38" s="726"/>
      <c r="D38" s="727"/>
    </row>
    <row r="39" spans="1:4" ht="30" customHeight="1" x14ac:dyDescent="0.25">
      <c r="A39" s="29">
        <v>38</v>
      </c>
      <c r="B39" s="76">
        <v>0.62361111111111112</v>
      </c>
      <c r="C39" s="726"/>
      <c r="D39" s="727"/>
    </row>
    <row r="40" spans="1:4" ht="30" customHeight="1" x14ac:dyDescent="0.25">
      <c r="A40" s="29">
        <v>37</v>
      </c>
      <c r="B40" s="76">
        <v>0.62430555555555556</v>
      </c>
      <c r="C40" s="726"/>
      <c r="D40" s="727"/>
    </row>
    <row r="41" spans="1:4" ht="30" customHeight="1" x14ac:dyDescent="0.25">
      <c r="A41" s="29">
        <v>39</v>
      </c>
      <c r="B41" s="76">
        <v>0.625</v>
      </c>
      <c r="C41" s="726"/>
      <c r="D41" s="727"/>
    </row>
    <row r="42" spans="1:4" ht="30" customHeight="1" x14ac:dyDescent="0.25">
      <c r="A42" s="29">
        <v>40</v>
      </c>
      <c r="B42" s="76">
        <v>0.62569444444444444</v>
      </c>
      <c r="C42" s="726"/>
      <c r="D42" s="727"/>
    </row>
    <row r="43" spans="1:4" ht="30" customHeight="1" x14ac:dyDescent="0.25">
      <c r="A43" s="29">
        <v>41</v>
      </c>
      <c r="B43" s="76">
        <v>0.62638888888888888</v>
      </c>
      <c r="C43" s="726"/>
      <c r="D43" s="727"/>
    </row>
    <row r="44" spans="1:4" ht="30" customHeight="1" x14ac:dyDescent="0.25">
      <c r="A44" s="29">
        <v>42</v>
      </c>
      <c r="B44" s="76">
        <v>0.62708333333333333</v>
      </c>
      <c r="C44" s="726"/>
      <c r="D44" s="727"/>
    </row>
    <row r="45" spans="1:4" ht="30" customHeight="1" x14ac:dyDescent="0.25">
      <c r="A45" s="29">
        <v>44</v>
      </c>
      <c r="B45" s="76">
        <v>0.62777777777777777</v>
      </c>
      <c r="C45" s="726"/>
      <c r="D45" s="727"/>
    </row>
    <row r="46" spans="1:4" ht="30" customHeight="1" x14ac:dyDescent="0.25">
      <c r="A46" s="29">
        <v>43</v>
      </c>
      <c r="B46" s="76">
        <v>0.62847222222222221</v>
      </c>
      <c r="C46" s="726"/>
      <c r="D46" s="727"/>
    </row>
    <row r="47" spans="1:4" ht="30" customHeight="1" x14ac:dyDescent="0.25">
      <c r="A47" s="29">
        <v>45</v>
      </c>
      <c r="B47" s="76">
        <v>0.62916666666666665</v>
      </c>
      <c r="C47" s="726"/>
      <c r="D47" s="727"/>
    </row>
    <row r="48" spans="1:4" ht="30" customHeight="1" x14ac:dyDescent="0.25">
      <c r="A48" s="29">
        <v>47</v>
      </c>
      <c r="B48" s="76">
        <v>0.62986111111111109</v>
      </c>
      <c r="C48" s="726"/>
      <c r="D48" s="727"/>
    </row>
    <row r="49" spans="1:4" ht="30" customHeight="1" x14ac:dyDescent="0.25">
      <c r="A49" s="29">
        <v>36</v>
      </c>
      <c r="B49" s="76">
        <v>0.63124999999999998</v>
      </c>
      <c r="C49" s="726"/>
      <c r="D49" s="727"/>
    </row>
    <row r="50" spans="1:4" ht="30" customHeight="1" x14ac:dyDescent="0.25">
      <c r="A50" s="29">
        <v>3</v>
      </c>
      <c r="B50" s="76">
        <v>0.63541666666666663</v>
      </c>
      <c r="C50" s="726"/>
      <c r="D50" s="727"/>
    </row>
    <row r="51" spans="1:4" ht="30" customHeight="1" x14ac:dyDescent="0.25">
      <c r="A51" s="29"/>
      <c r="B51" s="76"/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F0"/>
  </sheetPr>
  <dimension ref="A1:Q61"/>
  <sheetViews>
    <sheetView view="pageBreakPreview" topLeftCell="A40" zoomScale="85" zoomScaleSheetLayoutView="85" workbookViewId="0">
      <selection activeCell="C48" sqref="C48"/>
    </sheetView>
  </sheetViews>
  <sheetFormatPr defaultRowHeight="15" x14ac:dyDescent="0.25"/>
  <cols>
    <col min="1" max="3" width="15.7109375" style="2" customWidth="1"/>
    <col min="4" max="4" width="16.5703125" style="2" customWidth="1"/>
    <col min="5" max="5" width="23" style="2" customWidth="1"/>
    <col min="6" max="6" width="10.7109375" style="2" customWidth="1"/>
    <col min="7" max="9" width="13.7109375" style="2" customWidth="1"/>
    <col min="10" max="10" width="9.140625" style="1"/>
    <col min="11" max="256" width="9.140625" style="2"/>
    <col min="257" max="259" width="15.7109375" style="2" customWidth="1"/>
    <col min="260" max="260" width="25.7109375" style="2" customWidth="1"/>
    <col min="261" max="265" width="13.7109375" style="2" customWidth="1"/>
    <col min="266" max="512" width="9.140625" style="2"/>
    <col min="513" max="515" width="15.7109375" style="2" customWidth="1"/>
    <col min="516" max="516" width="25.7109375" style="2" customWidth="1"/>
    <col min="517" max="521" width="13.7109375" style="2" customWidth="1"/>
    <col min="522" max="768" width="9.140625" style="2"/>
    <col min="769" max="771" width="15.7109375" style="2" customWidth="1"/>
    <col min="772" max="772" width="25.7109375" style="2" customWidth="1"/>
    <col min="773" max="777" width="13.7109375" style="2" customWidth="1"/>
    <col min="778" max="1024" width="9.140625" style="2"/>
    <col min="1025" max="1027" width="15.7109375" style="2" customWidth="1"/>
    <col min="1028" max="1028" width="25.7109375" style="2" customWidth="1"/>
    <col min="1029" max="1033" width="13.7109375" style="2" customWidth="1"/>
    <col min="1034" max="1280" width="9.140625" style="2"/>
    <col min="1281" max="1283" width="15.7109375" style="2" customWidth="1"/>
    <col min="1284" max="1284" width="25.7109375" style="2" customWidth="1"/>
    <col min="1285" max="1289" width="13.7109375" style="2" customWidth="1"/>
    <col min="1290" max="1536" width="9.140625" style="2"/>
    <col min="1537" max="1539" width="15.7109375" style="2" customWidth="1"/>
    <col min="1540" max="1540" width="25.7109375" style="2" customWidth="1"/>
    <col min="1541" max="1545" width="13.7109375" style="2" customWidth="1"/>
    <col min="1546" max="1792" width="9.140625" style="2"/>
    <col min="1793" max="1795" width="15.7109375" style="2" customWidth="1"/>
    <col min="1796" max="1796" width="25.7109375" style="2" customWidth="1"/>
    <col min="1797" max="1801" width="13.7109375" style="2" customWidth="1"/>
    <col min="1802" max="2048" width="9.140625" style="2"/>
    <col min="2049" max="2051" width="15.7109375" style="2" customWidth="1"/>
    <col min="2052" max="2052" width="25.7109375" style="2" customWidth="1"/>
    <col min="2053" max="2057" width="13.7109375" style="2" customWidth="1"/>
    <col min="2058" max="2304" width="9.140625" style="2"/>
    <col min="2305" max="2307" width="15.7109375" style="2" customWidth="1"/>
    <col min="2308" max="2308" width="25.7109375" style="2" customWidth="1"/>
    <col min="2309" max="2313" width="13.7109375" style="2" customWidth="1"/>
    <col min="2314" max="2560" width="9.140625" style="2"/>
    <col min="2561" max="2563" width="15.7109375" style="2" customWidth="1"/>
    <col min="2564" max="2564" width="25.7109375" style="2" customWidth="1"/>
    <col min="2565" max="2569" width="13.7109375" style="2" customWidth="1"/>
    <col min="2570" max="2816" width="9.140625" style="2"/>
    <col min="2817" max="2819" width="15.7109375" style="2" customWidth="1"/>
    <col min="2820" max="2820" width="25.7109375" style="2" customWidth="1"/>
    <col min="2821" max="2825" width="13.7109375" style="2" customWidth="1"/>
    <col min="2826" max="3072" width="9.140625" style="2"/>
    <col min="3073" max="3075" width="15.7109375" style="2" customWidth="1"/>
    <col min="3076" max="3076" width="25.7109375" style="2" customWidth="1"/>
    <col min="3077" max="3081" width="13.7109375" style="2" customWidth="1"/>
    <col min="3082" max="3328" width="9.140625" style="2"/>
    <col min="3329" max="3331" width="15.7109375" style="2" customWidth="1"/>
    <col min="3332" max="3332" width="25.7109375" style="2" customWidth="1"/>
    <col min="3333" max="3337" width="13.7109375" style="2" customWidth="1"/>
    <col min="3338" max="3584" width="9.140625" style="2"/>
    <col min="3585" max="3587" width="15.7109375" style="2" customWidth="1"/>
    <col min="3588" max="3588" width="25.7109375" style="2" customWidth="1"/>
    <col min="3589" max="3593" width="13.7109375" style="2" customWidth="1"/>
    <col min="3594" max="3840" width="9.140625" style="2"/>
    <col min="3841" max="3843" width="15.7109375" style="2" customWidth="1"/>
    <col min="3844" max="3844" width="25.7109375" style="2" customWidth="1"/>
    <col min="3845" max="3849" width="13.7109375" style="2" customWidth="1"/>
    <col min="3850" max="4096" width="9.140625" style="2"/>
    <col min="4097" max="4099" width="15.7109375" style="2" customWidth="1"/>
    <col min="4100" max="4100" width="25.7109375" style="2" customWidth="1"/>
    <col min="4101" max="4105" width="13.7109375" style="2" customWidth="1"/>
    <col min="4106" max="4352" width="9.140625" style="2"/>
    <col min="4353" max="4355" width="15.7109375" style="2" customWidth="1"/>
    <col min="4356" max="4356" width="25.7109375" style="2" customWidth="1"/>
    <col min="4357" max="4361" width="13.7109375" style="2" customWidth="1"/>
    <col min="4362" max="4608" width="9.140625" style="2"/>
    <col min="4609" max="4611" width="15.7109375" style="2" customWidth="1"/>
    <col min="4612" max="4612" width="25.7109375" style="2" customWidth="1"/>
    <col min="4613" max="4617" width="13.7109375" style="2" customWidth="1"/>
    <col min="4618" max="4864" width="9.140625" style="2"/>
    <col min="4865" max="4867" width="15.7109375" style="2" customWidth="1"/>
    <col min="4868" max="4868" width="25.7109375" style="2" customWidth="1"/>
    <col min="4869" max="4873" width="13.7109375" style="2" customWidth="1"/>
    <col min="4874" max="5120" width="9.140625" style="2"/>
    <col min="5121" max="5123" width="15.7109375" style="2" customWidth="1"/>
    <col min="5124" max="5124" width="25.7109375" style="2" customWidth="1"/>
    <col min="5125" max="5129" width="13.7109375" style="2" customWidth="1"/>
    <col min="5130" max="5376" width="9.140625" style="2"/>
    <col min="5377" max="5379" width="15.7109375" style="2" customWidth="1"/>
    <col min="5380" max="5380" width="25.7109375" style="2" customWidth="1"/>
    <col min="5381" max="5385" width="13.7109375" style="2" customWidth="1"/>
    <col min="5386" max="5632" width="9.140625" style="2"/>
    <col min="5633" max="5635" width="15.7109375" style="2" customWidth="1"/>
    <col min="5636" max="5636" width="25.7109375" style="2" customWidth="1"/>
    <col min="5637" max="5641" width="13.7109375" style="2" customWidth="1"/>
    <col min="5642" max="5888" width="9.140625" style="2"/>
    <col min="5889" max="5891" width="15.7109375" style="2" customWidth="1"/>
    <col min="5892" max="5892" width="25.7109375" style="2" customWidth="1"/>
    <col min="5893" max="5897" width="13.7109375" style="2" customWidth="1"/>
    <col min="5898" max="6144" width="9.140625" style="2"/>
    <col min="6145" max="6147" width="15.7109375" style="2" customWidth="1"/>
    <col min="6148" max="6148" width="25.7109375" style="2" customWidth="1"/>
    <col min="6149" max="6153" width="13.7109375" style="2" customWidth="1"/>
    <col min="6154" max="6400" width="9.140625" style="2"/>
    <col min="6401" max="6403" width="15.7109375" style="2" customWidth="1"/>
    <col min="6404" max="6404" width="25.7109375" style="2" customWidth="1"/>
    <col min="6405" max="6409" width="13.7109375" style="2" customWidth="1"/>
    <col min="6410" max="6656" width="9.140625" style="2"/>
    <col min="6657" max="6659" width="15.7109375" style="2" customWidth="1"/>
    <col min="6660" max="6660" width="25.7109375" style="2" customWidth="1"/>
    <col min="6661" max="6665" width="13.7109375" style="2" customWidth="1"/>
    <col min="6666" max="6912" width="9.140625" style="2"/>
    <col min="6913" max="6915" width="15.7109375" style="2" customWidth="1"/>
    <col min="6916" max="6916" width="25.7109375" style="2" customWidth="1"/>
    <col min="6917" max="6921" width="13.7109375" style="2" customWidth="1"/>
    <col min="6922" max="7168" width="9.140625" style="2"/>
    <col min="7169" max="7171" width="15.7109375" style="2" customWidth="1"/>
    <col min="7172" max="7172" width="25.7109375" style="2" customWidth="1"/>
    <col min="7173" max="7177" width="13.7109375" style="2" customWidth="1"/>
    <col min="7178" max="7424" width="9.140625" style="2"/>
    <col min="7425" max="7427" width="15.7109375" style="2" customWidth="1"/>
    <col min="7428" max="7428" width="25.7109375" style="2" customWidth="1"/>
    <col min="7429" max="7433" width="13.7109375" style="2" customWidth="1"/>
    <col min="7434" max="7680" width="9.140625" style="2"/>
    <col min="7681" max="7683" width="15.7109375" style="2" customWidth="1"/>
    <col min="7684" max="7684" width="25.7109375" style="2" customWidth="1"/>
    <col min="7685" max="7689" width="13.7109375" style="2" customWidth="1"/>
    <col min="7690" max="7936" width="9.140625" style="2"/>
    <col min="7937" max="7939" width="15.7109375" style="2" customWidth="1"/>
    <col min="7940" max="7940" width="25.7109375" style="2" customWidth="1"/>
    <col min="7941" max="7945" width="13.7109375" style="2" customWidth="1"/>
    <col min="7946" max="8192" width="9.140625" style="2"/>
    <col min="8193" max="8195" width="15.7109375" style="2" customWidth="1"/>
    <col min="8196" max="8196" width="25.7109375" style="2" customWidth="1"/>
    <col min="8197" max="8201" width="13.7109375" style="2" customWidth="1"/>
    <col min="8202" max="8448" width="9.140625" style="2"/>
    <col min="8449" max="8451" width="15.7109375" style="2" customWidth="1"/>
    <col min="8452" max="8452" width="25.7109375" style="2" customWidth="1"/>
    <col min="8453" max="8457" width="13.7109375" style="2" customWidth="1"/>
    <col min="8458" max="8704" width="9.140625" style="2"/>
    <col min="8705" max="8707" width="15.7109375" style="2" customWidth="1"/>
    <col min="8708" max="8708" width="25.7109375" style="2" customWidth="1"/>
    <col min="8709" max="8713" width="13.7109375" style="2" customWidth="1"/>
    <col min="8714" max="8960" width="9.140625" style="2"/>
    <col min="8961" max="8963" width="15.7109375" style="2" customWidth="1"/>
    <col min="8964" max="8964" width="25.7109375" style="2" customWidth="1"/>
    <col min="8965" max="8969" width="13.7109375" style="2" customWidth="1"/>
    <col min="8970" max="9216" width="9.140625" style="2"/>
    <col min="9217" max="9219" width="15.7109375" style="2" customWidth="1"/>
    <col min="9220" max="9220" width="25.7109375" style="2" customWidth="1"/>
    <col min="9221" max="9225" width="13.7109375" style="2" customWidth="1"/>
    <col min="9226" max="9472" width="9.140625" style="2"/>
    <col min="9473" max="9475" width="15.7109375" style="2" customWidth="1"/>
    <col min="9476" max="9476" width="25.7109375" style="2" customWidth="1"/>
    <col min="9477" max="9481" width="13.7109375" style="2" customWidth="1"/>
    <col min="9482" max="9728" width="9.140625" style="2"/>
    <col min="9729" max="9731" width="15.7109375" style="2" customWidth="1"/>
    <col min="9732" max="9732" width="25.7109375" style="2" customWidth="1"/>
    <col min="9733" max="9737" width="13.7109375" style="2" customWidth="1"/>
    <col min="9738" max="9984" width="9.140625" style="2"/>
    <col min="9985" max="9987" width="15.7109375" style="2" customWidth="1"/>
    <col min="9988" max="9988" width="25.7109375" style="2" customWidth="1"/>
    <col min="9989" max="9993" width="13.7109375" style="2" customWidth="1"/>
    <col min="9994" max="10240" width="9.140625" style="2"/>
    <col min="10241" max="10243" width="15.7109375" style="2" customWidth="1"/>
    <col min="10244" max="10244" width="25.7109375" style="2" customWidth="1"/>
    <col min="10245" max="10249" width="13.7109375" style="2" customWidth="1"/>
    <col min="10250" max="10496" width="9.140625" style="2"/>
    <col min="10497" max="10499" width="15.7109375" style="2" customWidth="1"/>
    <col min="10500" max="10500" width="25.7109375" style="2" customWidth="1"/>
    <col min="10501" max="10505" width="13.7109375" style="2" customWidth="1"/>
    <col min="10506" max="10752" width="9.140625" style="2"/>
    <col min="10753" max="10755" width="15.7109375" style="2" customWidth="1"/>
    <col min="10756" max="10756" width="25.7109375" style="2" customWidth="1"/>
    <col min="10757" max="10761" width="13.7109375" style="2" customWidth="1"/>
    <col min="10762" max="11008" width="9.140625" style="2"/>
    <col min="11009" max="11011" width="15.7109375" style="2" customWidth="1"/>
    <col min="11012" max="11012" width="25.7109375" style="2" customWidth="1"/>
    <col min="11013" max="11017" width="13.7109375" style="2" customWidth="1"/>
    <col min="11018" max="11264" width="9.140625" style="2"/>
    <col min="11265" max="11267" width="15.7109375" style="2" customWidth="1"/>
    <col min="11268" max="11268" width="25.7109375" style="2" customWidth="1"/>
    <col min="11269" max="11273" width="13.7109375" style="2" customWidth="1"/>
    <col min="11274" max="11520" width="9.140625" style="2"/>
    <col min="11521" max="11523" width="15.7109375" style="2" customWidth="1"/>
    <col min="11524" max="11524" width="25.7109375" style="2" customWidth="1"/>
    <col min="11525" max="11529" width="13.7109375" style="2" customWidth="1"/>
    <col min="11530" max="11776" width="9.140625" style="2"/>
    <col min="11777" max="11779" width="15.7109375" style="2" customWidth="1"/>
    <col min="11780" max="11780" width="25.7109375" style="2" customWidth="1"/>
    <col min="11781" max="11785" width="13.7109375" style="2" customWidth="1"/>
    <col min="11786" max="12032" width="9.140625" style="2"/>
    <col min="12033" max="12035" width="15.7109375" style="2" customWidth="1"/>
    <col min="12036" max="12036" width="25.7109375" style="2" customWidth="1"/>
    <col min="12037" max="12041" width="13.7109375" style="2" customWidth="1"/>
    <col min="12042" max="12288" width="9.140625" style="2"/>
    <col min="12289" max="12291" width="15.7109375" style="2" customWidth="1"/>
    <col min="12292" max="12292" width="25.7109375" style="2" customWidth="1"/>
    <col min="12293" max="12297" width="13.7109375" style="2" customWidth="1"/>
    <col min="12298" max="12544" width="9.140625" style="2"/>
    <col min="12545" max="12547" width="15.7109375" style="2" customWidth="1"/>
    <col min="12548" max="12548" width="25.7109375" style="2" customWidth="1"/>
    <col min="12549" max="12553" width="13.7109375" style="2" customWidth="1"/>
    <col min="12554" max="12800" width="9.140625" style="2"/>
    <col min="12801" max="12803" width="15.7109375" style="2" customWidth="1"/>
    <col min="12804" max="12804" width="25.7109375" style="2" customWidth="1"/>
    <col min="12805" max="12809" width="13.7109375" style="2" customWidth="1"/>
    <col min="12810" max="13056" width="9.140625" style="2"/>
    <col min="13057" max="13059" width="15.7109375" style="2" customWidth="1"/>
    <col min="13060" max="13060" width="25.7109375" style="2" customWidth="1"/>
    <col min="13061" max="13065" width="13.7109375" style="2" customWidth="1"/>
    <col min="13066" max="13312" width="9.140625" style="2"/>
    <col min="13313" max="13315" width="15.7109375" style="2" customWidth="1"/>
    <col min="13316" max="13316" width="25.7109375" style="2" customWidth="1"/>
    <col min="13317" max="13321" width="13.7109375" style="2" customWidth="1"/>
    <col min="13322" max="13568" width="9.140625" style="2"/>
    <col min="13569" max="13571" width="15.7109375" style="2" customWidth="1"/>
    <col min="13572" max="13572" width="25.7109375" style="2" customWidth="1"/>
    <col min="13573" max="13577" width="13.7109375" style="2" customWidth="1"/>
    <col min="13578" max="13824" width="9.140625" style="2"/>
    <col min="13825" max="13827" width="15.7109375" style="2" customWidth="1"/>
    <col min="13828" max="13828" width="25.7109375" style="2" customWidth="1"/>
    <col min="13829" max="13833" width="13.7109375" style="2" customWidth="1"/>
    <col min="13834" max="14080" width="9.140625" style="2"/>
    <col min="14081" max="14083" width="15.7109375" style="2" customWidth="1"/>
    <col min="14084" max="14084" width="25.7109375" style="2" customWidth="1"/>
    <col min="14085" max="14089" width="13.7109375" style="2" customWidth="1"/>
    <col min="14090" max="14336" width="9.140625" style="2"/>
    <col min="14337" max="14339" width="15.7109375" style="2" customWidth="1"/>
    <col min="14340" max="14340" width="25.7109375" style="2" customWidth="1"/>
    <col min="14341" max="14345" width="13.7109375" style="2" customWidth="1"/>
    <col min="14346" max="14592" width="9.140625" style="2"/>
    <col min="14593" max="14595" width="15.7109375" style="2" customWidth="1"/>
    <col min="14596" max="14596" width="25.7109375" style="2" customWidth="1"/>
    <col min="14597" max="14601" width="13.7109375" style="2" customWidth="1"/>
    <col min="14602" max="14848" width="9.140625" style="2"/>
    <col min="14849" max="14851" width="15.7109375" style="2" customWidth="1"/>
    <col min="14852" max="14852" width="25.7109375" style="2" customWidth="1"/>
    <col min="14853" max="14857" width="13.7109375" style="2" customWidth="1"/>
    <col min="14858" max="15104" width="9.140625" style="2"/>
    <col min="15105" max="15107" width="15.7109375" style="2" customWidth="1"/>
    <col min="15108" max="15108" width="25.7109375" style="2" customWidth="1"/>
    <col min="15109" max="15113" width="13.7109375" style="2" customWidth="1"/>
    <col min="15114" max="15360" width="9.140625" style="2"/>
    <col min="15361" max="15363" width="15.7109375" style="2" customWidth="1"/>
    <col min="15364" max="15364" width="25.7109375" style="2" customWidth="1"/>
    <col min="15365" max="15369" width="13.7109375" style="2" customWidth="1"/>
    <col min="15370" max="15616" width="9.140625" style="2"/>
    <col min="15617" max="15619" width="15.7109375" style="2" customWidth="1"/>
    <col min="15620" max="15620" width="25.7109375" style="2" customWidth="1"/>
    <col min="15621" max="15625" width="13.7109375" style="2" customWidth="1"/>
    <col min="15626" max="15872" width="9.140625" style="2"/>
    <col min="15873" max="15875" width="15.7109375" style="2" customWidth="1"/>
    <col min="15876" max="15876" width="25.7109375" style="2" customWidth="1"/>
    <col min="15877" max="15881" width="13.7109375" style="2" customWidth="1"/>
    <col min="15882" max="16128" width="9.140625" style="2"/>
    <col min="16129" max="16131" width="15.7109375" style="2" customWidth="1"/>
    <col min="16132" max="16132" width="25.7109375" style="2" customWidth="1"/>
    <col min="16133" max="16137" width="13.7109375" style="2" customWidth="1"/>
    <col min="16138" max="16384" width="9.140625" style="2"/>
  </cols>
  <sheetData>
    <row r="1" spans="1:17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7" s="261" customFormat="1" ht="21" customHeight="1" x14ac:dyDescent="0.25">
      <c r="A2" s="274" t="s">
        <v>386</v>
      </c>
      <c r="B2" s="272" t="s">
        <v>774</v>
      </c>
      <c r="C2" s="273" t="s">
        <v>387</v>
      </c>
      <c r="D2" s="272" t="s">
        <v>563</v>
      </c>
    </row>
    <row r="3" spans="1:17" s="261" customFormat="1" ht="21" customHeight="1" x14ac:dyDescent="0.25">
      <c r="A3" s="274" t="s">
        <v>92</v>
      </c>
      <c r="B3" s="272">
        <v>0.58495992048296985</v>
      </c>
      <c r="C3" s="273" t="s">
        <v>86</v>
      </c>
      <c r="D3" s="272"/>
    </row>
    <row r="4" spans="1:17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7" s="261" customFormat="1" ht="21" customHeight="1" x14ac:dyDescent="0.25">
      <c r="A5" s="274" t="s">
        <v>93</v>
      </c>
      <c r="B5" s="272">
        <v>0.6335710315940809</v>
      </c>
      <c r="C5" s="273" t="s">
        <v>87</v>
      </c>
      <c r="D5" s="272"/>
    </row>
    <row r="6" spans="1:17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7" s="261" customFormat="1" ht="46.5" x14ac:dyDescent="0.25">
      <c r="A7" s="735" t="s">
        <v>809</v>
      </c>
      <c r="B7" s="735"/>
      <c r="C7" s="735"/>
      <c r="D7" s="735"/>
      <c r="E7" s="735"/>
      <c r="F7" s="735"/>
      <c r="G7" s="735"/>
      <c r="H7" s="735"/>
      <c r="I7" s="735"/>
    </row>
    <row r="8" spans="1:17" s="24" customFormat="1" ht="21" customHeight="1" x14ac:dyDescent="0.25">
      <c r="A8" s="260" t="s">
        <v>403</v>
      </c>
      <c r="B8" s="68"/>
      <c r="C8" s="68"/>
      <c r="D8" s="31"/>
      <c r="E8" s="500" t="s">
        <v>190</v>
      </c>
      <c r="F8" s="68" t="s">
        <v>191</v>
      </c>
      <c r="G8" s="68" t="s">
        <v>192</v>
      </c>
      <c r="H8" s="68" t="s">
        <v>192</v>
      </c>
      <c r="I8" s="68" t="s">
        <v>192</v>
      </c>
    </row>
    <row r="9" spans="1:17" ht="37.5" x14ac:dyDescent="0.25">
      <c r="A9" s="65" t="s">
        <v>0</v>
      </c>
      <c r="B9" s="480"/>
      <c r="C9" s="485" t="s">
        <v>88</v>
      </c>
      <c r="D9" s="481"/>
      <c r="E9" s="501" t="s">
        <v>853</v>
      </c>
      <c r="F9" s="67" t="s">
        <v>103</v>
      </c>
      <c r="G9" s="67" t="s">
        <v>124</v>
      </c>
      <c r="H9" s="67" t="s">
        <v>125</v>
      </c>
      <c r="I9" s="67" t="s">
        <v>126</v>
      </c>
      <c r="P9" s="25"/>
      <c r="Q9" s="26"/>
    </row>
    <row r="10" spans="1:17" ht="35.1" customHeight="1" x14ac:dyDescent="0.25">
      <c r="A10" s="29">
        <v>1</v>
      </c>
      <c r="B10" s="482"/>
      <c r="C10" s="483"/>
      <c r="D10" s="484"/>
      <c r="E10" s="29">
        <v>46.1</v>
      </c>
      <c r="F10" s="30"/>
      <c r="G10" s="29"/>
      <c r="H10" s="29"/>
      <c r="I10" s="29"/>
    </row>
    <row r="11" spans="1:17" ht="35.1" customHeight="1" x14ac:dyDescent="0.25">
      <c r="A11" s="29">
        <v>2</v>
      </c>
      <c r="B11" s="482"/>
      <c r="C11" s="483"/>
      <c r="D11" s="484"/>
      <c r="E11" s="29">
        <v>55.7</v>
      </c>
      <c r="F11" s="30"/>
      <c r="G11" s="29"/>
      <c r="H11" s="29"/>
      <c r="I11" s="29" t="s">
        <v>870</v>
      </c>
    </row>
    <row r="12" spans="1:17" ht="35.1" customHeight="1" x14ac:dyDescent="0.25">
      <c r="A12" s="29">
        <v>4</v>
      </c>
      <c r="B12" s="482"/>
      <c r="C12" s="483"/>
      <c r="D12" s="484"/>
      <c r="E12" s="29">
        <v>50.3</v>
      </c>
      <c r="F12" s="30"/>
      <c r="G12" s="29"/>
      <c r="H12" s="29"/>
      <c r="I12" s="29" t="s">
        <v>870</v>
      </c>
    </row>
    <row r="13" spans="1:17" ht="35.1" customHeight="1" x14ac:dyDescent="0.25">
      <c r="A13" s="29">
        <v>5</v>
      </c>
      <c r="B13" s="482"/>
      <c r="C13" s="483"/>
      <c r="D13" s="484"/>
      <c r="E13" s="29">
        <v>41.9</v>
      </c>
      <c r="F13" s="30"/>
      <c r="G13" s="29"/>
      <c r="H13" s="29"/>
      <c r="I13" s="29"/>
    </row>
    <row r="14" spans="1:17" ht="35.1" customHeight="1" x14ac:dyDescent="0.25">
      <c r="A14" s="29">
        <v>7</v>
      </c>
      <c r="B14" s="482"/>
      <c r="C14" s="483"/>
      <c r="D14" s="484"/>
      <c r="E14" s="29">
        <v>43.5</v>
      </c>
      <c r="F14" s="30"/>
      <c r="G14" s="29"/>
      <c r="H14" s="29"/>
      <c r="I14" s="29"/>
    </row>
    <row r="15" spans="1:17" ht="35.1" customHeight="1" x14ac:dyDescent="0.25">
      <c r="A15" s="29">
        <v>9</v>
      </c>
      <c r="B15" s="482"/>
      <c r="C15" s="483"/>
      <c r="D15" s="484"/>
      <c r="E15" s="29">
        <v>39.9</v>
      </c>
      <c r="F15" s="30"/>
      <c r="G15" s="29"/>
      <c r="H15" s="29" t="s">
        <v>870</v>
      </c>
      <c r="I15" s="29" t="s">
        <v>870</v>
      </c>
    </row>
    <row r="16" spans="1:17" ht="35.1" customHeight="1" x14ac:dyDescent="0.25">
      <c r="A16" s="29">
        <v>10</v>
      </c>
      <c r="B16" s="482"/>
      <c r="C16" s="483"/>
      <c r="D16" s="484"/>
      <c r="E16" s="29">
        <v>50.6</v>
      </c>
      <c r="F16" s="30"/>
      <c r="G16" s="29"/>
      <c r="H16" s="29"/>
      <c r="I16" s="29" t="s">
        <v>870</v>
      </c>
    </row>
    <row r="17" spans="1:9" ht="35.1" customHeight="1" x14ac:dyDescent="0.25">
      <c r="A17" s="29">
        <v>11</v>
      </c>
      <c r="B17" s="482"/>
      <c r="C17" s="483"/>
      <c r="D17" s="484"/>
      <c r="E17" s="29">
        <v>69.599999999999994</v>
      </c>
      <c r="F17" s="30"/>
      <c r="G17" s="29"/>
      <c r="H17" s="29"/>
      <c r="I17" s="29"/>
    </row>
    <row r="18" spans="1:9" ht="35.1" customHeight="1" x14ac:dyDescent="0.25">
      <c r="A18" s="29">
        <v>12</v>
      </c>
      <c r="B18" s="482"/>
      <c r="C18" s="483"/>
      <c r="D18" s="484"/>
      <c r="E18" s="29">
        <v>53.5</v>
      </c>
      <c r="F18" s="30"/>
      <c r="G18" s="29"/>
      <c r="H18" s="29"/>
      <c r="I18" s="29" t="s">
        <v>870</v>
      </c>
    </row>
    <row r="19" spans="1:9" ht="35.1" customHeight="1" x14ac:dyDescent="0.25">
      <c r="A19" s="29">
        <v>13</v>
      </c>
      <c r="B19" s="482"/>
      <c r="C19" s="483"/>
      <c r="D19" s="484"/>
      <c r="E19" s="29">
        <v>67.099999999999994</v>
      </c>
      <c r="F19" s="30"/>
      <c r="G19" s="29"/>
      <c r="H19" s="29"/>
      <c r="I19" s="29"/>
    </row>
    <row r="20" spans="1:9" ht="35.1" customHeight="1" x14ac:dyDescent="0.25">
      <c r="A20" s="29">
        <v>8</v>
      </c>
      <c r="B20" s="482"/>
      <c r="C20" s="483"/>
      <c r="D20" s="484"/>
      <c r="E20" s="29">
        <v>46.8</v>
      </c>
      <c r="F20" s="30"/>
      <c r="G20" s="29"/>
      <c r="H20" s="29"/>
      <c r="I20" s="29" t="s">
        <v>870</v>
      </c>
    </row>
    <row r="21" spans="1:9" ht="35.1" customHeight="1" x14ac:dyDescent="0.25">
      <c r="A21" s="29">
        <v>16</v>
      </c>
      <c r="B21" s="482"/>
      <c r="C21" s="483"/>
      <c r="D21" s="484"/>
      <c r="E21" s="29">
        <v>59.6</v>
      </c>
      <c r="F21" s="30"/>
      <c r="G21" s="29"/>
      <c r="H21" s="29"/>
      <c r="I21" s="29"/>
    </row>
    <row r="22" spans="1:9" ht="35.1" customHeight="1" x14ac:dyDescent="0.25">
      <c r="A22" s="29">
        <v>17</v>
      </c>
      <c r="B22" s="482"/>
      <c r="C22" s="483"/>
      <c r="D22" s="484"/>
      <c r="E22" s="29">
        <v>70.3</v>
      </c>
      <c r="F22" s="30"/>
      <c r="G22" s="29"/>
      <c r="H22" s="29" t="s">
        <v>870</v>
      </c>
      <c r="I22" s="29"/>
    </row>
    <row r="23" spans="1:9" ht="35.1" customHeight="1" x14ac:dyDescent="0.25">
      <c r="A23" s="29">
        <v>14</v>
      </c>
      <c r="B23" s="482"/>
      <c r="C23" s="483"/>
      <c r="D23" s="484"/>
      <c r="E23" s="29">
        <v>78.3</v>
      </c>
      <c r="F23" s="30"/>
      <c r="G23" s="29"/>
      <c r="H23" s="29" t="s">
        <v>870</v>
      </c>
      <c r="I23" s="29"/>
    </row>
    <row r="24" spans="1:9" ht="35.1" customHeight="1" x14ac:dyDescent="0.25">
      <c r="A24" s="29">
        <v>22</v>
      </c>
      <c r="B24" s="482"/>
      <c r="C24" s="483"/>
      <c r="D24" s="484"/>
      <c r="E24" s="29">
        <v>50.1</v>
      </c>
      <c r="F24" s="30"/>
      <c r="G24" s="29"/>
      <c r="H24" s="29"/>
      <c r="I24" s="29"/>
    </row>
    <row r="25" spans="1:9" ht="35.1" customHeight="1" x14ac:dyDescent="0.25">
      <c r="A25" s="29">
        <v>18</v>
      </c>
      <c r="B25" s="482"/>
      <c r="C25" s="483"/>
      <c r="D25" s="484"/>
      <c r="E25" s="29">
        <v>65.2</v>
      </c>
      <c r="F25" s="30"/>
      <c r="G25" s="29"/>
      <c r="H25" s="29"/>
      <c r="I25" s="29" t="s">
        <v>870</v>
      </c>
    </row>
    <row r="26" spans="1:9" ht="35.1" customHeight="1" x14ac:dyDescent="0.25">
      <c r="A26" s="29">
        <v>6</v>
      </c>
      <c r="B26" s="482"/>
      <c r="C26" s="483"/>
      <c r="D26" s="484"/>
      <c r="E26" s="29">
        <v>47.1</v>
      </c>
      <c r="F26" s="30"/>
      <c r="G26" s="29"/>
      <c r="H26" s="29"/>
      <c r="I26" s="29" t="s">
        <v>870</v>
      </c>
    </row>
    <row r="27" spans="1:9" ht="35.1" customHeight="1" x14ac:dyDescent="0.25">
      <c r="A27" s="29">
        <v>23</v>
      </c>
      <c r="B27" s="482"/>
      <c r="C27" s="483"/>
      <c r="D27" s="484"/>
      <c r="E27" s="29">
        <v>45.1</v>
      </c>
      <c r="F27" s="30"/>
      <c r="G27" s="29"/>
      <c r="H27" s="29"/>
      <c r="I27" s="29"/>
    </row>
    <row r="28" spans="1:9" ht="35.1" customHeight="1" x14ac:dyDescent="0.25">
      <c r="A28" s="29">
        <v>25</v>
      </c>
      <c r="B28" s="482"/>
      <c r="C28" s="483"/>
      <c r="D28" s="484"/>
      <c r="E28" s="29">
        <v>42.5</v>
      </c>
      <c r="F28" s="30"/>
      <c r="G28" s="29"/>
      <c r="H28" s="29" t="s">
        <v>870</v>
      </c>
      <c r="I28" s="29"/>
    </row>
    <row r="29" spans="1:9" ht="35.1" customHeight="1" x14ac:dyDescent="0.25">
      <c r="A29" s="29">
        <v>29</v>
      </c>
      <c r="B29" s="482"/>
      <c r="C29" s="483"/>
      <c r="D29" s="484"/>
      <c r="E29" s="29">
        <v>41.4</v>
      </c>
      <c r="F29" s="30"/>
      <c r="G29" s="29"/>
      <c r="H29" s="29"/>
      <c r="I29" s="29"/>
    </row>
    <row r="30" spans="1:9" ht="35.1" customHeight="1" x14ac:dyDescent="0.25">
      <c r="A30" s="29">
        <v>24</v>
      </c>
      <c r="B30" s="482"/>
      <c r="C30" s="483"/>
      <c r="D30" s="484"/>
      <c r="E30" s="29">
        <v>47.5</v>
      </c>
      <c r="F30" s="30"/>
      <c r="G30" s="29"/>
      <c r="H30" s="29"/>
      <c r="I30" s="29" t="s">
        <v>870</v>
      </c>
    </row>
    <row r="31" spans="1:9" ht="35.1" customHeight="1" x14ac:dyDescent="0.25">
      <c r="A31" s="29">
        <v>26</v>
      </c>
      <c r="B31" s="482"/>
      <c r="C31" s="483"/>
      <c r="D31" s="484"/>
      <c r="E31" s="29">
        <v>49.4</v>
      </c>
      <c r="F31" s="30"/>
      <c r="G31" s="29"/>
      <c r="H31" s="29"/>
      <c r="I31" s="29" t="s">
        <v>870</v>
      </c>
    </row>
    <row r="32" spans="1:9" ht="35.1" customHeight="1" x14ac:dyDescent="0.25">
      <c r="A32" s="29">
        <v>30</v>
      </c>
      <c r="B32" s="482"/>
      <c r="C32" s="483"/>
      <c r="D32" s="484"/>
      <c r="E32" s="29">
        <v>40.799999999999997</v>
      </c>
      <c r="F32" s="30"/>
      <c r="G32" s="29"/>
      <c r="H32" s="29" t="s">
        <v>870</v>
      </c>
      <c r="I32" s="29" t="s">
        <v>870</v>
      </c>
    </row>
    <row r="33" spans="1:9" ht="35.1" customHeight="1" x14ac:dyDescent="0.25">
      <c r="A33" s="29">
        <v>33</v>
      </c>
      <c r="B33" s="482"/>
      <c r="C33" s="483"/>
      <c r="D33" s="484"/>
      <c r="E33" s="29">
        <v>47.4</v>
      </c>
      <c r="F33" s="30"/>
      <c r="G33" s="29"/>
      <c r="H33" s="29" t="s">
        <v>870</v>
      </c>
      <c r="I33" s="29" t="s">
        <v>870</v>
      </c>
    </row>
    <row r="34" spans="1:9" ht="35.1" customHeight="1" x14ac:dyDescent="0.25">
      <c r="A34" s="29">
        <v>31</v>
      </c>
      <c r="B34" s="482"/>
      <c r="C34" s="483"/>
      <c r="D34" s="484"/>
      <c r="E34" s="29">
        <v>66.5</v>
      </c>
      <c r="F34" s="30"/>
      <c r="G34" s="29"/>
      <c r="H34" s="29" t="s">
        <v>870</v>
      </c>
      <c r="I34" s="29"/>
    </row>
    <row r="35" spans="1:9" ht="35.1" customHeight="1" x14ac:dyDescent="0.25">
      <c r="A35" s="29">
        <v>20</v>
      </c>
      <c r="B35" s="482"/>
      <c r="C35" s="483"/>
      <c r="D35" s="484"/>
      <c r="E35" s="29">
        <v>49.3</v>
      </c>
      <c r="F35" s="30"/>
      <c r="G35" s="29"/>
      <c r="H35" s="29" t="s">
        <v>870</v>
      </c>
      <c r="I35" s="29"/>
    </row>
    <row r="36" spans="1:9" ht="35.1" customHeight="1" x14ac:dyDescent="0.25">
      <c r="A36" s="29">
        <v>34</v>
      </c>
      <c r="B36" s="482"/>
      <c r="C36" s="483"/>
      <c r="D36" s="484"/>
      <c r="E36" s="29">
        <v>88.3</v>
      </c>
      <c r="F36" s="30"/>
      <c r="G36" s="29"/>
      <c r="H36" s="29" t="s">
        <v>870</v>
      </c>
      <c r="I36" s="29"/>
    </row>
    <row r="37" spans="1:9" ht="35.1" customHeight="1" x14ac:dyDescent="0.25">
      <c r="A37" s="29">
        <v>35</v>
      </c>
      <c r="B37" s="482"/>
      <c r="C37" s="483"/>
      <c r="D37" s="484"/>
      <c r="E37" s="29">
        <v>38.9</v>
      </c>
      <c r="F37" s="30"/>
      <c r="G37" s="29"/>
      <c r="H37" s="29" t="s">
        <v>870</v>
      </c>
      <c r="I37" s="29" t="s">
        <v>870</v>
      </c>
    </row>
    <row r="38" spans="1:9" ht="35.1" customHeight="1" x14ac:dyDescent="0.25">
      <c r="A38" s="29">
        <v>21</v>
      </c>
      <c r="B38" s="482"/>
      <c r="C38" s="483"/>
      <c r="D38" s="484"/>
      <c r="E38" s="29">
        <v>54.5</v>
      </c>
      <c r="F38" s="30"/>
      <c r="G38" s="29"/>
      <c r="H38" s="29"/>
      <c r="I38" s="29"/>
    </row>
    <row r="39" spans="1:9" ht="35.1" customHeight="1" x14ac:dyDescent="0.25">
      <c r="A39" s="29">
        <v>38</v>
      </c>
      <c r="B39" s="482"/>
      <c r="C39" s="483"/>
      <c r="D39" s="484"/>
      <c r="E39" s="29">
        <v>55.6</v>
      </c>
      <c r="F39" s="30"/>
      <c r="G39" s="29"/>
      <c r="H39" s="29"/>
      <c r="I39" s="29"/>
    </row>
    <row r="40" spans="1:9" ht="35.1" customHeight="1" x14ac:dyDescent="0.25">
      <c r="A40" s="29">
        <v>37</v>
      </c>
      <c r="B40" s="482"/>
      <c r="C40" s="483"/>
      <c r="D40" s="484"/>
      <c r="E40" s="29">
        <v>42.5</v>
      </c>
      <c r="F40" s="30"/>
      <c r="G40" s="29"/>
      <c r="H40" s="29" t="s">
        <v>870</v>
      </c>
      <c r="I40" s="29" t="s">
        <v>870</v>
      </c>
    </row>
    <row r="41" spans="1:9" ht="35.1" customHeight="1" x14ac:dyDescent="0.25">
      <c r="A41" s="29">
        <v>39</v>
      </c>
      <c r="B41" s="482"/>
      <c r="C41" s="483"/>
      <c r="D41" s="484"/>
      <c r="E41" s="29">
        <v>45.5</v>
      </c>
      <c r="F41" s="30"/>
      <c r="G41" s="29"/>
      <c r="H41" s="29" t="s">
        <v>870</v>
      </c>
      <c r="I41" s="29" t="s">
        <v>870</v>
      </c>
    </row>
    <row r="42" spans="1:9" ht="35.1" customHeight="1" x14ac:dyDescent="0.25">
      <c r="A42" s="29">
        <v>40</v>
      </c>
      <c r="B42" s="482"/>
      <c r="C42" s="483"/>
      <c r="D42" s="484"/>
      <c r="E42" s="29">
        <v>49.6</v>
      </c>
      <c r="F42" s="30"/>
      <c r="G42" s="29"/>
      <c r="H42" s="29"/>
      <c r="I42" s="29" t="s">
        <v>870</v>
      </c>
    </row>
    <row r="43" spans="1:9" ht="35.1" customHeight="1" x14ac:dyDescent="0.25">
      <c r="A43" s="29">
        <v>41</v>
      </c>
      <c r="B43" s="482"/>
      <c r="C43" s="483"/>
      <c r="D43" s="484"/>
      <c r="E43" s="29">
        <v>46.2</v>
      </c>
      <c r="F43" s="30"/>
      <c r="G43" s="29"/>
      <c r="H43" s="29"/>
      <c r="I43" s="29" t="s">
        <v>870</v>
      </c>
    </row>
    <row r="44" spans="1:9" ht="35.1" customHeight="1" x14ac:dyDescent="0.25">
      <c r="A44" s="29">
        <v>42</v>
      </c>
      <c r="B44" s="482"/>
      <c r="C44" s="483"/>
      <c r="D44" s="484"/>
      <c r="E44" s="29">
        <v>43.8</v>
      </c>
      <c r="F44" s="30"/>
      <c r="G44" s="29"/>
      <c r="H44" s="29" t="s">
        <v>870</v>
      </c>
      <c r="I44" s="29" t="s">
        <v>870</v>
      </c>
    </row>
    <row r="45" spans="1:9" ht="35.1" customHeight="1" x14ac:dyDescent="0.25">
      <c r="A45" s="29">
        <v>44</v>
      </c>
      <c r="B45" s="482"/>
      <c r="C45" s="483"/>
      <c r="D45" s="484"/>
      <c r="E45" s="29">
        <v>69.5</v>
      </c>
      <c r="F45" s="30">
        <v>1</v>
      </c>
      <c r="G45" s="29"/>
      <c r="H45" s="29"/>
      <c r="I45" s="29"/>
    </row>
    <row r="46" spans="1:9" ht="35.1" customHeight="1" x14ac:dyDescent="0.25">
      <c r="A46" s="29">
        <v>43</v>
      </c>
      <c r="B46" s="482"/>
      <c r="C46" s="483"/>
      <c r="D46" s="484"/>
      <c r="E46" s="29">
        <v>46.8</v>
      </c>
      <c r="F46" s="30"/>
      <c r="G46" s="29"/>
      <c r="H46" s="29"/>
      <c r="I46" s="29" t="s">
        <v>870</v>
      </c>
    </row>
    <row r="47" spans="1:9" ht="35.1" customHeight="1" x14ac:dyDescent="0.25">
      <c r="A47" s="29">
        <v>45</v>
      </c>
      <c r="B47" s="482"/>
      <c r="C47" s="483"/>
      <c r="D47" s="484"/>
      <c r="E47" s="29">
        <v>86.3</v>
      </c>
      <c r="F47" s="30"/>
      <c r="G47" s="29"/>
      <c r="H47" s="29"/>
      <c r="I47" s="29"/>
    </row>
    <row r="48" spans="1:9" ht="35.1" customHeight="1" x14ac:dyDescent="0.25">
      <c r="A48" s="29">
        <v>47</v>
      </c>
      <c r="B48" s="482"/>
      <c r="C48" s="483"/>
      <c r="D48" s="484"/>
      <c r="E48" s="29">
        <v>40.299999999999997</v>
      </c>
      <c r="F48" s="30"/>
      <c r="G48" s="29"/>
      <c r="H48" s="29"/>
      <c r="I48" s="29"/>
    </row>
    <row r="49" spans="1:9" ht="35.1" customHeight="1" x14ac:dyDescent="0.25">
      <c r="A49" s="29">
        <v>36</v>
      </c>
      <c r="B49" s="482"/>
      <c r="C49" s="483"/>
      <c r="D49" s="484"/>
      <c r="E49" s="29">
        <v>54.4</v>
      </c>
      <c r="F49" s="30"/>
      <c r="G49" s="29"/>
      <c r="H49" s="29"/>
      <c r="I49" s="29"/>
    </row>
    <row r="50" spans="1:9" ht="35.1" customHeight="1" x14ac:dyDescent="0.25">
      <c r="A50" s="29">
        <v>3</v>
      </c>
      <c r="B50" s="482"/>
      <c r="C50" s="483"/>
      <c r="D50" s="484"/>
      <c r="E50" s="29">
        <v>52.1</v>
      </c>
      <c r="F50" s="30"/>
      <c r="G50" s="29"/>
      <c r="H50" s="29" t="s">
        <v>870</v>
      </c>
      <c r="I50" s="29"/>
    </row>
    <row r="51" spans="1:9" ht="35.1" customHeight="1" x14ac:dyDescent="0.25">
      <c r="A51" s="29"/>
      <c r="B51" s="482"/>
      <c r="C51" s="483"/>
      <c r="D51" s="484"/>
      <c r="E51" s="29"/>
      <c r="F51" s="30"/>
      <c r="G51" s="29"/>
      <c r="H51" s="29"/>
      <c r="I51" s="29"/>
    </row>
    <row r="52" spans="1:9" ht="35.1" customHeight="1" x14ac:dyDescent="0.25">
      <c r="A52" s="29"/>
      <c r="B52" s="482"/>
      <c r="C52" s="483"/>
      <c r="D52" s="484"/>
      <c r="E52" s="29"/>
      <c r="F52" s="30"/>
      <c r="G52" s="29"/>
      <c r="H52" s="29"/>
      <c r="I52" s="29"/>
    </row>
    <row r="53" spans="1:9" ht="35.1" customHeight="1" x14ac:dyDescent="0.25">
      <c r="A53" s="29"/>
      <c r="B53" s="482"/>
      <c r="C53" s="483"/>
      <c r="D53" s="484"/>
      <c r="E53" s="29"/>
      <c r="F53" s="30"/>
      <c r="G53" s="29"/>
      <c r="H53" s="29"/>
      <c r="I53" s="29"/>
    </row>
    <row r="54" spans="1:9" ht="35.1" customHeight="1" x14ac:dyDescent="0.25">
      <c r="A54" s="29"/>
      <c r="B54" s="482"/>
      <c r="C54" s="483"/>
      <c r="D54" s="484"/>
      <c r="E54" s="29"/>
      <c r="F54" s="30"/>
      <c r="G54" s="29"/>
      <c r="H54" s="29"/>
      <c r="I54" s="29"/>
    </row>
    <row r="55" spans="1:9" ht="35.1" customHeight="1" x14ac:dyDescent="0.25">
      <c r="A55" s="29"/>
      <c r="B55" s="482"/>
      <c r="C55" s="483"/>
      <c r="D55" s="484"/>
      <c r="E55" s="29"/>
      <c r="F55" s="30"/>
      <c r="G55" s="29"/>
      <c r="H55" s="29"/>
      <c r="I55" s="29"/>
    </row>
    <row r="56" spans="1:9" ht="35.1" customHeight="1" x14ac:dyDescent="0.25">
      <c r="A56" s="29"/>
      <c r="B56" s="482"/>
      <c r="C56" s="483"/>
      <c r="D56" s="484"/>
      <c r="E56" s="29"/>
      <c r="F56" s="30"/>
      <c r="G56" s="29"/>
      <c r="H56" s="29"/>
      <c r="I56" s="29"/>
    </row>
    <row r="57" spans="1:9" ht="35.1" customHeight="1" x14ac:dyDescent="0.25">
      <c r="A57" s="29"/>
      <c r="B57" s="482"/>
      <c r="C57" s="483"/>
      <c r="D57" s="484"/>
      <c r="E57" s="29"/>
      <c r="F57" s="30"/>
      <c r="G57" s="29"/>
      <c r="H57" s="29"/>
      <c r="I57" s="29"/>
    </row>
    <row r="58" spans="1:9" ht="35.1" customHeight="1" x14ac:dyDescent="0.25">
      <c r="A58" s="29"/>
      <c r="B58" s="482"/>
      <c r="C58" s="483"/>
      <c r="D58" s="484"/>
      <c r="E58" s="29"/>
      <c r="F58" s="30"/>
      <c r="G58" s="29"/>
      <c r="H58" s="29"/>
      <c r="I58" s="29"/>
    </row>
    <row r="59" spans="1:9" ht="35.1" customHeight="1" x14ac:dyDescent="0.25">
      <c r="A59" s="29"/>
      <c r="B59" s="482"/>
      <c r="C59" s="483"/>
      <c r="D59" s="484"/>
      <c r="E59" s="29"/>
      <c r="F59" s="30"/>
      <c r="G59" s="29"/>
      <c r="H59" s="29"/>
      <c r="I59" s="29"/>
    </row>
    <row r="60" spans="1:9" ht="35.1" customHeight="1" x14ac:dyDescent="0.25">
      <c r="A60" s="29"/>
      <c r="B60" s="482"/>
      <c r="C60" s="483"/>
      <c r="D60" s="484"/>
      <c r="E60" s="29"/>
      <c r="F60" s="30"/>
      <c r="G60" s="29"/>
      <c r="H60" s="29"/>
      <c r="I60" s="29"/>
    </row>
    <row r="61" spans="1:9" ht="35.1" customHeight="1" x14ac:dyDescent="0.25">
      <c r="A61" s="29"/>
      <c r="B61" s="482"/>
      <c r="C61" s="483"/>
      <c r="D61" s="484"/>
      <c r="E61" s="29"/>
      <c r="F61" s="30"/>
      <c r="G61" s="29"/>
      <c r="H61" s="29"/>
      <c r="I61" s="29"/>
    </row>
  </sheetData>
  <mergeCells count="1">
    <mergeCell ref="A7:I7"/>
  </mergeCells>
  <pageMargins left="0.59055118110236227" right="0.19685039370078741" top="0.39370078740157483" bottom="0.39370078740157483" header="0" footer="0.39370078740157483"/>
  <pageSetup paperSize="9" orientation="landscape" horizontalDpi="300" r:id="rId1"/>
  <headerFooter>
    <oddHeader>&amp;LНа листе 13 строк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F0"/>
  </sheetPr>
  <dimension ref="A1:K66"/>
  <sheetViews>
    <sheetView view="pageBreakPreview" topLeftCell="A29" zoomScale="85" zoomScaleSheetLayoutView="85" workbookViewId="0">
      <selection activeCell="C33" sqref="C33:D33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766</v>
      </c>
      <c r="C2" s="273" t="s">
        <v>387</v>
      </c>
      <c r="D2" s="272" t="s">
        <v>569</v>
      </c>
    </row>
    <row r="3" spans="1:11" s="261" customFormat="1" ht="21" customHeight="1" x14ac:dyDescent="0.25">
      <c r="A3" s="274" t="s">
        <v>92</v>
      </c>
      <c r="B3" s="272">
        <v>0.62569444816973485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0.6743055592808459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584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0.64027777777777783</v>
      </c>
      <c r="C10" s="726"/>
      <c r="D10" s="727"/>
    </row>
    <row r="11" spans="1:11" ht="30" customHeight="1" x14ac:dyDescent="0.25">
      <c r="A11" s="29">
        <v>2</v>
      </c>
      <c r="B11" s="76">
        <v>0.64097222222222217</v>
      </c>
      <c r="C11" s="726"/>
      <c r="D11" s="727"/>
    </row>
    <row r="12" spans="1:11" ht="30" customHeight="1" x14ac:dyDescent="0.25">
      <c r="A12" s="29">
        <v>4</v>
      </c>
      <c r="B12" s="76">
        <v>0.64236111111111105</v>
      </c>
      <c r="C12" s="726"/>
      <c r="D12" s="727"/>
    </row>
    <row r="13" spans="1:11" ht="30" customHeight="1" x14ac:dyDescent="0.25">
      <c r="A13" s="29">
        <v>5</v>
      </c>
      <c r="B13" s="76">
        <v>0.64374999999999993</v>
      </c>
      <c r="C13" s="726"/>
      <c r="D13" s="727"/>
    </row>
    <row r="14" spans="1:11" ht="30" customHeight="1" x14ac:dyDescent="0.25">
      <c r="A14" s="29">
        <v>7</v>
      </c>
      <c r="B14" s="76">
        <v>0.64513888888888882</v>
      </c>
      <c r="C14" s="726"/>
      <c r="D14" s="727"/>
    </row>
    <row r="15" spans="1:11" ht="30" customHeight="1" x14ac:dyDescent="0.25">
      <c r="A15" s="29">
        <v>10</v>
      </c>
      <c r="B15" s="76">
        <v>0.64652777777777781</v>
      </c>
      <c r="C15" s="726"/>
      <c r="D15" s="727"/>
    </row>
    <row r="16" spans="1:11" ht="30" customHeight="1" x14ac:dyDescent="0.25">
      <c r="A16" s="29">
        <v>9</v>
      </c>
      <c r="B16" s="76">
        <v>0.64652777777777781</v>
      </c>
      <c r="C16" s="726"/>
      <c r="D16" s="727"/>
    </row>
    <row r="17" spans="1:4" ht="30" customHeight="1" x14ac:dyDescent="0.25">
      <c r="A17" s="29">
        <v>11</v>
      </c>
      <c r="B17" s="76">
        <v>0.64722222222222225</v>
      </c>
      <c r="C17" s="726"/>
      <c r="D17" s="727"/>
    </row>
    <row r="18" spans="1:4" ht="30" customHeight="1" x14ac:dyDescent="0.25">
      <c r="A18" s="29">
        <v>12</v>
      </c>
      <c r="B18" s="76">
        <v>0.64861111111111114</v>
      </c>
      <c r="C18" s="726"/>
      <c r="D18" s="727"/>
    </row>
    <row r="19" spans="1:4" ht="30" customHeight="1" x14ac:dyDescent="0.25">
      <c r="A19" s="29">
        <v>3</v>
      </c>
      <c r="B19" s="76">
        <v>0.64861111111111114</v>
      </c>
      <c r="C19" s="726"/>
      <c r="D19" s="727"/>
    </row>
    <row r="20" spans="1:4" ht="30" customHeight="1" x14ac:dyDescent="0.25">
      <c r="A20" s="29">
        <v>13</v>
      </c>
      <c r="B20" s="76">
        <v>0.65</v>
      </c>
      <c r="C20" s="726"/>
      <c r="D20" s="727"/>
    </row>
    <row r="21" spans="1:4" ht="30" customHeight="1" x14ac:dyDescent="0.25">
      <c r="A21" s="29">
        <v>8</v>
      </c>
      <c r="B21" s="76">
        <v>0.65069444444444446</v>
      </c>
      <c r="C21" s="726"/>
      <c r="D21" s="727"/>
    </row>
    <row r="22" spans="1:4" ht="30" customHeight="1" x14ac:dyDescent="0.25">
      <c r="A22" s="29">
        <v>16</v>
      </c>
      <c r="B22" s="76">
        <v>0.65208333333333335</v>
      </c>
      <c r="C22" s="726"/>
      <c r="D22" s="727"/>
    </row>
    <row r="23" spans="1:4" ht="30" customHeight="1" x14ac:dyDescent="0.25">
      <c r="A23" s="29">
        <v>17</v>
      </c>
      <c r="B23" s="76">
        <v>0.65347222222222223</v>
      </c>
      <c r="C23" s="726"/>
      <c r="D23" s="727"/>
    </row>
    <row r="24" spans="1:4" ht="30" customHeight="1" x14ac:dyDescent="0.25">
      <c r="A24" s="29">
        <v>14</v>
      </c>
      <c r="B24" s="76">
        <v>0.65416666666666667</v>
      </c>
      <c r="C24" s="726"/>
      <c r="D24" s="727"/>
    </row>
    <row r="25" spans="1:4" ht="30" customHeight="1" x14ac:dyDescent="0.25">
      <c r="A25" s="29">
        <v>22</v>
      </c>
      <c r="B25" s="76">
        <v>0.65486111111111112</v>
      </c>
      <c r="C25" s="726"/>
      <c r="D25" s="727"/>
    </row>
    <row r="26" spans="1:4" ht="30" customHeight="1" x14ac:dyDescent="0.25">
      <c r="A26" s="29">
        <v>18</v>
      </c>
      <c r="B26" s="76">
        <v>0.65555555555555556</v>
      </c>
      <c r="C26" s="726"/>
      <c r="D26" s="727"/>
    </row>
    <row r="27" spans="1:4" ht="30" customHeight="1" x14ac:dyDescent="0.25">
      <c r="A27" s="29">
        <v>6</v>
      </c>
      <c r="B27" s="76">
        <v>0.65555555555555556</v>
      </c>
      <c r="C27" s="726"/>
      <c r="D27" s="727"/>
    </row>
    <row r="28" spans="1:4" ht="30" customHeight="1" x14ac:dyDescent="0.25">
      <c r="A28" s="29">
        <v>25</v>
      </c>
      <c r="B28" s="76">
        <v>0.65694444444444444</v>
      </c>
      <c r="C28" s="726"/>
      <c r="D28" s="727"/>
    </row>
    <row r="29" spans="1:4" ht="30" customHeight="1" x14ac:dyDescent="0.25">
      <c r="A29" s="29">
        <v>23</v>
      </c>
      <c r="B29" s="76">
        <v>0.65694444444444444</v>
      </c>
      <c r="C29" s="726"/>
      <c r="D29" s="727"/>
    </row>
    <row r="30" spans="1:4" ht="30" customHeight="1" x14ac:dyDescent="0.25">
      <c r="A30" s="29">
        <v>29</v>
      </c>
      <c r="B30" s="76">
        <v>0.65763888888888888</v>
      </c>
      <c r="C30" s="726"/>
      <c r="D30" s="727"/>
    </row>
    <row r="31" spans="1:4" ht="30" customHeight="1" x14ac:dyDescent="0.25">
      <c r="A31" s="29">
        <v>26</v>
      </c>
      <c r="B31" s="76">
        <v>0.65972222222222221</v>
      </c>
      <c r="C31" s="726"/>
      <c r="D31" s="727"/>
    </row>
    <row r="32" spans="1:4" ht="30" customHeight="1" x14ac:dyDescent="0.25">
      <c r="A32" s="29"/>
      <c r="B32" s="76"/>
      <c r="C32" s="726"/>
      <c r="D32" s="727"/>
    </row>
    <row r="33" spans="1:4" ht="30" customHeight="1" x14ac:dyDescent="0.25">
      <c r="A33" s="29">
        <v>24</v>
      </c>
      <c r="B33" s="76">
        <v>0.65972222222222221</v>
      </c>
      <c r="C33" s="726"/>
      <c r="D33" s="727"/>
    </row>
    <row r="34" spans="1:4" ht="30" customHeight="1" x14ac:dyDescent="0.25">
      <c r="A34" s="29">
        <v>32</v>
      </c>
      <c r="B34" s="76">
        <v>0.65972222222222221</v>
      </c>
      <c r="C34" s="726"/>
      <c r="D34" s="727"/>
    </row>
    <row r="35" spans="1:4" ht="30" customHeight="1" x14ac:dyDescent="0.25">
      <c r="A35" s="29">
        <v>30</v>
      </c>
      <c r="B35" s="76">
        <v>0.66041666666666665</v>
      </c>
      <c r="C35" s="726"/>
      <c r="D35" s="727"/>
    </row>
    <row r="36" spans="1:4" ht="30" customHeight="1" x14ac:dyDescent="0.25">
      <c r="A36" s="29">
        <v>33</v>
      </c>
      <c r="B36" s="76">
        <v>0.66111111111111109</v>
      </c>
      <c r="C36" s="726"/>
      <c r="D36" s="727"/>
    </row>
    <row r="37" spans="1:4" ht="30" customHeight="1" x14ac:dyDescent="0.25">
      <c r="A37" s="29">
        <v>35</v>
      </c>
      <c r="B37" s="76">
        <v>0.66111111111111109</v>
      </c>
      <c r="C37" s="726"/>
      <c r="D37" s="727"/>
    </row>
    <row r="38" spans="1:4" ht="30" customHeight="1" x14ac:dyDescent="0.25">
      <c r="A38" s="29">
        <v>31</v>
      </c>
      <c r="B38" s="76">
        <v>0.66180555555555554</v>
      </c>
      <c r="C38" s="726"/>
      <c r="D38" s="727"/>
    </row>
    <row r="39" spans="1:4" ht="30" customHeight="1" x14ac:dyDescent="0.25">
      <c r="A39" s="29">
        <v>20</v>
      </c>
      <c r="B39" s="76">
        <v>0.66249999999999998</v>
      </c>
      <c r="C39" s="726"/>
      <c r="D39" s="727"/>
    </row>
    <row r="40" spans="1:4" ht="30" customHeight="1" x14ac:dyDescent="0.25">
      <c r="A40" s="29">
        <v>34</v>
      </c>
      <c r="B40" s="76">
        <v>0.66319444444444442</v>
      </c>
      <c r="C40" s="726"/>
      <c r="D40" s="727"/>
    </row>
    <row r="41" spans="1:4" ht="30" customHeight="1" x14ac:dyDescent="0.25">
      <c r="A41" s="29">
        <v>21</v>
      </c>
      <c r="B41" s="76">
        <v>0.6645833333333333</v>
      </c>
      <c r="C41" s="726"/>
      <c r="D41" s="727"/>
    </row>
    <row r="42" spans="1:4" ht="30" customHeight="1" x14ac:dyDescent="0.25">
      <c r="A42" s="29">
        <v>38</v>
      </c>
      <c r="B42" s="76">
        <v>0.66527777777777775</v>
      </c>
      <c r="C42" s="726"/>
      <c r="D42" s="727"/>
    </row>
    <row r="43" spans="1:4" ht="30" customHeight="1" x14ac:dyDescent="0.25">
      <c r="A43" s="29">
        <v>37</v>
      </c>
      <c r="B43" s="76">
        <v>0.66597222222222219</v>
      </c>
      <c r="C43" s="726"/>
      <c r="D43" s="727"/>
    </row>
    <row r="44" spans="1:4" ht="30" customHeight="1" x14ac:dyDescent="0.25">
      <c r="A44" s="29">
        <v>39</v>
      </c>
      <c r="B44" s="76">
        <v>0.66666666666666663</v>
      </c>
      <c r="C44" s="726"/>
      <c r="D44" s="727"/>
    </row>
    <row r="45" spans="1:4" ht="30" customHeight="1" x14ac:dyDescent="0.25">
      <c r="A45" s="29">
        <v>40</v>
      </c>
      <c r="B45" s="76">
        <v>0.66736111111111107</v>
      </c>
      <c r="C45" s="726"/>
      <c r="D45" s="727"/>
    </row>
    <row r="46" spans="1:4" ht="30" customHeight="1" x14ac:dyDescent="0.25">
      <c r="A46" s="29">
        <v>41</v>
      </c>
      <c r="B46" s="76">
        <v>0.66805555555555562</v>
      </c>
      <c r="C46" s="726"/>
      <c r="D46" s="727"/>
    </row>
    <row r="47" spans="1:4" ht="30" customHeight="1" x14ac:dyDescent="0.25">
      <c r="A47" s="29">
        <v>42</v>
      </c>
      <c r="B47" s="76">
        <v>0.66875000000000007</v>
      </c>
      <c r="C47" s="726"/>
      <c r="D47" s="727"/>
    </row>
    <row r="48" spans="1:4" ht="30" customHeight="1" x14ac:dyDescent="0.25">
      <c r="A48" s="29">
        <v>44</v>
      </c>
      <c r="B48" s="76">
        <v>0.6694444444444444</v>
      </c>
      <c r="C48" s="726"/>
      <c r="D48" s="727"/>
    </row>
    <row r="49" spans="1:4" ht="30" customHeight="1" x14ac:dyDescent="0.25">
      <c r="A49" s="29">
        <v>43</v>
      </c>
      <c r="B49" s="76">
        <v>0.67013888888888884</v>
      </c>
      <c r="C49" s="726"/>
      <c r="D49" s="727"/>
    </row>
    <row r="50" spans="1:4" ht="30" customHeight="1" x14ac:dyDescent="0.25">
      <c r="A50" s="29">
        <v>45</v>
      </c>
      <c r="B50" s="76">
        <v>0.67083333333333339</v>
      </c>
      <c r="C50" s="726"/>
      <c r="D50" s="727"/>
    </row>
    <row r="51" spans="1:4" ht="30" customHeight="1" x14ac:dyDescent="0.25">
      <c r="A51" s="29">
        <v>47</v>
      </c>
      <c r="B51" s="76">
        <v>0.67152777777777783</v>
      </c>
      <c r="C51" s="726"/>
      <c r="D51" s="727"/>
    </row>
    <row r="52" spans="1:4" ht="30" customHeight="1" x14ac:dyDescent="0.25">
      <c r="A52" s="29">
        <v>36</v>
      </c>
      <c r="B52" s="76">
        <v>0.67291666666666661</v>
      </c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00B0F0"/>
  </sheetPr>
  <dimension ref="A1:K66"/>
  <sheetViews>
    <sheetView view="pageBreakPreview" topLeftCell="A16" zoomScale="85" zoomScaleSheetLayoutView="85" workbookViewId="0">
      <selection activeCell="A20" sqref="A20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566</v>
      </c>
      <c r="C2" s="273" t="s">
        <v>387</v>
      </c>
      <c r="D2" s="272" t="s">
        <v>570</v>
      </c>
    </row>
    <row r="3" spans="1:11" s="261" customFormat="1" ht="21" customHeight="1" x14ac:dyDescent="0.25">
      <c r="A3" s="274" t="s">
        <v>92</v>
      </c>
      <c r="B3" s="272">
        <v>0.63261745919525225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0.6812285703063633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779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4</v>
      </c>
      <c r="B10" s="76">
        <v>0.64930555555555558</v>
      </c>
      <c r="C10" s="726"/>
      <c r="D10" s="727"/>
    </row>
    <row r="11" spans="1:11" ht="30" customHeight="1" x14ac:dyDescent="0.25">
      <c r="A11" s="29">
        <v>5</v>
      </c>
      <c r="B11" s="76">
        <v>0.65138888888888891</v>
      </c>
      <c r="C11" s="726"/>
      <c r="D11" s="727"/>
    </row>
    <row r="12" spans="1:11" ht="30" customHeight="1" x14ac:dyDescent="0.25">
      <c r="A12" s="29">
        <v>1</v>
      </c>
      <c r="B12" s="76">
        <v>0.65138888888888891</v>
      </c>
      <c r="C12" s="726"/>
      <c r="D12" s="727"/>
    </row>
    <row r="13" spans="1:11" ht="30" customHeight="1" x14ac:dyDescent="0.25">
      <c r="A13" s="29">
        <v>2</v>
      </c>
      <c r="B13" s="76">
        <v>0.65208333333333335</v>
      </c>
      <c r="C13" s="726"/>
      <c r="D13" s="727"/>
    </row>
    <row r="14" spans="1:11" ht="30" customHeight="1" x14ac:dyDescent="0.25">
      <c r="A14" s="29">
        <v>7</v>
      </c>
      <c r="B14" s="76">
        <v>0.65277777777777779</v>
      </c>
      <c r="C14" s="726"/>
      <c r="D14" s="727"/>
    </row>
    <row r="15" spans="1:11" ht="30" customHeight="1" x14ac:dyDescent="0.25">
      <c r="A15" s="29">
        <v>10</v>
      </c>
      <c r="B15" s="76">
        <v>0.65416666666666667</v>
      </c>
      <c r="C15" s="726"/>
      <c r="D15" s="727"/>
    </row>
    <row r="16" spans="1:11" ht="30" customHeight="1" x14ac:dyDescent="0.25">
      <c r="A16" s="29">
        <v>11</v>
      </c>
      <c r="B16" s="76">
        <v>0.65486111111111112</v>
      </c>
      <c r="C16" s="726"/>
      <c r="D16" s="727"/>
    </row>
    <row r="17" spans="1:4" ht="30" customHeight="1" x14ac:dyDescent="0.25">
      <c r="A17" s="29">
        <v>9</v>
      </c>
      <c r="B17" s="76">
        <v>0.65486111111111112</v>
      </c>
      <c r="C17" s="726"/>
      <c r="D17" s="727"/>
    </row>
    <row r="18" spans="1:4" ht="30" customHeight="1" x14ac:dyDescent="0.25">
      <c r="A18" s="29">
        <v>12</v>
      </c>
      <c r="B18" s="76">
        <v>0.65625</v>
      </c>
      <c r="C18" s="726"/>
      <c r="D18" s="727"/>
    </row>
    <row r="19" spans="1:4" ht="30" customHeight="1" x14ac:dyDescent="0.25">
      <c r="A19" s="29">
        <v>16</v>
      </c>
      <c r="B19" s="76">
        <v>0.65902777777777777</v>
      </c>
      <c r="C19" s="726"/>
      <c r="D19" s="727"/>
    </row>
    <row r="20" spans="1:4" ht="30" customHeight="1" x14ac:dyDescent="0.25">
      <c r="A20" s="29">
        <v>13</v>
      </c>
      <c r="B20" s="76">
        <v>0.65972222222222221</v>
      </c>
      <c r="C20" s="726"/>
      <c r="D20" s="727"/>
    </row>
    <row r="21" spans="1:4" ht="30" customHeight="1" x14ac:dyDescent="0.25">
      <c r="A21" s="29">
        <v>17</v>
      </c>
      <c r="B21" s="76">
        <v>0.66111111111111109</v>
      </c>
      <c r="C21" s="726"/>
      <c r="D21" s="727"/>
    </row>
    <row r="22" spans="1:4" ht="30" customHeight="1" x14ac:dyDescent="0.25">
      <c r="A22" s="29">
        <v>14</v>
      </c>
      <c r="B22" s="76">
        <v>0.66319444444444442</v>
      </c>
      <c r="C22" s="726"/>
      <c r="D22" s="727"/>
    </row>
    <row r="23" spans="1:4" ht="30" customHeight="1" x14ac:dyDescent="0.25">
      <c r="A23" s="29">
        <v>18</v>
      </c>
      <c r="B23" s="76">
        <v>0.66388888888888886</v>
      </c>
      <c r="C23" s="726"/>
      <c r="D23" s="727"/>
    </row>
    <row r="24" spans="1:4" ht="30" customHeight="1" x14ac:dyDescent="0.25">
      <c r="A24" s="29">
        <v>3</v>
      </c>
      <c r="B24" s="76">
        <v>0.66388888888888886</v>
      </c>
      <c r="C24" s="726"/>
      <c r="D24" s="727"/>
    </row>
    <row r="25" spans="1:4" ht="30" customHeight="1" x14ac:dyDescent="0.25">
      <c r="A25" s="29">
        <v>22</v>
      </c>
      <c r="B25" s="76">
        <v>0.6645833333333333</v>
      </c>
      <c r="C25" s="726"/>
      <c r="D25" s="727"/>
    </row>
    <row r="26" spans="1:4" ht="30" customHeight="1" x14ac:dyDescent="0.25">
      <c r="A26" s="29">
        <v>23</v>
      </c>
      <c r="B26" s="76">
        <v>0.66597222222222219</v>
      </c>
      <c r="C26" s="726"/>
      <c r="D26" s="727"/>
    </row>
    <row r="27" spans="1:4" ht="30" customHeight="1" x14ac:dyDescent="0.25">
      <c r="A27" s="29">
        <v>6</v>
      </c>
      <c r="B27" s="76">
        <v>0.66597222222222219</v>
      </c>
      <c r="C27" s="726"/>
      <c r="D27" s="727"/>
    </row>
    <row r="28" spans="1:4" ht="30" customHeight="1" x14ac:dyDescent="0.25">
      <c r="A28" s="29">
        <v>29</v>
      </c>
      <c r="B28" s="76">
        <v>0.66597222222222219</v>
      </c>
      <c r="C28" s="726"/>
      <c r="D28" s="727"/>
    </row>
    <row r="29" spans="1:4" ht="30" customHeight="1" x14ac:dyDescent="0.25">
      <c r="A29" s="29">
        <v>26</v>
      </c>
      <c r="B29" s="76">
        <v>0.66666666666666663</v>
      </c>
      <c r="C29" s="726"/>
      <c r="D29" s="727"/>
    </row>
    <row r="30" spans="1:4" ht="30" customHeight="1" x14ac:dyDescent="0.25">
      <c r="A30" s="29">
        <v>30</v>
      </c>
      <c r="B30" s="76">
        <v>0.66666666666666663</v>
      </c>
      <c r="C30" s="726"/>
      <c r="D30" s="727"/>
    </row>
    <row r="31" spans="1:4" ht="30" customHeight="1" x14ac:dyDescent="0.25">
      <c r="A31" s="29">
        <v>33</v>
      </c>
      <c r="B31" s="76">
        <v>0.66805555555555562</v>
      </c>
      <c r="C31" s="726"/>
      <c r="D31" s="727"/>
    </row>
    <row r="32" spans="1:4" ht="30" customHeight="1" x14ac:dyDescent="0.25">
      <c r="A32" s="29">
        <v>35</v>
      </c>
      <c r="B32" s="76">
        <v>0.66875000000000007</v>
      </c>
      <c r="C32" s="726"/>
      <c r="D32" s="727"/>
    </row>
    <row r="33" spans="1:4" ht="30" customHeight="1" x14ac:dyDescent="0.25">
      <c r="A33" s="29">
        <v>31</v>
      </c>
      <c r="B33" s="76">
        <v>0.66875000000000007</v>
      </c>
      <c r="C33" s="726"/>
      <c r="D33" s="727"/>
    </row>
    <row r="34" spans="1:4" ht="30" customHeight="1" x14ac:dyDescent="0.25">
      <c r="A34" s="29">
        <v>25</v>
      </c>
      <c r="B34" s="76">
        <v>0.6694444444444444</v>
      </c>
      <c r="C34" s="726"/>
      <c r="D34" s="727"/>
    </row>
    <row r="35" spans="1:4" ht="30" customHeight="1" x14ac:dyDescent="0.25">
      <c r="A35" s="29">
        <v>34</v>
      </c>
      <c r="B35" s="76">
        <v>0.67013888888888884</v>
      </c>
      <c r="C35" s="726"/>
      <c r="D35" s="727"/>
    </row>
    <row r="36" spans="1:4" ht="30" customHeight="1" x14ac:dyDescent="0.25">
      <c r="A36" s="29">
        <v>20</v>
      </c>
      <c r="B36" s="76">
        <v>0.67013888888888884</v>
      </c>
      <c r="C36" s="726"/>
      <c r="D36" s="727"/>
    </row>
    <row r="37" spans="1:4" ht="30" customHeight="1" x14ac:dyDescent="0.25">
      <c r="A37" s="29">
        <v>24</v>
      </c>
      <c r="B37" s="76">
        <v>0.67152777777777783</v>
      </c>
      <c r="C37" s="726"/>
      <c r="D37" s="727"/>
    </row>
    <row r="38" spans="1:4" ht="30" customHeight="1" x14ac:dyDescent="0.25">
      <c r="A38" s="29">
        <v>32</v>
      </c>
      <c r="B38" s="76">
        <v>0.67152777777777783</v>
      </c>
      <c r="C38" s="726"/>
      <c r="D38" s="727"/>
    </row>
    <row r="39" spans="1:4" ht="30" customHeight="1" x14ac:dyDescent="0.25">
      <c r="A39" s="29">
        <v>21</v>
      </c>
      <c r="B39" s="76">
        <v>0.67291666666666661</v>
      </c>
      <c r="C39" s="726"/>
      <c r="D39" s="727"/>
    </row>
    <row r="40" spans="1:4" ht="30" customHeight="1" x14ac:dyDescent="0.25">
      <c r="A40" s="29">
        <v>38</v>
      </c>
      <c r="B40" s="76">
        <v>0.67291666666666661</v>
      </c>
      <c r="C40" s="726"/>
      <c r="D40" s="727"/>
    </row>
    <row r="41" spans="1:4" ht="30" customHeight="1" x14ac:dyDescent="0.25">
      <c r="A41" s="29">
        <v>37</v>
      </c>
      <c r="B41" s="76">
        <v>0.6743055555555556</v>
      </c>
      <c r="C41" s="726"/>
      <c r="D41" s="727"/>
    </row>
    <row r="42" spans="1:4" ht="30" customHeight="1" x14ac:dyDescent="0.25">
      <c r="A42" s="29">
        <v>41</v>
      </c>
      <c r="B42" s="76">
        <v>0.67499999999999993</v>
      </c>
      <c r="C42" s="726"/>
      <c r="D42" s="727"/>
    </row>
    <row r="43" spans="1:4" ht="30" customHeight="1" x14ac:dyDescent="0.25">
      <c r="A43" s="29">
        <v>42</v>
      </c>
      <c r="B43" s="76">
        <v>0.67569444444444438</v>
      </c>
      <c r="C43" s="726"/>
      <c r="D43" s="727"/>
    </row>
    <row r="44" spans="1:4" ht="30" customHeight="1" x14ac:dyDescent="0.25">
      <c r="A44" s="29">
        <v>47</v>
      </c>
      <c r="B44" s="76">
        <v>0.6777777777777777</v>
      </c>
      <c r="C44" s="726"/>
      <c r="D44" s="727"/>
    </row>
    <row r="45" spans="1:4" ht="30" customHeight="1" x14ac:dyDescent="0.25">
      <c r="A45" s="29">
        <v>43</v>
      </c>
      <c r="B45" s="76">
        <v>0.6791666666666667</v>
      </c>
      <c r="C45" s="726"/>
      <c r="D45" s="727"/>
    </row>
    <row r="46" spans="1:4" ht="30" customHeight="1" x14ac:dyDescent="0.25">
      <c r="A46" s="29">
        <v>36</v>
      </c>
      <c r="B46" s="76">
        <v>0.67986111111111114</v>
      </c>
      <c r="C46" s="726"/>
      <c r="D46" s="727"/>
    </row>
    <row r="47" spans="1:4" ht="30" customHeight="1" x14ac:dyDescent="0.25">
      <c r="A47" s="29">
        <v>44</v>
      </c>
      <c r="B47" s="76">
        <v>0.68402777777777779</v>
      </c>
      <c r="C47" s="726" t="s">
        <v>291</v>
      </c>
      <c r="D47" s="727"/>
    </row>
    <row r="48" spans="1:4" ht="30" customHeight="1" x14ac:dyDescent="0.25">
      <c r="A48" s="29">
        <v>45</v>
      </c>
      <c r="B48" s="76">
        <v>0.68611111111111101</v>
      </c>
      <c r="C48" s="726"/>
      <c r="D48" s="727"/>
    </row>
    <row r="49" spans="1:4" ht="30" customHeight="1" x14ac:dyDescent="0.25">
      <c r="A49" s="29">
        <v>40</v>
      </c>
      <c r="B49" s="76">
        <v>0.68888888888888899</v>
      </c>
      <c r="C49" s="726"/>
      <c r="D49" s="727"/>
    </row>
    <row r="50" spans="1:4" ht="30" customHeight="1" x14ac:dyDescent="0.25">
      <c r="A50" s="29"/>
      <c r="B50" s="76"/>
      <c r="C50" s="726"/>
      <c r="D50" s="727"/>
    </row>
    <row r="51" spans="1:4" ht="30" customHeight="1" x14ac:dyDescent="0.25">
      <c r="A51" s="29"/>
      <c r="B51" s="76"/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F0"/>
  </sheetPr>
  <dimension ref="A1:K66"/>
  <sheetViews>
    <sheetView view="pageBreakPreview" topLeftCell="A10" zoomScale="85" zoomScaleSheetLayoutView="85" workbookViewId="0">
      <selection activeCell="B16" sqref="B16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773</v>
      </c>
      <c r="C2" s="273" t="s">
        <v>387</v>
      </c>
      <c r="D2" s="272" t="s">
        <v>775</v>
      </c>
    </row>
    <row r="3" spans="1:11" s="261" customFormat="1" ht="21" customHeight="1" x14ac:dyDescent="0.25">
      <c r="A3" s="274" t="s">
        <v>92</v>
      </c>
      <c r="B3" s="272">
        <v>0.64802812460499526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0.69663923571610631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780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0.66041666666666665</v>
      </c>
      <c r="C10" s="726"/>
      <c r="D10" s="727"/>
    </row>
    <row r="11" spans="1:11" ht="30" customHeight="1" x14ac:dyDescent="0.25">
      <c r="A11" s="29">
        <v>4</v>
      </c>
      <c r="B11" s="76">
        <v>0.66041666666666665</v>
      </c>
      <c r="C11" s="726"/>
      <c r="D11" s="727"/>
    </row>
    <row r="12" spans="1:11" ht="30" customHeight="1" x14ac:dyDescent="0.25">
      <c r="A12" s="29">
        <v>7</v>
      </c>
      <c r="B12" s="76">
        <v>0.66388888888888886</v>
      </c>
      <c r="C12" s="726"/>
      <c r="D12" s="727"/>
    </row>
    <row r="13" spans="1:11" ht="30" customHeight="1" x14ac:dyDescent="0.25">
      <c r="A13" s="29">
        <v>2</v>
      </c>
      <c r="B13" s="76">
        <v>0.6645833333333333</v>
      </c>
      <c r="C13" s="726"/>
      <c r="D13" s="727"/>
    </row>
    <row r="14" spans="1:11" ht="30" customHeight="1" x14ac:dyDescent="0.25">
      <c r="A14" s="29">
        <v>16</v>
      </c>
      <c r="B14" s="76">
        <v>0.67013888888888884</v>
      </c>
      <c r="C14" s="726"/>
      <c r="D14" s="727"/>
    </row>
    <row r="15" spans="1:11" ht="30" customHeight="1" x14ac:dyDescent="0.25">
      <c r="A15" s="29">
        <v>10</v>
      </c>
      <c r="B15" s="76">
        <v>0.67083333333333339</v>
      </c>
      <c r="C15" s="726"/>
      <c r="D15" s="727"/>
    </row>
    <row r="16" spans="1:11" ht="30" customHeight="1" x14ac:dyDescent="0.25">
      <c r="A16" s="29">
        <v>12</v>
      </c>
      <c r="B16" s="76">
        <v>0.67222222222222217</v>
      </c>
      <c r="C16" s="726"/>
      <c r="D16" s="727"/>
    </row>
    <row r="17" spans="1:4" ht="30" customHeight="1" x14ac:dyDescent="0.25">
      <c r="A17" s="29"/>
      <c r="B17" s="76"/>
      <c r="C17" s="726"/>
      <c r="D17" s="727"/>
    </row>
    <row r="18" spans="1:4" ht="30" customHeight="1" x14ac:dyDescent="0.25">
      <c r="A18" s="29">
        <v>16</v>
      </c>
      <c r="B18" s="76">
        <v>0.67708333333333337</v>
      </c>
      <c r="C18" s="726"/>
      <c r="D18" s="727"/>
    </row>
    <row r="19" spans="1:4" ht="30" customHeight="1" x14ac:dyDescent="0.25">
      <c r="A19" s="29">
        <v>14</v>
      </c>
      <c r="B19" s="76">
        <v>0.67708333333333337</v>
      </c>
      <c r="C19" s="726"/>
      <c r="D19" s="727"/>
    </row>
    <row r="20" spans="1:4" ht="30" customHeight="1" x14ac:dyDescent="0.25">
      <c r="A20" s="29">
        <v>13</v>
      </c>
      <c r="B20" s="76">
        <v>0.67708333333333337</v>
      </c>
      <c r="C20" s="726"/>
      <c r="D20" s="727"/>
    </row>
    <row r="21" spans="1:4" ht="30" customHeight="1" x14ac:dyDescent="0.25">
      <c r="A21" s="29">
        <v>22</v>
      </c>
      <c r="B21" s="76">
        <v>0.6791666666666667</v>
      </c>
      <c r="C21" s="726"/>
      <c r="D21" s="727"/>
    </row>
    <row r="22" spans="1:4" ht="30" customHeight="1" x14ac:dyDescent="0.25">
      <c r="A22" s="29">
        <v>29</v>
      </c>
      <c r="B22" s="76">
        <v>0.68055555555555547</v>
      </c>
      <c r="C22" s="726"/>
      <c r="D22" s="727"/>
    </row>
    <row r="23" spans="1:4" ht="30" customHeight="1" x14ac:dyDescent="0.25">
      <c r="A23" s="29">
        <v>26</v>
      </c>
      <c r="B23" s="76">
        <v>0.68055555555555547</v>
      </c>
      <c r="C23" s="726"/>
      <c r="D23" s="727"/>
    </row>
    <row r="24" spans="1:4" ht="30" customHeight="1" x14ac:dyDescent="0.25">
      <c r="A24" s="29">
        <v>33</v>
      </c>
      <c r="B24" s="76">
        <v>0.68125000000000002</v>
      </c>
      <c r="C24" s="726"/>
      <c r="D24" s="727"/>
    </row>
    <row r="25" spans="1:4" ht="30" customHeight="1" x14ac:dyDescent="0.25">
      <c r="A25" s="29">
        <v>31</v>
      </c>
      <c r="B25" s="76">
        <v>0.68263888888888891</v>
      </c>
      <c r="C25" s="726"/>
      <c r="D25" s="727"/>
    </row>
    <row r="26" spans="1:4" ht="30" customHeight="1" x14ac:dyDescent="0.25">
      <c r="A26" s="29">
        <v>20</v>
      </c>
      <c r="B26" s="76">
        <v>0.68333333333333324</v>
      </c>
      <c r="C26" s="726"/>
      <c r="D26" s="727"/>
    </row>
    <row r="27" spans="1:4" ht="30" customHeight="1" x14ac:dyDescent="0.25">
      <c r="A27" s="29">
        <v>24</v>
      </c>
      <c r="B27" s="76">
        <v>0.68333333333333324</v>
      </c>
      <c r="C27" s="726"/>
      <c r="D27" s="727"/>
    </row>
    <row r="28" spans="1:4" ht="30" customHeight="1" x14ac:dyDescent="0.25">
      <c r="A28" s="29">
        <v>32</v>
      </c>
      <c r="B28" s="76">
        <v>0.68402777777777779</v>
      </c>
      <c r="C28" s="726"/>
      <c r="D28" s="727"/>
    </row>
    <row r="29" spans="1:4" ht="30" customHeight="1" x14ac:dyDescent="0.25">
      <c r="A29" s="29">
        <v>21</v>
      </c>
      <c r="B29" s="76">
        <v>0.6875</v>
      </c>
      <c r="C29" s="726"/>
      <c r="D29" s="727"/>
    </row>
    <row r="30" spans="1:4" ht="30" customHeight="1" x14ac:dyDescent="0.25">
      <c r="A30" s="29">
        <v>38</v>
      </c>
      <c r="B30" s="76">
        <v>0.68819444444444444</v>
      </c>
      <c r="C30" s="726"/>
      <c r="D30" s="727"/>
    </row>
    <row r="31" spans="1:4" ht="30" customHeight="1" x14ac:dyDescent="0.25">
      <c r="A31" s="29">
        <v>47</v>
      </c>
      <c r="B31" s="76">
        <v>0.69027777777777777</v>
      </c>
      <c r="C31" s="726"/>
      <c r="D31" s="727"/>
    </row>
    <row r="32" spans="1:4" ht="30" customHeight="1" x14ac:dyDescent="0.25">
      <c r="A32" s="29">
        <v>37</v>
      </c>
      <c r="B32" s="76">
        <v>0.69305555555555554</v>
      </c>
      <c r="C32" s="726"/>
      <c r="D32" s="727"/>
    </row>
    <row r="33" spans="1:4" ht="30" customHeight="1" x14ac:dyDescent="0.25">
      <c r="A33" s="29">
        <v>44</v>
      </c>
      <c r="B33" s="76">
        <v>0.6972222222222223</v>
      </c>
      <c r="C33" s="726"/>
      <c r="D33" s="727"/>
    </row>
    <row r="34" spans="1:4" ht="30" customHeight="1" x14ac:dyDescent="0.25">
      <c r="A34" s="29"/>
      <c r="B34" s="76"/>
      <c r="C34" s="726"/>
      <c r="D34" s="727"/>
    </row>
    <row r="35" spans="1:4" ht="30" customHeight="1" x14ac:dyDescent="0.25">
      <c r="A35" s="29"/>
      <c r="B35" s="76"/>
      <c r="C35" s="726"/>
      <c r="D35" s="727"/>
    </row>
    <row r="36" spans="1:4" ht="30" customHeight="1" x14ac:dyDescent="0.25">
      <c r="A36" s="29"/>
      <c r="B36" s="76"/>
      <c r="C36" s="726"/>
      <c r="D36" s="727"/>
    </row>
    <row r="37" spans="1:4" ht="30" customHeight="1" x14ac:dyDescent="0.25">
      <c r="A37" s="29"/>
      <c r="B37" s="76"/>
      <c r="C37" s="726"/>
      <c r="D37" s="727"/>
    </row>
    <row r="38" spans="1:4" ht="30" customHeight="1" x14ac:dyDescent="0.25">
      <c r="A38" s="29"/>
      <c r="B38" s="76"/>
      <c r="C38" s="726"/>
      <c r="D38" s="727"/>
    </row>
    <row r="39" spans="1:4" ht="30" customHeight="1" x14ac:dyDescent="0.25">
      <c r="A39" s="29"/>
      <c r="B39" s="76"/>
      <c r="C39" s="726"/>
      <c r="D39" s="727"/>
    </row>
    <row r="40" spans="1:4" ht="30" customHeight="1" x14ac:dyDescent="0.25">
      <c r="A40" s="29"/>
      <c r="B40" s="76"/>
      <c r="C40" s="726"/>
      <c r="D40" s="727"/>
    </row>
    <row r="41" spans="1:4" ht="30" customHeight="1" x14ac:dyDescent="0.25">
      <c r="A41" s="29"/>
      <c r="B41" s="76"/>
      <c r="C41" s="726"/>
      <c r="D41" s="727"/>
    </row>
    <row r="42" spans="1:4" ht="30" customHeight="1" x14ac:dyDescent="0.25">
      <c r="A42" s="29"/>
      <c r="B42" s="76"/>
      <c r="C42" s="726"/>
      <c r="D42" s="727"/>
    </row>
    <row r="43" spans="1:4" ht="30" customHeight="1" x14ac:dyDescent="0.25">
      <c r="A43" s="29"/>
      <c r="B43" s="76"/>
      <c r="C43" s="726"/>
      <c r="D43" s="727"/>
    </row>
    <row r="44" spans="1:4" ht="30" customHeight="1" x14ac:dyDescent="0.25">
      <c r="A44" s="29"/>
      <c r="B44" s="76"/>
      <c r="C44" s="726"/>
      <c r="D44" s="727"/>
    </row>
    <row r="45" spans="1:4" ht="30" customHeight="1" x14ac:dyDescent="0.25">
      <c r="A45" s="29"/>
      <c r="B45" s="76"/>
      <c r="C45" s="726"/>
      <c r="D45" s="727"/>
    </row>
    <row r="46" spans="1:4" ht="30" customHeight="1" x14ac:dyDescent="0.25">
      <c r="A46" s="29"/>
      <c r="B46" s="76"/>
      <c r="C46" s="726"/>
      <c r="D46" s="727"/>
    </row>
    <row r="47" spans="1:4" ht="30" customHeight="1" x14ac:dyDescent="0.25">
      <c r="A47" s="29"/>
      <c r="B47" s="76"/>
      <c r="C47" s="726"/>
      <c r="D47" s="727"/>
    </row>
    <row r="48" spans="1:4" ht="30" customHeight="1" x14ac:dyDescent="0.25">
      <c r="A48" s="29"/>
      <c r="B48" s="76"/>
      <c r="C48" s="726"/>
      <c r="D48" s="727"/>
    </row>
    <row r="49" spans="1:4" ht="30" customHeight="1" x14ac:dyDescent="0.25">
      <c r="A49" s="29"/>
      <c r="B49" s="76"/>
      <c r="C49" s="726"/>
      <c r="D49" s="727"/>
    </row>
    <row r="50" spans="1:4" ht="30" customHeight="1" x14ac:dyDescent="0.25">
      <c r="A50" s="29"/>
      <c r="B50" s="76"/>
      <c r="C50" s="726"/>
      <c r="D50" s="727"/>
    </row>
    <row r="51" spans="1:4" ht="30" customHeight="1" x14ac:dyDescent="0.25">
      <c r="A51" s="29"/>
      <c r="B51" s="76"/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9"/>
  <dimension ref="A1:N89"/>
  <sheetViews>
    <sheetView view="pageBreakPreview" topLeftCell="A18" zoomScale="85" zoomScaleSheetLayoutView="85" workbookViewId="0">
      <selection activeCell="D24" sqref="D24"/>
    </sheetView>
  </sheetViews>
  <sheetFormatPr defaultRowHeight="15" x14ac:dyDescent="0.25"/>
  <cols>
    <col min="1" max="2" width="5.7109375" customWidth="1"/>
    <col min="3" max="3" width="12.42578125" customWidth="1"/>
    <col min="4" max="4" width="20.7109375" customWidth="1"/>
    <col min="5" max="5" width="12.7109375" customWidth="1"/>
    <col min="6" max="6" width="20.7109375" customWidth="1"/>
    <col min="7" max="7" width="18.7109375" style="1" customWidth="1"/>
    <col min="8" max="8" width="16.7109375" customWidth="1"/>
    <col min="9" max="9" width="12.7109375" customWidth="1"/>
    <col min="10" max="10" width="20.7109375" customWidth="1"/>
    <col min="11" max="11" width="18.7109375" style="1" customWidth="1"/>
    <col min="12" max="13" width="12.7109375" customWidth="1"/>
    <col min="14" max="14" width="9.140625" customWidth="1"/>
  </cols>
  <sheetData>
    <row r="1" spans="1:14" s="1" customFormat="1" ht="50.1" customHeight="1" x14ac:dyDescent="0.35">
      <c r="A1" s="53" t="str">
        <f>"Заявки на участие в "&amp;название</f>
        <v>Заявки на участие в Ралли "Skoda - 2019"</v>
      </c>
      <c r="B1" s="372"/>
      <c r="C1" s="372"/>
      <c r="D1" s="373"/>
      <c r="E1" s="54"/>
      <c r="F1" s="54"/>
      <c r="G1" s="54"/>
      <c r="H1" s="54"/>
      <c r="I1" s="54"/>
      <c r="J1" s="54"/>
      <c r="K1" s="62"/>
      <c r="L1" s="55"/>
      <c r="M1" s="55"/>
    </row>
    <row r="2" spans="1:14" ht="91.5" customHeight="1" x14ac:dyDescent="0.25">
      <c r="A2" s="569" t="s">
        <v>369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1"/>
    </row>
    <row r="3" spans="1:14" s="1" customFormat="1" hidden="1" x14ac:dyDescent="0.25">
      <c r="D3" s="473"/>
    </row>
    <row r="4" spans="1:14" s="1" customFormat="1" hidden="1" x14ac:dyDescent="0.25"/>
    <row r="5" spans="1:14" s="1" customFormat="1" hidden="1" x14ac:dyDescent="0.25">
      <c r="D5" s="473"/>
    </row>
    <row r="6" spans="1:14" s="1" customFormat="1" hidden="1" x14ac:dyDescent="0.25"/>
    <row r="7" spans="1:14" s="1" customFormat="1" hidden="1" x14ac:dyDescent="0.25">
      <c r="D7" s="474"/>
      <c r="H7" s="473"/>
    </row>
    <row r="8" spans="1:14" s="1" customFormat="1" hidden="1" x14ac:dyDescent="0.25"/>
    <row r="9" spans="1:14" ht="30" customHeight="1" x14ac:dyDescent="0.25">
      <c r="A9" s="366" t="s">
        <v>35</v>
      </c>
      <c r="B9" s="366" t="s">
        <v>36</v>
      </c>
      <c r="C9" s="366" t="s">
        <v>241</v>
      </c>
      <c r="D9" s="472" t="s">
        <v>34</v>
      </c>
      <c r="E9" s="366" t="s">
        <v>22</v>
      </c>
      <c r="F9" s="366" t="s">
        <v>367</v>
      </c>
      <c r="G9" s="366" t="s">
        <v>8</v>
      </c>
      <c r="H9" s="366" t="s">
        <v>21</v>
      </c>
      <c r="I9" s="366" t="s">
        <v>31</v>
      </c>
      <c r="J9" s="366" t="s">
        <v>368</v>
      </c>
      <c r="K9" s="366" t="s">
        <v>229</v>
      </c>
      <c r="L9" s="366" t="s">
        <v>230</v>
      </c>
      <c r="M9" s="366" t="s">
        <v>231</v>
      </c>
      <c r="N9" s="125" t="s">
        <v>232</v>
      </c>
    </row>
    <row r="10" spans="1:14" ht="24" customHeight="1" x14ac:dyDescent="0.25">
      <c r="A10" s="355">
        <v>1</v>
      </c>
      <c r="B10" s="367">
        <v>1</v>
      </c>
      <c r="C10" s="368" t="s">
        <v>627</v>
      </c>
      <c r="D10" s="369" t="s">
        <v>672</v>
      </c>
      <c r="E10" s="368" t="s">
        <v>673</v>
      </c>
      <c r="F10" s="369" t="s">
        <v>674</v>
      </c>
      <c r="G10" s="369"/>
      <c r="H10" s="370" t="s">
        <v>675</v>
      </c>
      <c r="I10" s="369" t="s">
        <v>179</v>
      </c>
      <c r="J10" s="369" t="s">
        <v>676</v>
      </c>
      <c r="K10" s="369"/>
      <c r="L10" s="370" t="s">
        <v>677</v>
      </c>
      <c r="M10" s="369" t="s">
        <v>179</v>
      </c>
      <c r="N10" s="12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1" spans="1:14" ht="24" customHeight="1" x14ac:dyDescent="0.25">
      <c r="A11" s="355">
        <f>1+A10</f>
        <v>2</v>
      </c>
      <c r="B11" s="367">
        <v>2</v>
      </c>
      <c r="C11" s="368" t="s">
        <v>379</v>
      </c>
      <c r="D11" s="369" t="s">
        <v>726</v>
      </c>
      <c r="E11" s="368" t="s">
        <v>727</v>
      </c>
      <c r="F11" s="369" t="s">
        <v>728</v>
      </c>
      <c r="G11" s="369"/>
      <c r="H11" s="370">
        <v>89203313227</v>
      </c>
      <c r="I11" s="369" t="s">
        <v>6</v>
      </c>
      <c r="J11" s="369" t="s">
        <v>729</v>
      </c>
      <c r="K11" s="369"/>
      <c r="L11" s="370">
        <v>89166420901</v>
      </c>
      <c r="M11" s="369" t="s">
        <v>179</v>
      </c>
      <c r="N11" s="124" t="str">
        <f>IF(заявки[[#This Row],[Город]]=заявки[[#This Row],[Город ]],заявки[[#This Row],[Город]],заявки[[#This Row],[Город]]&amp;" / "&amp;заявки[[#This Row],[Город ]])</f>
        <v>Смоленск / Москва</v>
      </c>
    </row>
    <row r="12" spans="1:14" ht="24" customHeight="1" x14ac:dyDescent="0.25">
      <c r="A12" s="355">
        <f t="shared" ref="A12:A55" si="0">1+A11</f>
        <v>3</v>
      </c>
      <c r="B12" s="367">
        <v>3</v>
      </c>
      <c r="C12" s="368" t="s">
        <v>379</v>
      </c>
      <c r="D12" s="369" t="s">
        <v>651</v>
      </c>
      <c r="E12" s="368" t="s">
        <v>652</v>
      </c>
      <c r="F12" s="369" t="s">
        <v>653</v>
      </c>
      <c r="G12" s="369"/>
      <c r="H12" s="370" t="s">
        <v>654</v>
      </c>
      <c r="I12" s="369" t="s">
        <v>179</v>
      </c>
      <c r="J12" s="369" t="s">
        <v>655</v>
      </c>
      <c r="K12" s="369"/>
      <c r="L12" s="370" t="s">
        <v>656</v>
      </c>
      <c r="M12" s="369" t="s">
        <v>179</v>
      </c>
      <c r="N12" s="12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3" spans="1:14" ht="24" customHeight="1" x14ac:dyDescent="0.25">
      <c r="A13" s="355">
        <f t="shared" si="0"/>
        <v>4</v>
      </c>
      <c r="B13" s="367">
        <v>4</v>
      </c>
      <c r="C13" s="368" t="s">
        <v>627</v>
      </c>
      <c r="D13" s="369" t="s">
        <v>703</v>
      </c>
      <c r="E13" s="368" t="s">
        <v>810</v>
      </c>
      <c r="F13" s="369" t="s">
        <v>811</v>
      </c>
      <c r="G13" s="369"/>
      <c r="H13" s="370" t="s">
        <v>812</v>
      </c>
      <c r="I13" s="369" t="s">
        <v>6</v>
      </c>
      <c r="J13" s="369" t="s">
        <v>813</v>
      </c>
      <c r="K13" s="369"/>
      <c r="L13" s="370" t="s">
        <v>814</v>
      </c>
      <c r="M13" s="369" t="s">
        <v>6</v>
      </c>
      <c r="N13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14" spans="1:14" ht="24" customHeight="1" x14ac:dyDescent="0.25">
      <c r="A14" s="355">
        <f t="shared" si="0"/>
        <v>5</v>
      </c>
      <c r="B14" s="367">
        <v>5</v>
      </c>
      <c r="C14" s="368" t="s">
        <v>379</v>
      </c>
      <c r="D14" s="369" t="s">
        <v>586</v>
      </c>
      <c r="E14" s="368" t="s">
        <v>587</v>
      </c>
      <c r="F14" s="369" t="s">
        <v>588</v>
      </c>
      <c r="G14" s="369"/>
      <c r="H14" s="370" t="s">
        <v>730</v>
      </c>
      <c r="I14" s="369" t="s">
        <v>179</v>
      </c>
      <c r="J14" s="369" t="s">
        <v>589</v>
      </c>
      <c r="K14" s="369"/>
      <c r="L14" s="370" t="s">
        <v>731</v>
      </c>
      <c r="M14" s="369" t="s">
        <v>179</v>
      </c>
      <c r="N14" s="12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15" spans="1:14" ht="24" customHeight="1" x14ac:dyDescent="0.25">
      <c r="A15" s="355">
        <f t="shared" si="0"/>
        <v>6</v>
      </c>
      <c r="B15" s="367">
        <v>6</v>
      </c>
      <c r="C15" s="368" t="s">
        <v>590</v>
      </c>
      <c r="D15" s="369" t="s">
        <v>360</v>
      </c>
      <c r="E15" s="368" t="s">
        <v>591</v>
      </c>
      <c r="F15" s="369" t="s">
        <v>361</v>
      </c>
      <c r="G15" s="369"/>
      <c r="H15" s="370" t="s">
        <v>362</v>
      </c>
      <c r="I15" s="369" t="s">
        <v>363</v>
      </c>
      <c r="J15" s="369" t="s">
        <v>364</v>
      </c>
      <c r="K15" s="369"/>
      <c r="L15" s="370" t="s">
        <v>365</v>
      </c>
      <c r="M15" s="369" t="s">
        <v>363</v>
      </c>
      <c r="N15" s="124" t="str">
        <f>IF(заявки[[#This Row],[Город]]=заявки[[#This Row],[Город ]],заявки[[#This Row],[Город]],заявки[[#This Row],[Город]]&amp;" / "&amp;заявки[[#This Row],[Город ]])</f>
        <v>Минск</v>
      </c>
    </row>
    <row r="16" spans="1:14" ht="24" customHeight="1" x14ac:dyDescent="0.25">
      <c r="A16" s="355">
        <f t="shared" si="0"/>
        <v>7</v>
      </c>
      <c r="B16" s="367">
        <v>7</v>
      </c>
      <c r="C16" s="368" t="s">
        <v>627</v>
      </c>
      <c r="D16" s="369" t="s">
        <v>628</v>
      </c>
      <c r="E16" s="368" t="s">
        <v>183</v>
      </c>
      <c r="F16" s="369" t="s">
        <v>23</v>
      </c>
      <c r="G16" s="369"/>
      <c r="H16" s="370" t="s">
        <v>732</v>
      </c>
      <c r="I16" s="369" t="s">
        <v>6</v>
      </c>
      <c r="J16" s="369" t="s">
        <v>24</v>
      </c>
      <c r="K16" s="369"/>
      <c r="L16" s="370" t="s">
        <v>733</v>
      </c>
      <c r="M16" s="369" t="s">
        <v>6</v>
      </c>
      <c r="N16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17" spans="1:14" ht="24" customHeight="1" x14ac:dyDescent="0.25">
      <c r="A17" s="355">
        <f t="shared" si="0"/>
        <v>8</v>
      </c>
      <c r="B17" s="367">
        <v>8</v>
      </c>
      <c r="C17" s="368" t="s">
        <v>590</v>
      </c>
      <c r="D17" s="369" t="s">
        <v>815</v>
      </c>
      <c r="E17" s="368" t="s">
        <v>816</v>
      </c>
      <c r="F17" s="369" t="s">
        <v>817</v>
      </c>
      <c r="G17" s="369"/>
      <c r="H17" s="370">
        <v>89107123852</v>
      </c>
      <c r="I17" s="369" t="s">
        <v>6</v>
      </c>
      <c r="J17" s="369" t="s">
        <v>818</v>
      </c>
      <c r="K17" s="369"/>
      <c r="L17" s="370" t="s">
        <v>819</v>
      </c>
      <c r="M17" s="369" t="s">
        <v>6</v>
      </c>
      <c r="N17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18" spans="1:14" ht="24" customHeight="1" x14ac:dyDescent="0.25">
      <c r="A18" s="355">
        <f t="shared" si="0"/>
        <v>9</v>
      </c>
      <c r="B18" s="367">
        <v>9</v>
      </c>
      <c r="C18" s="368" t="s">
        <v>867</v>
      </c>
      <c r="D18" s="369" t="s">
        <v>704</v>
      </c>
      <c r="E18" s="368" t="s">
        <v>711</v>
      </c>
      <c r="F18" s="369" t="s">
        <v>716</v>
      </c>
      <c r="G18" s="369"/>
      <c r="H18" s="370">
        <v>9156573067</v>
      </c>
      <c r="I18" s="369" t="s">
        <v>6</v>
      </c>
      <c r="J18" s="369" t="s">
        <v>722</v>
      </c>
      <c r="K18" s="369"/>
      <c r="L18" s="370">
        <v>89156573067</v>
      </c>
      <c r="M18" s="369" t="s">
        <v>6</v>
      </c>
      <c r="N18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19" spans="1:14" ht="24" customHeight="1" x14ac:dyDescent="0.25">
      <c r="A19" s="355">
        <f t="shared" si="0"/>
        <v>10</v>
      </c>
      <c r="B19" s="367">
        <v>10</v>
      </c>
      <c r="C19" s="368" t="s">
        <v>868</v>
      </c>
      <c r="D19" s="369" t="s">
        <v>602</v>
      </c>
      <c r="E19" s="368" t="s">
        <v>603</v>
      </c>
      <c r="F19" s="369" t="s">
        <v>381</v>
      </c>
      <c r="G19" s="369"/>
      <c r="H19" s="370">
        <v>89621988845</v>
      </c>
      <c r="I19" s="369" t="s">
        <v>6</v>
      </c>
      <c r="J19" s="369" t="s">
        <v>740</v>
      </c>
      <c r="K19" s="369"/>
      <c r="L19" s="370">
        <v>89043663333</v>
      </c>
      <c r="M19" s="369" t="s">
        <v>6</v>
      </c>
      <c r="N19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0" spans="1:14" ht="24" customHeight="1" x14ac:dyDescent="0.25">
      <c r="A20" s="355">
        <f t="shared" si="0"/>
        <v>11</v>
      </c>
      <c r="B20" s="367">
        <v>11</v>
      </c>
      <c r="C20" s="368" t="s">
        <v>590</v>
      </c>
      <c r="D20" s="369" t="s">
        <v>359</v>
      </c>
      <c r="E20" s="368" t="s">
        <v>601</v>
      </c>
      <c r="F20" s="369" t="s">
        <v>180</v>
      </c>
      <c r="G20" s="369"/>
      <c r="H20" s="370" t="s">
        <v>181</v>
      </c>
      <c r="I20" s="369" t="s">
        <v>64</v>
      </c>
      <c r="J20" s="369" t="s">
        <v>182</v>
      </c>
      <c r="K20" s="369"/>
      <c r="L20" s="370">
        <v>89206686432</v>
      </c>
      <c r="M20" s="369" t="s">
        <v>6</v>
      </c>
      <c r="N20" s="124" t="str">
        <f>IF(заявки[[#This Row],[Город]]=заявки[[#This Row],[Город ]],заявки[[#This Row],[Город]],заявки[[#This Row],[Город]]&amp;" / "&amp;заявки[[#This Row],[Город ]])</f>
        <v>Ярцево / Смоленск</v>
      </c>
    </row>
    <row r="21" spans="1:14" ht="24" customHeight="1" x14ac:dyDescent="0.25">
      <c r="A21" s="355">
        <f t="shared" si="0"/>
        <v>12</v>
      </c>
      <c r="B21" s="367">
        <v>12</v>
      </c>
      <c r="C21" s="368" t="s">
        <v>380</v>
      </c>
      <c r="D21" s="369" t="s">
        <v>592</v>
      </c>
      <c r="E21" s="368" t="s">
        <v>593</v>
      </c>
      <c r="F21" s="369" t="s">
        <v>594</v>
      </c>
      <c r="G21" s="369"/>
      <c r="H21" s="370" t="s">
        <v>738</v>
      </c>
      <c r="I21" s="369" t="s">
        <v>179</v>
      </c>
      <c r="J21" s="369" t="s">
        <v>595</v>
      </c>
      <c r="K21" s="369"/>
      <c r="L21" s="370" t="s">
        <v>739</v>
      </c>
      <c r="M21" s="369" t="s">
        <v>179</v>
      </c>
      <c r="N21" s="12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22" spans="1:14" ht="24" customHeight="1" x14ac:dyDescent="0.25">
      <c r="A22" s="355">
        <f t="shared" si="0"/>
        <v>13</v>
      </c>
      <c r="B22" s="367">
        <v>13</v>
      </c>
      <c r="C22" s="368" t="s">
        <v>867</v>
      </c>
      <c r="D22" s="369" t="s">
        <v>734</v>
      </c>
      <c r="E22" s="368" t="s">
        <v>735</v>
      </c>
      <c r="F22" s="369" t="s">
        <v>736</v>
      </c>
      <c r="G22" s="369"/>
      <c r="H22" s="370">
        <v>89107185505</v>
      </c>
      <c r="I22" s="369" t="s">
        <v>6</v>
      </c>
      <c r="J22" s="369" t="s">
        <v>737</v>
      </c>
      <c r="K22" s="369"/>
      <c r="L22" s="370">
        <v>89107835711</v>
      </c>
      <c r="M22" s="369" t="s">
        <v>6</v>
      </c>
      <c r="N22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3" spans="1:14" ht="24" customHeight="1" x14ac:dyDescent="0.25">
      <c r="A23" s="355">
        <f t="shared" si="0"/>
        <v>14</v>
      </c>
      <c r="B23" s="367">
        <v>14</v>
      </c>
      <c r="C23" s="368" t="s">
        <v>867</v>
      </c>
      <c r="D23" s="369" t="s">
        <v>741</v>
      </c>
      <c r="E23" s="368" t="s">
        <v>607</v>
      </c>
      <c r="F23" s="369" t="s">
        <v>742</v>
      </c>
      <c r="G23" s="369"/>
      <c r="H23" s="370">
        <v>79107886967</v>
      </c>
      <c r="I23" s="369" t="s">
        <v>6</v>
      </c>
      <c r="J23" s="369" t="s">
        <v>366</v>
      </c>
      <c r="K23" s="369"/>
      <c r="L23" s="370"/>
      <c r="M23" s="369" t="s">
        <v>6</v>
      </c>
      <c r="N23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4" spans="1:14" ht="24" customHeight="1" x14ac:dyDescent="0.25">
      <c r="A24" s="355">
        <f t="shared" si="0"/>
        <v>15</v>
      </c>
      <c r="B24" s="367">
        <v>16</v>
      </c>
      <c r="C24" s="368" t="s">
        <v>868</v>
      </c>
      <c r="D24" s="369" t="s">
        <v>613</v>
      </c>
      <c r="E24" s="368" t="s">
        <v>382</v>
      </c>
      <c r="F24" s="369" t="s">
        <v>383</v>
      </c>
      <c r="G24" s="369"/>
      <c r="H24" s="370">
        <v>89036495577</v>
      </c>
      <c r="I24" s="369" t="s">
        <v>6</v>
      </c>
      <c r="J24" s="369" t="s">
        <v>384</v>
      </c>
      <c r="K24" s="369"/>
      <c r="L24" s="370">
        <v>89206617131</v>
      </c>
      <c r="M24" s="369" t="s">
        <v>6</v>
      </c>
      <c r="N24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5" spans="1:14" ht="24" customHeight="1" x14ac:dyDescent="0.25">
      <c r="A25" s="355">
        <f t="shared" si="0"/>
        <v>16</v>
      </c>
      <c r="B25" s="367">
        <v>17</v>
      </c>
      <c r="C25" s="368" t="s">
        <v>867</v>
      </c>
      <c r="D25" s="369" t="s">
        <v>616</v>
      </c>
      <c r="E25" s="368" t="s">
        <v>617</v>
      </c>
      <c r="F25" s="369" t="s">
        <v>14</v>
      </c>
      <c r="G25" s="369"/>
      <c r="H25" s="370" t="s">
        <v>184</v>
      </c>
      <c r="I25" s="369" t="s">
        <v>6</v>
      </c>
      <c r="J25" s="369" t="s">
        <v>869</v>
      </c>
      <c r="K25" s="369"/>
      <c r="L25" s="370"/>
      <c r="M25" s="369" t="s">
        <v>6</v>
      </c>
      <c r="N25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6" spans="1:14" ht="24" customHeight="1" x14ac:dyDescent="0.25">
      <c r="A26" s="355">
        <f t="shared" si="0"/>
        <v>17</v>
      </c>
      <c r="B26" s="367">
        <v>18</v>
      </c>
      <c r="C26" s="368" t="s">
        <v>590</v>
      </c>
      <c r="D26" s="369" t="s">
        <v>645</v>
      </c>
      <c r="E26" s="368" t="s">
        <v>646</v>
      </c>
      <c r="F26" s="369" t="s">
        <v>647</v>
      </c>
      <c r="G26" s="369"/>
      <c r="H26" s="370" t="s">
        <v>648</v>
      </c>
      <c r="I26" s="369" t="s">
        <v>632</v>
      </c>
      <c r="J26" s="369" t="s">
        <v>649</v>
      </c>
      <c r="K26" s="369"/>
      <c r="L26" s="370" t="s">
        <v>650</v>
      </c>
      <c r="M26" s="369" t="s">
        <v>743</v>
      </c>
      <c r="N26" s="124" t="str">
        <f>IF(заявки[[#This Row],[Город]]=заявки[[#This Row],[Город ]],заявки[[#This Row],[Город]],заявки[[#This Row],[Город]]&amp;" / "&amp;заявки[[#This Row],[Город ]])</f>
        <v>Вязьма / Королев</v>
      </c>
    </row>
    <row r="27" spans="1:14" ht="24" customHeight="1" x14ac:dyDescent="0.25">
      <c r="A27" s="355">
        <f t="shared" si="0"/>
        <v>18</v>
      </c>
      <c r="B27" s="367">
        <v>20</v>
      </c>
      <c r="C27" s="368" t="s">
        <v>868</v>
      </c>
      <c r="D27" s="369" t="s">
        <v>608</v>
      </c>
      <c r="E27" s="368" t="s">
        <v>614</v>
      </c>
      <c r="F27" s="369" t="s">
        <v>615</v>
      </c>
      <c r="G27" s="369"/>
      <c r="H27" s="370" t="s">
        <v>746</v>
      </c>
      <c r="I27" s="369" t="s">
        <v>6</v>
      </c>
      <c r="J27" s="369" t="s">
        <v>33</v>
      </c>
      <c r="K27" s="369"/>
      <c r="L27" s="370">
        <v>79517008231</v>
      </c>
      <c r="M27" s="369" t="s">
        <v>6</v>
      </c>
      <c r="N27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28" spans="1:14" ht="24" customHeight="1" x14ac:dyDescent="0.25">
      <c r="A28" s="355">
        <f t="shared" si="0"/>
        <v>19</v>
      </c>
      <c r="B28" s="367">
        <v>21</v>
      </c>
      <c r="C28" s="368" t="s">
        <v>590</v>
      </c>
      <c r="D28" s="369" t="s">
        <v>702</v>
      </c>
      <c r="E28" s="368" t="s">
        <v>709</v>
      </c>
      <c r="F28" s="369" t="s">
        <v>715</v>
      </c>
      <c r="G28" s="369"/>
      <c r="H28" s="370">
        <v>89525372222</v>
      </c>
      <c r="I28" s="369" t="s">
        <v>747</v>
      </c>
      <c r="J28" s="369" t="s">
        <v>721</v>
      </c>
      <c r="K28" s="369"/>
      <c r="L28" s="370">
        <v>89525372222</v>
      </c>
      <c r="M28" s="369" t="s">
        <v>747</v>
      </c>
      <c r="N28" s="124" t="str">
        <f>IF(заявки[[#This Row],[Город]]=заявки[[#This Row],[Город ]],заявки[[#This Row],[Город]],заявки[[#This Row],[Город]]&amp;" / "&amp;заявки[[#This Row],[Город ]])</f>
        <v xml:space="preserve">Смоленск </v>
      </c>
    </row>
    <row r="29" spans="1:14" ht="24" customHeight="1" x14ac:dyDescent="0.25">
      <c r="A29" s="355">
        <f t="shared" si="0"/>
        <v>20</v>
      </c>
      <c r="B29" s="367">
        <v>22</v>
      </c>
      <c r="C29" s="368" t="s">
        <v>627</v>
      </c>
      <c r="D29" s="369" t="s">
        <v>797</v>
      </c>
      <c r="E29" s="368" t="s">
        <v>798</v>
      </c>
      <c r="F29" s="369" t="s">
        <v>799</v>
      </c>
      <c r="G29" s="369"/>
      <c r="H29" s="370">
        <v>89203359769</v>
      </c>
      <c r="I29" s="369" t="s">
        <v>747</v>
      </c>
      <c r="J29" s="369" t="s">
        <v>800</v>
      </c>
      <c r="K29" s="369"/>
      <c r="L29" s="370">
        <v>89164563558</v>
      </c>
      <c r="M29" s="369" t="s">
        <v>747</v>
      </c>
      <c r="N29" s="124" t="str">
        <f>IF(заявки[[#This Row],[Город]]=заявки[[#This Row],[Город ]],заявки[[#This Row],[Город]],заявки[[#This Row],[Город]]&amp;" / "&amp;заявки[[#This Row],[Город ]])</f>
        <v xml:space="preserve">Смоленск </v>
      </c>
    </row>
    <row r="30" spans="1:14" s="1" customFormat="1" ht="24" customHeight="1" x14ac:dyDescent="0.25">
      <c r="A30" s="355">
        <f t="shared" si="0"/>
        <v>21</v>
      </c>
      <c r="B30" s="367">
        <v>23</v>
      </c>
      <c r="C30" s="368" t="s">
        <v>590</v>
      </c>
      <c r="D30" s="369" t="s">
        <v>760</v>
      </c>
      <c r="E30" s="368" t="s">
        <v>761</v>
      </c>
      <c r="F30" s="369" t="s">
        <v>762</v>
      </c>
      <c r="G30" s="369"/>
      <c r="H30" s="370">
        <v>89290226849</v>
      </c>
      <c r="I30" s="369" t="s">
        <v>763</v>
      </c>
      <c r="J30" s="369" t="s">
        <v>764</v>
      </c>
      <c r="K30" s="369"/>
      <c r="L30" s="370">
        <v>89103325895</v>
      </c>
      <c r="M30" s="369" t="s">
        <v>763</v>
      </c>
      <c r="N30" s="124" t="str">
        <f>IF(заявки[[#This Row],[Город]]=заявки[[#This Row],[Город ]],заявки[[#This Row],[Город]],заявки[[#This Row],[Город]]&amp;" / "&amp;заявки[[#This Row],[Город ]])</f>
        <v>Брянск</v>
      </c>
    </row>
    <row r="31" spans="1:14" s="1" customFormat="1" ht="24" customHeight="1" x14ac:dyDescent="0.25">
      <c r="A31" s="355">
        <f t="shared" si="0"/>
        <v>22</v>
      </c>
      <c r="B31" s="367">
        <v>24</v>
      </c>
      <c r="C31" s="368" t="s">
        <v>867</v>
      </c>
      <c r="D31" s="369" t="s">
        <v>666</v>
      </c>
      <c r="E31" s="368" t="s">
        <v>667</v>
      </c>
      <c r="F31" s="369" t="s">
        <v>668</v>
      </c>
      <c r="G31" s="369"/>
      <c r="H31" s="370" t="s">
        <v>669</v>
      </c>
      <c r="I31" s="369" t="s">
        <v>6</v>
      </c>
      <c r="J31" s="369" t="s">
        <v>670</v>
      </c>
      <c r="K31" s="369"/>
      <c r="L31" s="370" t="s">
        <v>671</v>
      </c>
      <c r="M31" s="369" t="s">
        <v>6</v>
      </c>
      <c r="N31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2" spans="1:14" s="1" customFormat="1" ht="24" customHeight="1" x14ac:dyDescent="0.25">
      <c r="A32" s="355">
        <f t="shared" si="0"/>
        <v>23</v>
      </c>
      <c r="B32" s="367">
        <v>25</v>
      </c>
      <c r="C32" s="368" t="s">
        <v>867</v>
      </c>
      <c r="D32" s="369" t="s">
        <v>596</v>
      </c>
      <c r="E32" s="368" t="s">
        <v>597</v>
      </c>
      <c r="F32" s="369" t="s">
        <v>598</v>
      </c>
      <c r="G32" s="369"/>
      <c r="H32" s="370">
        <v>89092579385</v>
      </c>
      <c r="I32" s="369" t="s">
        <v>599</v>
      </c>
      <c r="J32" s="369" t="s">
        <v>600</v>
      </c>
      <c r="K32" s="369"/>
      <c r="L32" s="370">
        <v>89605865924</v>
      </c>
      <c r="M32" s="369" t="s">
        <v>599</v>
      </c>
      <c r="N32" s="124" t="str">
        <f>IF(заявки[[#This Row],[Город]]=заявки[[#This Row],[Город ]],заявки[[#This Row],[Город]],заявки[[#This Row],[Город]]&amp;" / "&amp;заявки[[#This Row],[Город ]])</f>
        <v>Сафоново</v>
      </c>
    </row>
    <row r="33" spans="1:14" s="1" customFormat="1" ht="24" customHeight="1" x14ac:dyDescent="0.25">
      <c r="A33" s="355">
        <f t="shared" si="0"/>
        <v>24</v>
      </c>
      <c r="B33" s="367">
        <v>26</v>
      </c>
      <c r="C33" s="368" t="s">
        <v>867</v>
      </c>
      <c r="D33" s="369" t="s">
        <v>861</v>
      </c>
      <c r="E33" s="368" t="s">
        <v>862</v>
      </c>
      <c r="F33" s="369" t="s">
        <v>748</v>
      </c>
      <c r="G33" s="369"/>
      <c r="H33" s="370">
        <v>89963468498</v>
      </c>
      <c r="I33" s="369" t="s">
        <v>747</v>
      </c>
      <c r="J33" s="369" t="s">
        <v>749</v>
      </c>
      <c r="K33" s="369"/>
      <c r="L33" s="370">
        <v>9525339977</v>
      </c>
      <c r="M33" s="369" t="s">
        <v>747</v>
      </c>
      <c r="N33" s="124" t="str">
        <f>IF(заявки[[#This Row],[Город]]=заявки[[#This Row],[Город ]],заявки[[#This Row],[Город]],заявки[[#This Row],[Город]]&amp;" / "&amp;заявки[[#This Row],[Город ]])</f>
        <v xml:space="preserve">Смоленск </v>
      </c>
    </row>
    <row r="34" spans="1:14" s="1" customFormat="1" ht="24" customHeight="1" x14ac:dyDescent="0.25">
      <c r="A34" s="355">
        <f t="shared" si="0"/>
        <v>25</v>
      </c>
      <c r="B34" s="367">
        <v>29</v>
      </c>
      <c r="C34" s="368" t="s">
        <v>627</v>
      </c>
      <c r="D34" s="369" t="s">
        <v>863</v>
      </c>
      <c r="E34" s="368" t="s">
        <v>866</v>
      </c>
      <c r="F34" s="369" t="s">
        <v>864</v>
      </c>
      <c r="G34" s="369"/>
      <c r="H34" s="370">
        <v>89107886982</v>
      </c>
      <c r="I34" s="369" t="s">
        <v>6</v>
      </c>
      <c r="J34" s="369" t="s">
        <v>865</v>
      </c>
      <c r="K34" s="369"/>
      <c r="L34" s="370">
        <v>89099060900</v>
      </c>
      <c r="M34" s="369" t="s">
        <v>179</v>
      </c>
      <c r="N34" s="124" t="str">
        <f>IF(заявки[[#This Row],[Город]]=заявки[[#This Row],[Город ]],заявки[[#This Row],[Город]],заявки[[#This Row],[Город]]&amp;" / "&amp;заявки[[#This Row],[Город ]])</f>
        <v>Смоленск / Москва</v>
      </c>
    </row>
    <row r="35" spans="1:14" s="1" customFormat="1" ht="24" customHeight="1" x14ac:dyDescent="0.25">
      <c r="A35" s="355">
        <f t="shared" si="0"/>
        <v>26</v>
      </c>
      <c r="B35" s="367">
        <v>30</v>
      </c>
      <c r="C35" s="368" t="s">
        <v>590</v>
      </c>
      <c r="D35" s="369" t="s">
        <v>622</v>
      </c>
      <c r="E35" s="368" t="s">
        <v>623</v>
      </c>
      <c r="F35" s="369" t="s">
        <v>624</v>
      </c>
      <c r="G35" s="369"/>
      <c r="H35" s="370">
        <v>89529934119</v>
      </c>
      <c r="I35" s="369" t="s">
        <v>625</v>
      </c>
      <c r="J35" s="369" t="s">
        <v>626</v>
      </c>
      <c r="K35" s="369"/>
      <c r="L35" s="370">
        <v>89621937393</v>
      </c>
      <c r="M35" s="369" t="s">
        <v>625</v>
      </c>
      <c r="N35" s="124" t="str">
        <f>IF(заявки[[#This Row],[Город]]=заявки[[#This Row],[Город ]],заявки[[#This Row],[Город]],заявки[[#This Row],[Город]]&amp;" / "&amp;заявки[[#This Row],[Город ]])</f>
        <v>Рославль</v>
      </c>
    </row>
    <row r="36" spans="1:14" s="1" customFormat="1" ht="24" customHeight="1" x14ac:dyDescent="0.25">
      <c r="A36" s="355">
        <f t="shared" si="0"/>
        <v>27</v>
      </c>
      <c r="B36" s="367">
        <v>31</v>
      </c>
      <c r="C36" s="368" t="s">
        <v>590</v>
      </c>
      <c r="D36" s="369" t="s">
        <v>629</v>
      </c>
      <c r="E36" s="368" t="s">
        <v>630</v>
      </c>
      <c r="F36" s="369" t="s">
        <v>631</v>
      </c>
      <c r="G36" s="369"/>
      <c r="H36" s="370" t="s">
        <v>753</v>
      </c>
      <c r="I36" s="369" t="s">
        <v>632</v>
      </c>
      <c r="J36" s="369" t="s">
        <v>633</v>
      </c>
      <c r="K36" s="369"/>
      <c r="L36" s="370" t="s">
        <v>754</v>
      </c>
      <c r="M36" s="369" t="s">
        <v>632</v>
      </c>
      <c r="N36" s="124" t="str">
        <f>IF(заявки[[#This Row],[Город]]=заявки[[#This Row],[Город ]],заявки[[#This Row],[Город]],заявки[[#This Row],[Город]]&amp;" / "&amp;заявки[[#This Row],[Город ]])</f>
        <v>Вязьма</v>
      </c>
    </row>
    <row r="37" spans="1:14" s="1" customFormat="1" ht="24" customHeight="1" x14ac:dyDescent="0.25">
      <c r="A37" s="355">
        <f t="shared" si="0"/>
        <v>28</v>
      </c>
      <c r="B37" s="367">
        <v>32</v>
      </c>
      <c r="C37" s="368" t="s">
        <v>867</v>
      </c>
      <c r="D37" s="369" t="s">
        <v>662</v>
      </c>
      <c r="E37" s="368" t="s">
        <v>663</v>
      </c>
      <c r="F37" s="369" t="s">
        <v>664</v>
      </c>
      <c r="G37" s="369"/>
      <c r="H37" s="370">
        <v>89996022373</v>
      </c>
      <c r="I37" s="369" t="s">
        <v>6</v>
      </c>
      <c r="J37" s="369" t="s">
        <v>665</v>
      </c>
      <c r="K37" s="369"/>
      <c r="L37" s="370">
        <v>89996018134</v>
      </c>
      <c r="M37" s="369" t="s">
        <v>6</v>
      </c>
      <c r="N37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38" spans="1:14" s="1" customFormat="1" ht="24" customHeight="1" x14ac:dyDescent="0.25">
      <c r="A38" s="355">
        <f t="shared" si="0"/>
        <v>29</v>
      </c>
      <c r="B38" s="367">
        <v>33</v>
      </c>
      <c r="C38" s="368" t="s">
        <v>627</v>
      </c>
      <c r="D38" s="369" t="s">
        <v>596</v>
      </c>
      <c r="E38" s="368" t="s">
        <v>634</v>
      </c>
      <c r="F38" s="369" t="s">
        <v>635</v>
      </c>
      <c r="G38" s="369"/>
      <c r="H38" s="370">
        <v>89036688944</v>
      </c>
      <c r="I38" s="369" t="s">
        <v>636</v>
      </c>
      <c r="J38" s="369" t="s">
        <v>637</v>
      </c>
      <c r="K38" s="369"/>
      <c r="L38" s="370">
        <v>89032556585</v>
      </c>
      <c r="M38" s="369" t="s">
        <v>179</v>
      </c>
      <c r="N38" s="124" t="str">
        <f>IF(заявки[[#This Row],[Город]]=заявки[[#This Row],[Город ]],заявки[[#This Row],[Город]],заявки[[#This Row],[Город]]&amp;" / "&amp;заявки[[#This Row],[Город ]])</f>
        <v>МОСКВА</v>
      </c>
    </row>
    <row r="39" spans="1:14" s="1" customFormat="1" ht="24" customHeight="1" x14ac:dyDescent="0.25">
      <c r="A39" s="355">
        <f t="shared" si="0"/>
        <v>30</v>
      </c>
      <c r="B39" s="367">
        <v>34</v>
      </c>
      <c r="C39" s="368" t="s">
        <v>867</v>
      </c>
      <c r="D39" s="369" t="s">
        <v>700</v>
      </c>
      <c r="E39" s="368" t="s">
        <v>707</v>
      </c>
      <c r="F39" s="369" t="s">
        <v>713</v>
      </c>
      <c r="G39" s="369"/>
      <c r="H39" s="370">
        <v>89043619987</v>
      </c>
      <c r="I39" s="369" t="s">
        <v>6</v>
      </c>
      <c r="J39" s="369" t="s">
        <v>719</v>
      </c>
      <c r="K39" s="369"/>
      <c r="L39" s="370">
        <v>89529909529</v>
      </c>
      <c r="M39" s="369" t="s">
        <v>6</v>
      </c>
      <c r="N39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0" spans="1:14" s="1" customFormat="1" ht="24" customHeight="1" x14ac:dyDescent="0.25">
      <c r="A40" s="355">
        <f t="shared" si="0"/>
        <v>31</v>
      </c>
      <c r="B40" s="367">
        <v>35</v>
      </c>
      <c r="C40" s="368" t="s">
        <v>867</v>
      </c>
      <c r="D40" s="369" t="s">
        <v>820</v>
      </c>
      <c r="E40" s="368" t="s">
        <v>821</v>
      </c>
      <c r="F40" s="369" t="s">
        <v>822</v>
      </c>
      <c r="G40" s="369"/>
      <c r="H40" s="370">
        <v>89517011329</v>
      </c>
      <c r="I40" s="369" t="s">
        <v>6</v>
      </c>
      <c r="J40" s="369" t="s">
        <v>823</v>
      </c>
      <c r="K40" s="369"/>
      <c r="L40" s="370">
        <v>89206638051</v>
      </c>
      <c r="M40" s="369" t="s">
        <v>6</v>
      </c>
      <c r="N40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1" spans="1:14" s="1" customFormat="1" ht="24" customHeight="1" x14ac:dyDescent="0.25">
      <c r="A41" s="355">
        <f t="shared" si="0"/>
        <v>32</v>
      </c>
      <c r="B41" s="367">
        <v>37</v>
      </c>
      <c r="C41" s="368" t="s">
        <v>590</v>
      </c>
      <c r="D41" s="369" t="s">
        <v>703</v>
      </c>
      <c r="E41" s="368" t="s">
        <v>710</v>
      </c>
      <c r="F41" s="369" t="s">
        <v>755</v>
      </c>
      <c r="G41" s="369"/>
      <c r="H41" s="370">
        <v>89038930333</v>
      </c>
      <c r="I41" s="369" t="s">
        <v>6</v>
      </c>
      <c r="J41" s="369" t="s">
        <v>756</v>
      </c>
      <c r="K41" s="369"/>
      <c r="L41" s="370" t="s">
        <v>725</v>
      </c>
      <c r="M41" s="369" t="s">
        <v>6</v>
      </c>
      <c r="N41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2" spans="1:14" s="1" customFormat="1" ht="24" customHeight="1" x14ac:dyDescent="0.25">
      <c r="A42" s="355">
        <f t="shared" si="0"/>
        <v>33</v>
      </c>
      <c r="B42" s="367">
        <v>38</v>
      </c>
      <c r="C42" s="368" t="s">
        <v>867</v>
      </c>
      <c r="D42" s="369" t="s">
        <v>705</v>
      </c>
      <c r="E42" s="368" t="s">
        <v>712</v>
      </c>
      <c r="F42" s="369" t="s">
        <v>717</v>
      </c>
      <c r="G42" s="369"/>
      <c r="H42" s="370">
        <v>89082812929</v>
      </c>
      <c r="I42" s="369" t="s">
        <v>6</v>
      </c>
      <c r="J42" s="369" t="s">
        <v>723</v>
      </c>
      <c r="K42" s="369"/>
      <c r="L42" s="370">
        <v>89107690162</v>
      </c>
      <c r="M42" s="369" t="s">
        <v>6</v>
      </c>
      <c r="N42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3" spans="1:14" s="1" customFormat="1" ht="24" customHeight="1" x14ac:dyDescent="0.25">
      <c r="A43" s="355">
        <f t="shared" si="0"/>
        <v>34</v>
      </c>
      <c r="B43" s="367">
        <v>39</v>
      </c>
      <c r="C43" s="368" t="s">
        <v>867</v>
      </c>
      <c r="D43" s="369" t="s">
        <v>706</v>
      </c>
      <c r="E43" s="368" t="s">
        <v>757</v>
      </c>
      <c r="F43" s="369" t="s">
        <v>758</v>
      </c>
      <c r="G43" s="369"/>
      <c r="H43" s="370">
        <v>89206678188</v>
      </c>
      <c r="I43" s="369" t="s">
        <v>747</v>
      </c>
      <c r="J43" s="369" t="s">
        <v>759</v>
      </c>
      <c r="K43" s="369"/>
      <c r="L43" s="370">
        <v>89997652515</v>
      </c>
      <c r="M43" s="369" t="s">
        <v>747</v>
      </c>
      <c r="N43" s="124" t="str">
        <f>IF(заявки[[#This Row],[Город]]=заявки[[#This Row],[Город ]],заявки[[#This Row],[Город]],заявки[[#This Row],[Город]]&amp;" / "&amp;заявки[[#This Row],[Город ]])</f>
        <v xml:space="preserve">Смоленск </v>
      </c>
    </row>
    <row r="44" spans="1:14" s="1" customFormat="1" ht="24" customHeight="1" x14ac:dyDescent="0.25">
      <c r="A44" s="355">
        <f t="shared" si="0"/>
        <v>35</v>
      </c>
      <c r="B44" s="371">
        <v>40</v>
      </c>
      <c r="C44" s="368" t="s">
        <v>867</v>
      </c>
      <c r="D44" s="369" t="s">
        <v>854</v>
      </c>
      <c r="E44" s="368" t="s">
        <v>855</v>
      </c>
      <c r="F44" s="369" t="s">
        <v>856</v>
      </c>
      <c r="G44" s="369"/>
      <c r="H44" s="370">
        <v>79051635365</v>
      </c>
      <c r="I44" s="369" t="s">
        <v>6</v>
      </c>
      <c r="J44" s="369" t="s">
        <v>857</v>
      </c>
      <c r="K44" s="369"/>
      <c r="L44" s="370">
        <v>79002200730</v>
      </c>
      <c r="M44" s="369" t="s">
        <v>6</v>
      </c>
      <c r="N44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5" spans="1:14" s="1" customFormat="1" ht="24" customHeight="1" x14ac:dyDescent="0.25">
      <c r="A45" s="355">
        <f t="shared" si="0"/>
        <v>36</v>
      </c>
      <c r="B45" s="371">
        <v>41</v>
      </c>
      <c r="C45" s="368" t="s">
        <v>590</v>
      </c>
      <c r="D45" s="369" t="s">
        <v>801</v>
      </c>
      <c r="E45" s="368" t="s">
        <v>802</v>
      </c>
      <c r="F45" s="369" t="s">
        <v>803</v>
      </c>
      <c r="G45" s="369"/>
      <c r="H45" s="370">
        <v>79156307346</v>
      </c>
      <c r="I45" s="369" t="s">
        <v>6</v>
      </c>
      <c r="J45" s="369" t="s">
        <v>804</v>
      </c>
      <c r="K45" s="369"/>
      <c r="L45" s="370">
        <v>79107141321</v>
      </c>
      <c r="M45" s="369" t="s">
        <v>6</v>
      </c>
      <c r="N45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6" spans="1:14" s="1" customFormat="1" ht="24" customHeight="1" x14ac:dyDescent="0.25">
      <c r="A46" s="355">
        <f t="shared" si="0"/>
        <v>37</v>
      </c>
      <c r="B46" s="367">
        <v>42</v>
      </c>
      <c r="C46" s="368" t="s">
        <v>867</v>
      </c>
      <c r="D46" s="369" t="s">
        <v>824</v>
      </c>
      <c r="E46" s="368" t="s">
        <v>826</v>
      </c>
      <c r="F46" s="369" t="s">
        <v>827</v>
      </c>
      <c r="G46" s="369"/>
      <c r="H46" s="370">
        <v>89966297995</v>
      </c>
      <c r="I46" s="369" t="s">
        <v>6</v>
      </c>
      <c r="J46" s="369" t="s">
        <v>830</v>
      </c>
      <c r="K46" s="369"/>
      <c r="L46" s="370">
        <v>89043628256</v>
      </c>
      <c r="M46" s="369" t="s">
        <v>6</v>
      </c>
      <c r="N46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7" spans="1:14" s="1" customFormat="1" ht="24" customHeight="1" x14ac:dyDescent="0.25">
      <c r="A47" s="355">
        <f t="shared" si="0"/>
        <v>38</v>
      </c>
      <c r="B47" s="367">
        <v>43</v>
      </c>
      <c r="C47" s="368" t="s">
        <v>867</v>
      </c>
      <c r="D47" s="369" t="s">
        <v>825</v>
      </c>
      <c r="E47" s="368" t="s">
        <v>828</v>
      </c>
      <c r="F47" s="369" t="s">
        <v>829</v>
      </c>
      <c r="G47" s="369"/>
      <c r="H47" s="370">
        <v>79517067010</v>
      </c>
      <c r="I47" s="369" t="s">
        <v>6</v>
      </c>
      <c r="J47" s="369" t="s">
        <v>831</v>
      </c>
      <c r="K47" s="369"/>
      <c r="L47" s="370">
        <v>79516903136</v>
      </c>
      <c r="M47" s="369" t="s">
        <v>6</v>
      </c>
      <c r="N47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8" spans="1:14" s="1" customFormat="1" ht="24" customHeight="1" x14ac:dyDescent="0.25">
      <c r="A48" s="355">
        <f t="shared" si="0"/>
        <v>39</v>
      </c>
      <c r="B48" s="367">
        <v>44</v>
      </c>
      <c r="C48" s="368" t="s">
        <v>867</v>
      </c>
      <c r="D48" s="369" t="s">
        <v>832</v>
      </c>
      <c r="E48" s="368" t="s">
        <v>833</v>
      </c>
      <c r="F48" s="369" t="s">
        <v>834</v>
      </c>
      <c r="G48" s="369"/>
      <c r="H48" s="370" t="s">
        <v>835</v>
      </c>
      <c r="I48" s="369" t="s">
        <v>6</v>
      </c>
      <c r="J48" s="369" t="s">
        <v>836</v>
      </c>
      <c r="K48" s="369"/>
      <c r="L48" s="370" t="s">
        <v>837</v>
      </c>
      <c r="M48" s="369" t="s">
        <v>6</v>
      </c>
      <c r="N48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49" spans="1:14" s="1" customFormat="1" ht="24" customHeight="1" x14ac:dyDescent="0.25">
      <c r="A49" s="355">
        <f t="shared" si="0"/>
        <v>40</v>
      </c>
      <c r="B49" s="367">
        <v>45</v>
      </c>
      <c r="C49" s="368" t="s">
        <v>590</v>
      </c>
      <c r="D49" s="369" t="s">
        <v>838</v>
      </c>
      <c r="E49" s="368" t="s">
        <v>839</v>
      </c>
      <c r="F49" s="369" t="s">
        <v>843</v>
      </c>
      <c r="G49" s="369"/>
      <c r="H49" s="370">
        <v>89107208667</v>
      </c>
      <c r="I49" s="369" t="s">
        <v>844</v>
      </c>
      <c r="J49" s="369" t="s">
        <v>846</v>
      </c>
      <c r="K49" s="369"/>
      <c r="L49" s="370">
        <v>89066690535</v>
      </c>
      <c r="M49" s="369" t="s">
        <v>844</v>
      </c>
      <c r="N49" s="124" t="str">
        <f>IF(заявки[[#This Row],[Город]]=заявки[[#This Row],[Город ]],заявки[[#This Row],[Город]],заявки[[#This Row],[Город]]&amp;" / "&amp;заявки[[#This Row],[Город ]])</f>
        <v>Дорогобуж</v>
      </c>
    </row>
    <row r="50" spans="1:14" s="1" customFormat="1" ht="24" customHeight="1" x14ac:dyDescent="0.25">
      <c r="A50" s="355">
        <f t="shared" si="0"/>
        <v>41</v>
      </c>
      <c r="B50" s="367">
        <v>47</v>
      </c>
      <c r="C50" s="368" t="s">
        <v>627</v>
      </c>
      <c r="D50" s="369" t="s">
        <v>840</v>
      </c>
      <c r="E50" s="368" t="s">
        <v>841</v>
      </c>
      <c r="F50" s="369" t="s">
        <v>842</v>
      </c>
      <c r="G50" s="369"/>
      <c r="H50" s="370">
        <v>79037829775</v>
      </c>
      <c r="I50" s="369" t="s">
        <v>179</v>
      </c>
      <c r="J50" s="369" t="s">
        <v>845</v>
      </c>
      <c r="K50" s="369"/>
      <c r="L50" s="370">
        <v>79057316536</v>
      </c>
      <c r="M50" s="369" t="s">
        <v>847</v>
      </c>
      <c r="N50" s="124" t="str">
        <f>IF(заявки[[#This Row],[Город]]=заявки[[#This Row],[Город ]],заявки[[#This Row],[Город]],заявки[[#This Row],[Город]]&amp;" / "&amp;заявки[[#This Row],[Город ]])</f>
        <v>Москва / Люберцы</v>
      </c>
    </row>
    <row r="51" spans="1:14" s="1" customFormat="1" ht="24" customHeight="1" x14ac:dyDescent="0.25">
      <c r="A51" s="355">
        <f t="shared" si="0"/>
        <v>42</v>
      </c>
      <c r="B51" s="367">
        <v>36</v>
      </c>
      <c r="C51" s="368" t="s">
        <v>867</v>
      </c>
      <c r="D51" s="369" t="s">
        <v>701</v>
      </c>
      <c r="E51" s="368" t="s">
        <v>708</v>
      </c>
      <c r="F51" s="369" t="s">
        <v>714</v>
      </c>
      <c r="G51" s="369"/>
      <c r="H51" s="370" t="s">
        <v>718</v>
      </c>
      <c r="I51" s="369" t="s">
        <v>6</v>
      </c>
      <c r="J51" s="369" t="s">
        <v>720</v>
      </c>
      <c r="K51" s="369"/>
      <c r="L51" s="370" t="s">
        <v>724</v>
      </c>
      <c r="M51" s="369" t="s">
        <v>6</v>
      </c>
      <c r="N51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52" spans="1:14" s="1" customFormat="1" ht="24" customHeight="1" x14ac:dyDescent="0.25">
      <c r="A52" s="355">
        <f t="shared" si="0"/>
        <v>43</v>
      </c>
      <c r="B52" s="367"/>
      <c r="C52" s="368"/>
      <c r="D52" s="369"/>
      <c r="E52" s="368"/>
      <c r="F52" s="369"/>
      <c r="G52" s="369"/>
      <c r="H52" s="370"/>
      <c r="I52" s="369"/>
      <c r="J52" s="369"/>
      <c r="K52" s="369"/>
      <c r="L52" s="370"/>
      <c r="M52" s="369"/>
      <c r="N52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3" spans="1:14" s="1" customFormat="1" ht="24" customHeight="1" x14ac:dyDescent="0.25">
      <c r="A53" s="355">
        <f t="shared" si="0"/>
        <v>44</v>
      </c>
      <c r="B53" s="367"/>
      <c r="C53" s="368"/>
      <c r="D53" s="369"/>
      <c r="E53" s="368"/>
      <c r="F53" s="369"/>
      <c r="G53" s="369"/>
      <c r="H53" s="370"/>
      <c r="I53" s="369"/>
      <c r="J53" s="369"/>
      <c r="K53" s="369"/>
      <c r="L53" s="370"/>
      <c r="M53" s="369"/>
      <c r="N53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4" spans="1:14" s="1" customFormat="1" ht="24" customHeight="1" x14ac:dyDescent="0.25">
      <c r="A54" s="355">
        <f t="shared" si="0"/>
        <v>45</v>
      </c>
      <c r="B54" s="367"/>
      <c r="C54" s="368"/>
      <c r="D54" s="369"/>
      <c r="E54" s="368"/>
      <c r="F54" s="369"/>
      <c r="G54" s="369"/>
      <c r="H54" s="370"/>
      <c r="I54" s="369"/>
      <c r="J54" s="369"/>
      <c r="K54" s="369"/>
      <c r="L54" s="370"/>
      <c r="M54" s="369"/>
      <c r="N54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5" spans="1:14" s="1" customFormat="1" ht="24" customHeight="1" x14ac:dyDescent="0.25">
      <c r="A55" s="355">
        <f t="shared" si="0"/>
        <v>46</v>
      </c>
      <c r="B55" s="367"/>
      <c r="C55" s="368"/>
      <c r="D55" s="369"/>
      <c r="E55" s="368"/>
      <c r="F55" s="369"/>
      <c r="G55" s="369"/>
      <c r="H55" s="370"/>
      <c r="I55" s="369"/>
      <c r="J55" s="369"/>
      <c r="K55" s="369"/>
      <c r="L55" s="370"/>
      <c r="M55" s="369"/>
      <c r="N55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6" spans="1:14" s="1" customFormat="1" ht="24" customHeight="1" x14ac:dyDescent="0.25">
      <c r="A56" s="355">
        <f t="shared" ref="A56:A69" si="1">1+A55</f>
        <v>47</v>
      </c>
      <c r="B56" s="367"/>
      <c r="C56" s="368"/>
      <c r="D56" s="369"/>
      <c r="E56" s="368"/>
      <c r="F56" s="369"/>
      <c r="G56" s="369"/>
      <c r="H56" s="370"/>
      <c r="I56" s="369"/>
      <c r="J56" s="369"/>
      <c r="K56" s="369"/>
      <c r="L56" s="370"/>
      <c r="M56" s="369"/>
      <c r="N56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7" spans="1:14" s="1" customFormat="1" ht="24" customHeight="1" x14ac:dyDescent="0.25">
      <c r="A57" s="355">
        <f t="shared" si="1"/>
        <v>48</v>
      </c>
      <c r="B57" s="367"/>
      <c r="C57" s="368"/>
      <c r="D57" s="369"/>
      <c r="E57" s="368"/>
      <c r="F57" s="369"/>
      <c r="G57" s="369"/>
      <c r="H57" s="370"/>
      <c r="I57" s="369"/>
      <c r="J57" s="369"/>
      <c r="K57" s="369"/>
      <c r="L57" s="370"/>
      <c r="M57" s="369"/>
      <c r="N57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8" spans="1:14" s="1" customFormat="1" ht="24" customHeight="1" x14ac:dyDescent="0.25">
      <c r="A58" s="355">
        <f t="shared" si="1"/>
        <v>49</v>
      </c>
      <c r="B58" s="367"/>
      <c r="C58" s="368"/>
      <c r="D58" s="369"/>
      <c r="E58" s="368"/>
      <c r="F58" s="369"/>
      <c r="G58" s="369"/>
      <c r="H58" s="370"/>
      <c r="I58" s="369"/>
      <c r="J58" s="369"/>
      <c r="K58" s="369"/>
      <c r="L58" s="370"/>
      <c r="M58" s="369"/>
      <c r="N58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59" spans="1:14" ht="24" customHeight="1" x14ac:dyDescent="0.25">
      <c r="A59" s="355">
        <f t="shared" si="1"/>
        <v>50</v>
      </c>
      <c r="B59" s="367"/>
      <c r="C59" s="368"/>
      <c r="D59" s="369"/>
      <c r="E59" s="368"/>
      <c r="F59" s="369"/>
      <c r="G59" s="369"/>
      <c r="H59" s="370"/>
      <c r="I59" s="369"/>
      <c r="J59" s="369"/>
      <c r="K59" s="369"/>
      <c r="L59" s="370"/>
      <c r="M59" s="369"/>
      <c r="N59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0" spans="1:14" s="1" customFormat="1" ht="24" customHeight="1" x14ac:dyDescent="0.25">
      <c r="A60" s="355">
        <f t="shared" si="1"/>
        <v>51</v>
      </c>
      <c r="B60" s="367"/>
      <c r="C60" s="368"/>
      <c r="D60" s="369"/>
      <c r="E60" s="368"/>
      <c r="F60" s="369"/>
      <c r="G60" s="369"/>
      <c r="H60" s="370"/>
      <c r="I60" s="369"/>
      <c r="J60" s="369"/>
      <c r="K60" s="369"/>
      <c r="L60" s="370"/>
      <c r="M60" s="369"/>
      <c r="N60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1" spans="1:14" s="1" customFormat="1" ht="24" customHeight="1" x14ac:dyDescent="0.25">
      <c r="A61" s="355">
        <f t="shared" si="1"/>
        <v>52</v>
      </c>
      <c r="B61" s="367"/>
      <c r="C61" s="368"/>
      <c r="D61" s="369"/>
      <c r="E61" s="368"/>
      <c r="F61" s="369"/>
      <c r="G61" s="369"/>
      <c r="H61" s="370"/>
      <c r="I61" s="369"/>
      <c r="J61" s="369"/>
      <c r="K61" s="369"/>
      <c r="L61" s="370"/>
      <c r="M61" s="369"/>
      <c r="N61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2" spans="1:14" s="1" customFormat="1" ht="24" customHeight="1" x14ac:dyDescent="0.25">
      <c r="A62" s="355">
        <f t="shared" si="1"/>
        <v>53</v>
      </c>
      <c r="B62" s="367"/>
      <c r="C62" s="368" t="s">
        <v>867</v>
      </c>
      <c r="D62" s="369" t="s">
        <v>609</v>
      </c>
      <c r="E62" s="368" t="s">
        <v>610</v>
      </c>
      <c r="F62" s="369" t="s">
        <v>611</v>
      </c>
      <c r="G62" s="369"/>
      <c r="H62" s="370" t="s">
        <v>744</v>
      </c>
      <c r="I62" s="369" t="s">
        <v>6</v>
      </c>
      <c r="J62" s="369" t="s">
        <v>612</v>
      </c>
      <c r="K62" s="369"/>
      <c r="L62" s="370" t="s">
        <v>745</v>
      </c>
      <c r="M62" s="369" t="s">
        <v>6</v>
      </c>
      <c r="N62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63" spans="1:14" s="1" customFormat="1" ht="24" customHeight="1" x14ac:dyDescent="0.25">
      <c r="A63" s="355">
        <f t="shared" si="1"/>
        <v>54</v>
      </c>
      <c r="B63" s="367"/>
      <c r="C63" s="368" t="s">
        <v>867</v>
      </c>
      <c r="D63" s="369" t="s">
        <v>604</v>
      </c>
      <c r="E63" s="368" t="s">
        <v>605</v>
      </c>
      <c r="F63" s="369" t="s">
        <v>750</v>
      </c>
      <c r="G63" s="369"/>
      <c r="H63" s="370" t="s">
        <v>751</v>
      </c>
      <c r="I63" s="369" t="s">
        <v>6</v>
      </c>
      <c r="J63" s="369" t="s">
        <v>606</v>
      </c>
      <c r="K63" s="369"/>
      <c r="L63" s="370" t="s">
        <v>752</v>
      </c>
      <c r="M63" s="369" t="s">
        <v>6</v>
      </c>
      <c r="N63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64" spans="1:14" s="1" customFormat="1" ht="24" customHeight="1" x14ac:dyDescent="0.25">
      <c r="A64" s="355">
        <f t="shared" si="1"/>
        <v>55</v>
      </c>
      <c r="B64" s="367"/>
      <c r="C64" s="368" t="s">
        <v>867</v>
      </c>
      <c r="D64" s="369" t="s">
        <v>618</v>
      </c>
      <c r="E64" s="368" t="s">
        <v>619</v>
      </c>
      <c r="F64" s="369" t="s">
        <v>620</v>
      </c>
      <c r="G64" s="369"/>
      <c r="H64" s="370">
        <v>89507084122</v>
      </c>
      <c r="I64" s="369" t="s">
        <v>6</v>
      </c>
      <c r="J64" s="369" t="s">
        <v>621</v>
      </c>
      <c r="K64" s="369"/>
      <c r="L64" s="370">
        <v>89082804276</v>
      </c>
      <c r="M64" s="369" t="s">
        <v>6</v>
      </c>
      <c r="N64" s="124" t="str">
        <f>IF(заявки[[#This Row],[Город]]=заявки[[#This Row],[Город ]],заявки[[#This Row],[Город]],заявки[[#This Row],[Город]]&amp;" / "&amp;заявки[[#This Row],[Город ]])</f>
        <v>Смоленск</v>
      </c>
    </row>
    <row r="65" spans="1:14" s="1" customFormat="1" ht="24" customHeight="1" x14ac:dyDescent="0.25">
      <c r="A65" s="355">
        <f t="shared" si="1"/>
        <v>56</v>
      </c>
      <c r="B65" s="367"/>
      <c r="C65" s="368"/>
      <c r="D65" s="369"/>
      <c r="E65" s="368"/>
      <c r="F65" s="369"/>
      <c r="G65" s="369"/>
      <c r="H65" s="370"/>
      <c r="I65" s="369"/>
      <c r="J65" s="369"/>
      <c r="K65" s="369"/>
      <c r="L65" s="370"/>
      <c r="M65" s="369"/>
      <c r="N65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6" spans="1:14" s="1" customFormat="1" ht="24" customHeight="1" x14ac:dyDescent="0.25">
      <c r="A66" s="355">
        <f t="shared" si="1"/>
        <v>57</v>
      </c>
      <c r="B66" s="367"/>
      <c r="C66" s="368"/>
      <c r="D66" s="369"/>
      <c r="E66" s="368"/>
      <c r="F66" s="369"/>
      <c r="G66" s="369"/>
      <c r="H66" s="370"/>
      <c r="I66" s="369"/>
      <c r="J66" s="369"/>
      <c r="K66" s="369"/>
      <c r="L66" s="370"/>
      <c r="M66" s="369"/>
      <c r="N66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7" spans="1:14" s="1" customFormat="1" ht="24" customHeight="1" x14ac:dyDescent="0.25">
      <c r="A67" s="355">
        <f t="shared" si="1"/>
        <v>58</v>
      </c>
      <c r="B67" s="367"/>
      <c r="C67" s="368"/>
      <c r="D67" s="369"/>
      <c r="E67" s="368"/>
      <c r="F67" s="369"/>
      <c r="G67" s="369"/>
      <c r="H67" s="370"/>
      <c r="I67" s="369"/>
      <c r="J67" s="369"/>
      <c r="K67" s="369"/>
      <c r="L67" s="370"/>
      <c r="M67" s="369"/>
      <c r="N67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8" spans="1:14" s="1" customFormat="1" ht="24" customHeight="1" x14ac:dyDescent="0.25">
      <c r="A68" s="355">
        <f t="shared" si="1"/>
        <v>59</v>
      </c>
      <c r="B68" s="367"/>
      <c r="C68" s="368"/>
      <c r="D68" s="369"/>
      <c r="E68" s="368"/>
      <c r="F68" s="369"/>
      <c r="G68" s="369"/>
      <c r="H68" s="370"/>
      <c r="I68" s="369"/>
      <c r="J68" s="369"/>
      <c r="K68" s="369"/>
      <c r="L68" s="370"/>
      <c r="M68" s="369"/>
      <c r="N68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69" spans="1:14" s="1" customFormat="1" ht="24" customHeight="1" x14ac:dyDescent="0.25">
      <c r="A69" s="355">
        <f t="shared" si="1"/>
        <v>60</v>
      </c>
      <c r="B69" s="367"/>
      <c r="C69" s="368"/>
      <c r="D69" s="369"/>
      <c r="E69" s="368"/>
      <c r="F69" s="369"/>
      <c r="G69" s="369"/>
      <c r="H69" s="370"/>
      <c r="I69" s="369"/>
      <c r="J69" s="369"/>
      <c r="K69" s="369"/>
      <c r="L69" s="370"/>
      <c r="M69" s="369"/>
      <c r="N69" s="124">
        <f>IF(заявки[[#This Row],[Город]]=заявки[[#This Row],[Город ]],заявки[[#This Row],[Город]],заявки[[#This Row],[Город]]&amp;" / "&amp;заявки[[#This Row],[Город ]])</f>
        <v>0</v>
      </c>
    </row>
    <row r="70" spans="1:14" s="123" customFormat="1" x14ac:dyDescent="0.25">
      <c r="A70" s="355" t="s">
        <v>60</v>
      </c>
      <c r="B70" s="368">
        <f>SUBTOTAL(103,заявки[Ст. №])</f>
        <v>42</v>
      </c>
      <c r="C70" s="368"/>
      <c r="D70" s="369"/>
      <c r="E70" s="368"/>
      <c r="F70" s="369"/>
      <c r="G70" s="369"/>
      <c r="H70" s="370"/>
      <c r="I70" s="369"/>
      <c r="J70" s="369"/>
      <c r="K70" s="369"/>
      <c r="L70" s="370"/>
      <c r="M70" s="369"/>
      <c r="N70" s="124"/>
    </row>
    <row r="71" spans="1:14" s="123" customFormat="1" x14ac:dyDescent="0.25"/>
    <row r="72" spans="1:14" s="123" customFormat="1" x14ac:dyDescent="0.25"/>
    <row r="73" spans="1:14" s="123" customFormat="1" x14ac:dyDescent="0.25"/>
    <row r="74" spans="1:14" s="123" customFormat="1" x14ac:dyDescent="0.25"/>
    <row r="75" spans="1:14" s="123" customFormat="1" x14ac:dyDescent="0.25"/>
    <row r="76" spans="1:14" s="123" customFormat="1" x14ac:dyDescent="0.25"/>
    <row r="77" spans="1:14" s="123" customFormat="1" x14ac:dyDescent="0.25"/>
    <row r="78" spans="1:14" s="123" customFormat="1" x14ac:dyDescent="0.25"/>
    <row r="79" spans="1:14" s="123" customFormat="1" x14ac:dyDescent="0.25"/>
    <row r="80" spans="1:14" s="123" customFormat="1" x14ac:dyDescent="0.25"/>
    <row r="81" spans="1:13" s="123" customFormat="1" x14ac:dyDescent="0.25"/>
    <row r="82" spans="1:13" s="123" customFormat="1" x14ac:dyDescent="0.25"/>
    <row r="83" spans="1:13" s="123" customFormat="1" x14ac:dyDescent="0.25"/>
    <row r="84" spans="1:13" s="123" customFormat="1" x14ac:dyDescent="0.25"/>
    <row r="85" spans="1:13" s="123" customFormat="1" x14ac:dyDescent="0.25"/>
    <row r="86" spans="1:13" s="123" customFormat="1" x14ac:dyDescent="0.25"/>
    <row r="87" spans="1:13" s="123" customFormat="1" x14ac:dyDescent="0.25"/>
    <row r="88" spans="1:13" s="123" customFormat="1" x14ac:dyDescent="0.25"/>
    <row r="89" spans="1:13" x14ac:dyDescent="0.25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</row>
  </sheetData>
  <mergeCells count="1">
    <mergeCell ref="A2:M2"/>
  </mergeCells>
  <pageMargins left="0.19685039370078741" right="0.19685039370078741" top="0.19685039370078741" bottom="0.19685039370078741" header="0" footer="0"/>
  <pageSetup paperSize="9" scale="95" orientation="portrait" horizont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Button 1">
              <controlPr defaultSize="0" print="0" autoFill="0" autoPict="0" macro="[0]!printApplicationForms">
                <anchor moveWithCells="1" sizeWithCells="1">
                  <from>
                    <xdr:col>13</xdr:col>
                    <xdr:colOff>76200</xdr:colOff>
                    <xdr:row>0</xdr:row>
                    <xdr:rowOff>219075</xdr:rowOff>
                  </from>
                  <to>
                    <xdr:col>15</xdr:col>
                    <xdr:colOff>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F0"/>
  </sheetPr>
  <dimension ref="A1:K66"/>
  <sheetViews>
    <sheetView view="pageBreakPreview" topLeftCell="A39" zoomScale="85" zoomScaleSheetLayoutView="85" workbookViewId="0">
      <selection activeCell="A51" sqref="A51"/>
    </sheetView>
  </sheetViews>
  <sheetFormatPr defaultRowHeight="15" x14ac:dyDescent="0.25"/>
  <cols>
    <col min="1" max="3" width="15.7109375" style="2" customWidth="1"/>
    <col min="4" max="4" width="45.7109375" style="2" customWidth="1"/>
    <col min="5" max="256" width="9.140625" style="2"/>
    <col min="257" max="258" width="15.7109375" style="2" customWidth="1"/>
    <col min="259" max="259" width="0" style="2" hidden="1" customWidth="1"/>
    <col min="260" max="260" width="60.7109375" style="2" customWidth="1"/>
    <col min="261" max="512" width="9.140625" style="2"/>
    <col min="513" max="514" width="15.7109375" style="2" customWidth="1"/>
    <col min="515" max="515" width="0" style="2" hidden="1" customWidth="1"/>
    <col min="516" max="516" width="60.7109375" style="2" customWidth="1"/>
    <col min="517" max="768" width="9.140625" style="2"/>
    <col min="769" max="770" width="15.7109375" style="2" customWidth="1"/>
    <col min="771" max="771" width="0" style="2" hidden="1" customWidth="1"/>
    <col min="772" max="772" width="60.7109375" style="2" customWidth="1"/>
    <col min="773" max="1024" width="9.140625" style="2"/>
    <col min="1025" max="1026" width="15.7109375" style="2" customWidth="1"/>
    <col min="1027" max="1027" width="0" style="2" hidden="1" customWidth="1"/>
    <col min="1028" max="1028" width="60.7109375" style="2" customWidth="1"/>
    <col min="1029" max="1280" width="9.140625" style="2"/>
    <col min="1281" max="1282" width="15.7109375" style="2" customWidth="1"/>
    <col min="1283" max="1283" width="0" style="2" hidden="1" customWidth="1"/>
    <col min="1284" max="1284" width="60.7109375" style="2" customWidth="1"/>
    <col min="1285" max="1536" width="9.140625" style="2"/>
    <col min="1537" max="1538" width="15.7109375" style="2" customWidth="1"/>
    <col min="1539" max="1539" width="0" style="2" hidden="1" customWidth="1"/>
    <col min="1540" max="1540" width="60.7109375" style="2" customWidth="1"/>
    <col min="1541" max="1792" width="9.140625" style="2"/>
    <col min="1793" max="1794" width="15.7109375" style="2" customWidth="1"/>
    <col min="1795" max="1795" width="0" style="2" hidden="1" customWidth="1"/>
    <col min="1796" max="1796" width="60.7109375" style="2" customWidth="1"/>
    <col min="1797" max="2048" width="9.140625" style="2"/>
    <col min="2049" max="2050" width="15.7109375" style="2" customWidth="1"/>
    <col min="2051" max="2051" width="0" style="2" hidden="1" customWidth="1"/>
    <col min="2052" max="2052" width="60.7109375" style="2" customWidth="1"/>
    <col min="2053" max="2304" width="9.140625" style="2"/>
    <col min="2305" max="2306" width="15.7109375" style="2" customWidth="1"/>
    <col min="2307" max="2307" width="0" style="2" hidden="1" customWidth="1"/>
    <col min="2308" max="2308" width="60.7109375" style="2" customWidth="1"/>
    <col min="2309" max="2560" width="9.140625" style="2"/>
    <col min="2561" max="2562" width="15.7109375" style="2" customWidth="1"/>
    <col min="2563" max="2563" width="0" style="2" hidden="1" customWidth="1"/>
    <col min="2564" max="2564" width="60.7109375" style="2" customWidth="1"/>
    <col min="2565" max="2816" width="9.140625" style="2"/>
    <col min="2817" max="2818" width="15.7109375" style="2" customWidth="1"/>
    <col min="2819" max="2819" width="0" style="2" hidden="1" customWidth="1"/>
    <col min="2820" max="2820" width="60.7109375" style="2" customWidth="1"/>
    <col min="2821" max="3072" width="9.140625" style="2"/>
    <col min="3073" max="3074" width="15.7109375" style="2" customWidth="1"/>
    <col min="3075" max="3075" width="0" style="2" hidden="1" customWidth="1"/>
    <col min="3076" max="3076" width="60.7109375" style="2" customWidth="1"/>
    <col min="3077" max="3328" width="9.140625" style="2"/>
    <col min="3329" max="3330" width="15.7109375" style="2" customWidth="1"/>
    <col min="3331" max="3331" width="0" style="2" hidden="1" customWidth="1"/>
    <col min="3332" max="3332" width="60.7109375" style="2" customWidth="1"/>
    <col min="3333" max="3584" width="9.140625" style="2"/>
    <col min="3585" max="3586" width="15.7109375" style="2" customWidth="1"/>
    <col min="3587" max="3587" width="0" style="2" hidden="1" customWidth="1"/>
    <col min="3588" max="3588" width="60.7109375" style="2" customWidth="1"/>
    <col min="3589" max="3840" width="9.140625" style="2"/>
    <col min="3841" max="3842" width="15.7109375" style="2" customWidth="1"/>
    <col min="3843" max="3843" width="0" style="2" hidden="1" customWidth="1"/>
    <col min="3844" max="3844" width="60.7109375" style="2" customWidth="1"/>
    <col min="3845" max="4096" width="9.140625" style="2"/>
    <col min="4097" max="4098" width="15.7109375" style="2" customWidth="1"/>
    <col min="4099" max="4099" width="0" style="2" hidden="1" customWidth="1"/>
    <col min="4100" max="4100" width="60.7109375" style="2" customWidth="1"/>
    <col min="4101" max="4352" width="9.140625" style="2"/>
    <col min="4353" max="4354" width="15.7109375" style="2" customWidth="1"/>
    <col min="4355" max="4355" width="0" style="2" hidden="1" customWidth="1"/>
    <col min="4356" max="4356" width="60.7109375" style="2" customWidth="1"/>
    <col min="4357" max="4608" width="9.140625" style="2"/>
    <col min="4609" max="4610" width="15.7109375" style="2" customWidth="1"/>
    <col min="4611" max="4611" width="0" style="2" hidden="1" customWidth="1"/>
    <col min="4612" max="4612" width="60.7109375" style="2" customWidth="1"/>
    <col min="4613" max="4864" width="9.140625" style="2"/>
    <col min="4865" max="4866" width="15.7109375" style="2" customWidth="1"/>
    <col min="4867" max="4867" width="0" style="2" hidden="1" customWidth="1"/>
    <col min="4868" max="4868" width="60.7109375" style="2" customWidth="1"/>
    <col min="4869" max="5120" width="9.140625" style="2"/>
    <col min="5121" max="5122" width="15.7109375" style="2" customWidth="1"/>
    <col min="5123" max="5123" width="0" style="2" hidden="1" customWidth="1"/>
    <col min="5124" max="5124" width="60.7109375" style="2" customWidth="1"/>
    <col min="5125" max="5376" width="9.140625" style="2"/>
    <col min="5377" max="5378" width="15.7109375" style="2" customWidth="1"/>
    <col min="5379" max="5379" width="0" style="2" hidden="1" customWidth="1"/>
    <col min="5380" max="5380" width="60.7109375" style="2" customWidth="1"/>
    <col min="5381" max="5632" width="9.140625" style="2"/>
    <col min="5633" max="5634" width="15.7109375" style="2" customWidth="1"/>
    <col min="5635" max="5635" width="0" style="2" hidden="1" customWidth="1"/>
    <col min="5636" max="5636" width="60.7109375" style="2" customWidth="1"/>
    <col min="5637" max="5888" width="9.140625" style="2"/>
    <col min="5889" max="5890" width="15.7109375" style="2" customWidth="1"/>
    <col min="5891" max="5891" width="0" style="2" hidden="1" customWidth="1"/>
    <col min="5892" max="5892" width="60.7109375" style="2" customWidth="1"/>
    <col min="5893" max="6144" width="9.140625" style="2"/>
    <col min="6145" max="6146" width="15.7109375" style="2" customWidth="1"/>
    <col min="6147" max="6147" width="0" style="2" hidden="1" customWidth="1"/>
    <col min="6148" max="6148" width="60.7109375" style="2" customWidth="1"/>
    <col min="6149" max="6400" width="9.140625" style="2"/>
    <col min="6401" max="6402" width="15.7109375" style="2" customWidth="1"/>
    <col min="6403" max="6403" width="0" style="2" hidden="1" customWidth="1"/>
    <col min="6404" max="6404" width="60.7109375" style="2" customWidth="1"/>
    <col min="6405" max="6656" width="9.140625" style="2"/>
    <col min="6657" max="6658" width="15.7109375" style="2" customWidth="1"/>
    <col min="6659" max="6659" width="0" style="2" hidden="1" customWidth="1"/>
    <col min="6660" max="6660" width="60.7109375" style="2" customWidth="1"/>
    <col min="6661" max="6912" width="9.140625" style="2"/>
    <col min="6913" max="6914" width="15.7109375" style="2" customWidth="1"/>
    <col min="6915" max="6915" width="0" style="2" hidden="1" customWidth="1"/>
    <col min="6916" max="6916" width="60.7109375" style="2" customWidth="1"/>
    <col min="6917" max="7168" width="9.140625" style="2"/>
    <col min="7169" max="7170" width="15.7109375" style="2" customWidth="1"/>
    <col min="7171" max="7171" width="0" style="2" hidden="1" customWidth="1"/>
    <col min="7172" max="7172" width="60.7109375" style="2" customWidth="1"/>
    <col min="7173" max="7424" width="9.140625" style="2"/>
    <col min="7425" max="7426" width="15.7109375" style="2" customWidth="1"/>
    <col min="7427" max="7427" width="0" style="2" hidden="1" customWidth="1"/>
    <col min="7428" max="7428" width="60.7109375" style="2" customWidth="1"/>
    <col min="7429" max="7680" width="9.140625" style="2"/>
    <col min="7681" max="7682" width="15.7109375" style="2" customWidth="1"/>
    <col min="7683" max="7683" width="0" style="2" hidden="1" customWidth="1"/>
    <col min="7684" max="7684" width="60.7109375" style="2" customWidth="1"/>
    <col min="7685" max="7936" width="9.140625" style="2"/>
    <col min="7937" max="7938" width="15.7109375" style="2" customWidth="1"/>
    <col min="7939" max="7939" width="0" style="2" hidden="1" customWidth="1"/>
    <col min="7940" max="7940" width="60.7109375" style="2" customWidth="1"/>
    <col min="7941" max="8192" width="9.140625" style="2"/>
    <col min="8193" max="8194" width="15.7109375" style="2" customWidth="1"/>
    <col min="8195" max="8195" width="0" style="2" hidden="1" customWidth="1"/>
    <col min="8196" max="8196" width="60.7109375" style="2" customWidth="1"/>
    <col min="8197" max="8448" width="9.140625" style="2"/>
    <col min="8449" max="8450" width="15.7109375" style="2" customWidth="1"/>
    <col min="8451" max="8451" width="0" style="2" hidden="1" customWidth="1"/>
    <col min="8452" max="8452" width="60.7109375" style="2" customWidth="1"/>
    <col min="8453" max="8704" width="9.140625" style="2"/>
    <col min="8705" max="8706" width="15.7109375" style="2" customWidth="1"/>
    <col min="8707" max="8707" width="0" style="2" hidden="1" customWidth="1"/>
    <col min="8708" max="8708" width="60.7109375" style="2" customWidth="1"/>
    <col min="8709" max="8960" width="9.140625" style="2"/>
    <col min="8961" max="8962" width="15.7109375" style="2" customWidth="1"/>
    <col min="8963" max="8963" width="0" style="2" hidden="1" customWidth="1"/>
    <col min="8964" max="8964" width="60.7109375" style="2" customWidth="1"/>
    <col min="8965" max="9216" width="9.140625" style="2"/>
    <col min="9217" max="9218" width="15.7109375" style="2" customWidth="1"/>
    <col min="9219" max="9219" width="0" style="2" hidden="1" customWidth="1"/>
    <col min="9220" max="9220" width="60.7109375" style="2" customWidth="1"/>
    <col min="9221" max="9472" width="9.140625" style="2"/>
    <col min="9473" max="9474" width="15.7109375" style="2" customWidth="1"/>
    <col min="9475" max="9475" width="0" style="2" hidden="1" customWidth="1"/>
    <col min="9476" max="9476" width="60.7109375" style="2" customWidth="1"/>
    <col min="9477" max="9728" width="9.140625" style="2"/>
    <col min="9729" max="9730" width="15.7109375" style="2" customWidth="1"/>
    <col min="9731" max="9731" width="0" style="2" hidden="1" customWidth="1"/>
    <col min="9732" max="9732" width="60.7109375" style="2" customWidth="1"/>
    <col min="9733" max="9984" width="9.140625" style="2"/>
    <col min="9985" max="9986" width="15.7109375" style="2" customWidth="1"/>
    <col min="9987" max="9987" width="0" style="2" hidden="1" customWidth="1"/>
    <col min="9988" max="9988" width="60.7109375" style="2" customWidth="1"/>
    <col min="9989" max="10240" width="9.140625" style="2"/>
    <col min="10241" max="10242" width="15.7109375" style="2" customWidth="1"/>
    <col min="10243" max="10243" width="0" style="2" hidden="1" customWidth="1"/>
    <col min="10244" max="10244" width="60.7109375" style="2" customWidth="1"/>
    <col min="10245" max="10496" width="9.140625" style="2"/>
    <col min="10497" max="10498" width="15.7109375" style="2" customWidth="1"/>
    <col min="10499" max="10499" width="0" style="2" hidden="1" customWidth="1"/>
    <col min="10500" max="10500" width="60.7109375" style="2" customWidth="1"/>
    <col min="10501" max="10752" width="9.140625" style="2"/>
    <col min="10753" max="10754" width="15.7109375" style="2" customWidth="1"/>
    <col min="10755" max="10755" width="0" style="2" hidden="1" customWidth="1"/>
    <col min="10756" max="10756" width="60.7109375" style="2" customWidth="1"/>
    <col min="10757" max="11008" width="9.140625" style="2"/>
    <col min="11009" max="11010" width="15.7109375" style="2" customWidth="1"/>
    <col min="11011" max="11011" width="0" style="2" hidden="1" customWidth="1"/>
    <col min="11012" max="11012" width="60.7109375" style="2" customWidth="1"/>
    <col min="11013" max="11264" width="9.140625" style="2"/>
    <col min="11265" max="11266" width="15.7109375" style="2" customWidth="1"/>
    <col min="11267" max="11267" width="0" style="2" hidden="1" customWidth="1"/>
    <col min="11268" max="11268" width="60.7109375" style="2" customWidth="1"/>
    <col min="11269" max="11520" width="9.140625" style="2"/>
    <col min="11521" max="11522" width="15.7109375" style="2" customWidth="1"/>
    <col min="11523" max="11523" width="0" style="2" hidden="1" customWidth="1"/>
    <col min="11524" max="11524" width="60.7109375" style="2" customWidth="1"/>
    <col min="11525" max="11776" width="9.140625" style="2"/>
    <col min="11777" max="11778" width="15.7109375" style="2" customWidth="1"/>
    <col min="11779" max="11779" width="0" style="2" hidden="1" customWidth="1"/>
    <col min="11780" max="11780" width="60.7109375" style="2" customWidth="1"/>
    <col min="11781" max="12032" width="9.140625" style="2"/>
    <col min="12033" max="12034" width="15.7109375" style="2" customWidth="1"/>
    <col min="12035" max="12035" width="0" style="2" hidden="1" customWidth="1"/>
    <col min="12036" max="12036" width="60.7109375" style="2" customWidth="1"/>
    <col min="12037" max="12288" width="9.140625" style="2"/>
    <col min="12289" max="12290" width="15.7109375" style="2" customWidth="1"/>
    <col min="12291" max="12291" width="0" style="2" hidden="1" customWidth="1"/>
    <col min="12292" max="12292" width="60.7109375" style="2" customWidth="1"/>
    <col min="12293" max="12544" width="9.140625" style="2"/>
    <col min="12545" max="12546" width="15.7109375" style="2" customWidth="1"/>
    <col min="12547" max="12547" width="0" style="2" hidden="1" customWidth="1"/>
    <col min="12548" max="12548" width="60.7109375" style="2" customWidth="1"/>
    <col min="12549" max="12800" width="9.140625" style="2"/>
    <col min="12801" max="12802" width="15.7109375" style="2" customWidth="1"/>
    <col min="12803" max="12803" width="0" style="2" hidden="1" customWidth="1"/>
    <col min="12804" max="12804" width="60.7109375" style="2" customWidth="1"/>
    <col min="12805" max="13056" width="9.140625" style="2"/>
    <col min="13057" max="13058" width="15.7109375" style="2" customWidth="1"/>
    <col min="13059" max="13059" width="0" style="2" hidden="1" customWidth="1"/>
    <col min="13060" max="13060" width="60.7109375" style="2" customWidth="1"/>
    <col min="13061" max="13312" width="9.140625" style="2"/>
    <col min="13313" max="13314" width="15.7109375" style="2" customWidth="1"/>
    <col min="13315" max="13315" width="0" style="2" hidden="1" customWidth="1"/>
    <col min="13316" max="13316" width="60.7109375" style="2" customWidth="1"/>
    <col min="13317" max="13568" width="9.140625" style="2"/>
    <col min="13569" max="13570" width="15.7109375" style="2" customWidth="1"/>
    <col min="13571" max="13571" width="0" style="2" hidden="1" customWidth="1"/>
    <col min="13572" max="13572" width="60.7109375" style="2" customWidth="1"/>
    <col min="13573" max="13824" width="9.140625" style="2"/>
    <col min="13825" max="13826" width="15.7109375" style="2" customWidth="1"/>
    <col min="13827" max="13827" width="0" style="2" hidden="1" customWidth="1"/>
    <col min="13828" max="13828" width="60.7109375" style="2" customWidth="1"/>
    <col min="13829" max="14080" width="9.140625" style="2"/>
    <col min="14081" max="14082" width="15.7109375" style="2" customWidth="1"/>
    <col min="14083" max="14083" width="0" style="2" hidden="1" customWidth="1"/>
    <col min="14084" max="14084" width="60.7109375" style="2" customWidth="1"/>
    <col min="14085" max="14336" width="9.140625" style="2"/>
    <col min="14337" max="14338" width="15.7109375" style="2" customWidth="1"/>
    <col min="14339" max="14339" width="0" style="2" hidden="1" customWidth="1"/>
    <col min="14340" max="14340" width="60.7109375" style="2" customWidth="1"/>
    <col min="14341" max="14592" width="9.140625" style="2"/>
    <col min="14593" max="14594" width="15.7109375" style="2" customWidth="1"/>
    <col min="14595" max="14595" width="0" style="2" hidden="1" customWidth="1"/>
    <col min="14596" max="14596" width="60.7109375" style="2" customWidth="1"/>
    <col min="14597" max="14848" width="9.140625" style="2"/>
    <col min="14849" max="14850" width="15.7109375" style="2" customWidth="1"/>
    <col min="14851" max="14851" width="0" style="2" hidden="1" customWidth="1"/>
    <col min="14852" max="14852" width="60.7109375" style="2" customWidth="1"/>
    <col min="14853" max="15104" width="9.140625" style="2"/>
    <col min="15105" max="15106" width="15.7109375" style="2" customWidth="1"/>
    <col min="15107" max="15107" width="0" style="2" hidden="1" customWidth="1"/>
    <col min="15108" max="15108" width="60.7109375" style="2" customWidth="1"/>
    <col min="15109" max="15360" width="9.140625" style="2"/>
    <col min="15361" max="15362" width="15.7109375" style="2" customWidth="1"/>
    <col min="15363" max="15363" width="0" style="2" hidden="1" customWidth="1"/>
    <col min="15364" max="15364" width="60.7109375" style="2" customWidth="1"/>
    <col min="15365" max="15616" width="9.140625" style="2"/>
    <col min="15617" max="15618" width="15.7109375" style="2" customWidth="1"/>
    <col min="15619" max="15619" width="0" style="2" hidden="1" customWidth="1"/>
    <col min="15620" max="15620" width="60.7109375" style="2" customWidth="1"/>
    <col min="15621" max="15872" width="9.140625" style="2"/>
    <col min="15873" max="15874" width="15.7109375" style="2" customWidth="1"/>
    <col min="15875" max="15875" width="0" style="2" hidden="1" customWidth="1"/>
    <col min="15876" max="15876" width="60.7109375" style="2" customWidth="1"/>
    <col min="15877" max="16128" width="9.140625" style="2"/>
    <col min="16129" max="16130" width="15.7109375" style="2" customWidth="1"/>
    <col min="16131" max="16131" width="0" style="2" hidden="1" customWidth="1"/>
    <col min="16132" max="16132" width="60.7109375" style="2" customWidth="1"/>
    <col min="16133" max="16384" width="9.140625" style="2"/>
  </cols>
  <sheetData>
    <row r="1" spans="1:11" s="261" customFormat="1" ht="21" customHeight="1" x14ac:dyDescent="0.25">
      <c r="A1" s="277" t="s">
        <v>451</v>
      </c>
      <c r="B1" s="276"/>
      <c r="C1" s="276"/>
      <c r="D1" s="275" t="s">
        <v>396</v>
      </c>
    </row>
    <row r="2" spans="1:11" s="261" customFormat="1" ht="21" customHeight="1" x14ac:dyDescent="0.25">
      <c r="A2" s="274" t="s">
        <v>386</v>
      </c>
      <c r="B2" s="272" t="s">
        <v>567</v>
      </c>
      <c r="C2" s="273" t="s">
        <v>387</v>
      </c>
      <c r="D2" s="272" t="s">
        <v>781</v>
      </c>
    </row>
    <row r="3" spans="1:11" s="261" customFormat="1" ht="21" customHeight="1" x14ac:dyDescent="0.25">
      <c r="A3" s="274" t="s">
        <v>92</v>
      </c>
      <c r="B3" s="272">
        <v>0.65347222615447331</v>
      </c>
      <c r="C3" s="273" t="s">
        <v>86</v>
      </c>
      <c r="D3" s="272"/>
    </row>
    <row r="4" spans="1:11" s="261" customFormat="1" ht="21" customHeight="1" x14ac:dyDescent="0.25">
      <c r="A4" s="274" t="s">
        <v>393</v>
      </c>
      <c r="B4" s="272"/>
      <c r="C4" s="279" t="s">
        <v>407</v>
      </c>
      <c r="D4" s="272"/>
    </row>
    <row r="5" spans="1:11" s="261" customFormat="1" ht="21" customHeight="1" x14ac:dyDescent="0.25">
      <c r="A5" s="274" t="s">
        <v>93</v>
      </c>
      <c r="B5" s="272">
        <v>0.70208333726558436</v>
      </c>
      <c r="C5" s="273" t="s">
        <v>87</v>
      </c>
      <c r="D5" s="272"/>
    </row>
    <row r="6" spans="1:11" s="261" customFormat="1" ht="21" customHeight="1" x14ac:dyDescent="0.25">
      <c r="A6" s="274" t="s">
        <v>393</v>
      </c>
      <c r="B6" s="272"/>
      <c r="C6" s="279" t="s">
        <v>408</v>
      </c>
      <c r="D6" s="272"/>
    </row>
    <row r="7" spans="1:11" s="261" customFormat="1" ht="46.5" x14ac:dyDescent="0.25">
      <c r="A7" s="725" t="s">
        <v>585</v>
      </c>
      <c r="B7" s="725"/>
      <c r="C7" s="725"/>
      <c r="D7" s="725"/>
    </row>
    <row r="8" spans="1:11" s="268" customFormat="1" ht="21" customHeight="1" x14ac:dyDescent="0.25">
      <c r="A8" s="271" t="s">
        <v>400</v>
      </c>
      <c r="B8" s="270" t="s">
        <v>185</v>
      </c>
      <c r="C8" s="269"/>
      <c r="D8" s="269"/>
    </row>
    <row r="9" spans="1:11" ht="21" x14ac:dyDescent="0.25">
      <c r="A9" s="69" t="s">
        <v>0</v>
      </c>
      <c r="B9" s="70" t="s">
        <v>62</v>
      </c>
      <c r="C9" s="731" t="s">
        <v>88</v>
      </c>
      <c r="D9" s="732"/>
      <c r="J9" s="25"/>
      <c r="K9" s="26"/>
    </row>
    <row r="10" spans="1:11" ht="30" customHeight="1" x14ac:dyDescent="0.25">
      <c r="A10" s="29">
        <v>1</v>
      </c>
      <c r="B10" s="76">
        <v>0.66388888888888886</v>
      </c>
      <c r="C10" s="726"/>
      <c r="D10" s="727"/>
    </row>
    <row r="11" spans="1:11" ht="30" customHeight="1" x14ac:dyDescent="0.25">
      <c r="A11" s="29">
        <v>4</v>
      </c>
      <c r="B11" s="76">
        <v>0.66597222222222219</v>
      </c>
      <c r="C11" s="726"/>
      <c r="D11" s="727"/>
    </row>
    <row r="12" spans="1:11" ht="30" customHeight="1" x14ac:dyDescent="0.25">
      <c r="A12" s="29">
        <v>2</v>
      </c>
      <c r="B12" s="76">
        <v>0.6694444444444444</v>
      </c>
      <c r="C12" s="726"/>
      <c r="D12" s="727"/>
    </row>
    <row r="13" spans="1:11" ht="30" customHeight="1" x14ac:dyDescent="0.25">
      <c r="A13" s="29">
        <v>7</v>
      </c>
      <c r="B13" s="76">
        <v>0.6694444444444444</v>
      </c>
      <c r="C13" s="726"/>
      <c r="D13" s="727"/>
    </row>
    <row r="14" spans="1:11" ht="30" customHeight="1" x14ac:dyDescent="0.25">
      <c r="A14" s="29">
        <v>5</v>
      </c>
      <c r="B14" s="76">
        <v>0.67291666666666661</v>
      </c>
      <c r="C14" s="726"/>
      <c r="D14" s="727"/>
    </row>
    <row r="15" spans="1:11" ht="30" customHeight="1" x14ac:dyDescent="0.25">
      <c r="A15" s="29">
        <v>9</v>
      </c>
      <c r="B15" s="76">
        <v>0.67361111111111116</v>
      </c>
      <c r="C15" s="726"/>
      <c r="D15" s="727"/>
    </row>
    <row r="16" spans="1:11" ht="30" customHeight="1" x14ac:dyDescent="0.25">
      <c r="A16" s="29">
        <v>8</v>
      </c>
      <c r="B16" s="76">
        <v>0.6743055555555556</v>
      </c>
      <c r="C16" s="726"/>
      <c r="D16" s="727"/>
    </row>
    <row r="17" spans="1:4" ht="30" customHeight="1" x14ac:dyDescent="0.25">
      <c r="A17" s="29">
        <v>11</v>
      </c>
      <c r="B17" s="76">
        <v>0.67499999999999993</v>
      </c>
      <c r="C17" s="726"/>
      <c r="D17" s="727"/>
    </row>
    <row r="18" spans="1:4" ht="30" customHeight="1" x14ac:dyDescent="0.25">
      <c r="A18" s="29">
        <v>17</v>
      </c>
      <c r="B18" s="76">
        <v>0.67569444444444438</v>
      </c>
      <c r="C18" s="726"/>
      <c r="D18" s="727"/>
    </row>
    <row r="19" spans="1:4" ht="30" customHeight="1" x14ac:dyDescent="0.25">
      <c r="A19" s="29">
        <v>16</v>
      </c>
      <c r="B19" s="76">
        <v>0.67569444444444438</v>
      </c>
      <c r="C19" s="726"/>
      <c r="D19" s="727"/>
    </row>
    <row r="20" spans="1:4" ht="30" customHeight="1" x14ac:dyDescent="0.25">
      <c r="A20" s="29">
        <v>12</v>
      </c>
      <c r="B20" s="76">
        <v>0.67569444444444438</v>
      </c>
      <c r="C20" s="726"/>
      <c r="D20" s="727"/>
    </row>
    <row r="21" spans="1:4" ht="30" customHeight="1" x14ac:dyDescent="0.25">
      <c r="A21" s="29">
        <v>10</v>
      </c>
      <c r="B21" s="76">
        <v>0.67708333333333337</v>
      </c>
      <c r="C21" s="726"/>
      <c r="D21" s="727"/>
    </row>
    <row r="22" spans="1:4" ht="30" customHeight="1" x14ac:dyDescent="0.25">
      <c r="A22" s="29">
        <v>3</v>
      </c>
      <c r="B22" s="76">
        <v>0.68055555555555547</v>
      </c>
      <c r="C22" s="726"/>
      <c r="D22" s="727"/>
    </row>
    <row r="23" spans="1:4" ht="30" customHeight="1" x14ac:dyDescent="0.25">
      <c r="A23" s="29">
        <v>35</v>
      </c>
      <c r="B23" s="76">
        <v>0.68125000000000002</v>
      </c>
      <c r="C23" s="726"/>
      <c r="D23" s="727"/>
    </row>
    <row r="24" spans="1:4" ht="30" customHeight="1" x14ac:dyDescent="0.25">
      <c r="A24" s="29">
        <v>23</v>
      </c>
      <c r="B24" s="76">
        <v>0.68125000000000002</v>
      </c>
      <c r="C24" s="726"/>
      <c r="D24" s="727"/>
    </row>
    <row r="25" spans="1:4" ht="30" customHeight="1" x14ac:dyDescent="0.25">
      <c r="A25" s="29">
        <v>6</v>
      </c>
      <c r="B25" s="76">
        <v>0.68194444444444446</v>
      </c>
      <c r="C25" s="726"/>
      <c r="D25" s="727"/>
    </row>
    <row r="26" spans="1:4" ht="30" customHeight="1" x14ac:dyDescent="0.25">
      <c r="A26" s="29">
        <v>18</v>
      </c>
      <c r="B26" s="76">
        <v>0.68333333333333324</v>
      </c>
      <c r="C26" s="726"/>
      <c r="D26" s="727"/>
    </row>
    <row r="27" spans="1:4" ht="30" customHeight="1" x14ac:dyDescent="0.25">
      <c r="A27" s="29">
        <v>22</v>
      </c>
      <c r="B27" s="76">
        <v>0.68333333333333324</v>
      </c>
      <c r="C27" s="726"/>
      <c r="D27" s="727"/>
    </row>
    <row r="28" spans="1:4" ht="30" customHeight="1" x14ac:dyDescent="0.25">
      <c r="A28" s="29">
        <v>14</v>
      </c>
      <c r="B28" s="76">
        <v>0.68333333333333324</v>
      </c>
      <c r="C28" s="726"/>
      <c r="D28" s="727"/>
    </row>
    <row r="29" spans="1:4" ht="30" customHeight="1" x14ac:dyDescent="0.25">
      <c r="A29" s="29">
        <v>13</v>
      </c>
      <c r="B29" s="76">
        <v>0.68402777777777779</v>
      </c>
      <c r="C29" s="726"/>
      <c r="D29" s="727"/>
    </row>
    <row r="30" spans="1:4" ht="30" customHeight="1" x14ac:dyDescent="0.25">
      <c r="A30" s="29">
        <v>29</v>
      </c>
      <c r="B30" s="76">
        <v>0.68541666666666667</v>
      </c>
      <c r="C30" s="726"/>
      <c r="D30" s="727"/>
    </row>
    <row r="31" spans="1:4" ht="30" customHeight="1" x14ac:dyDescent="0.25">
      <c r="A31" s="29">
        <v>30</v>
      </c>
      <c r="B31" s="76">
        <v>0.68541666666666667</v>
      </c>
      <c r="C31" s="726"/>
      <c r="D31" s="727"/>
    </row>
    <row r="32" spans="1:4" ht="30" customHeight="1" x14ac:dyDescent="0.25">
      <c r="A32" s="29">
        <v>33</v>
      </c>
      <c r="B32" s="76">
        <v>0.68680555555555556</v>
      </c>
      <c r="C32" s="726"/>
      <c r="D32" s="727"/>
    </row>
    <row r="33" spans="1:4" ht="30" customHeight="1" x14ac:dyDescent="0.25">
      <c r="A33" s="29">
        <v>25</v>
      </c>
      <c r="B33" s="76">
        <v>0.68680555555555556</v>
      </c>
      <c r="C33" s="726"/>
      <c r="D33" s="727"/>
    </row>
    <row r="34" spans="1:4" ht="30" customHeight="1" x14ac:dyDescent="0.25">
      <c r="A34" s="29">
        <v>26</v>
      </c>
      <c r="B34" s="76">
        <v>0.6875</v>
      </c>
      <c r="C34" s="726"/>
      <c r="D34" s="727"/>
    </row>
    <row r="35" spans="1:4" ht="30" customHeight="1" x14ac:dyDescent="0.25">
      <c r="A35" s="29">
        <v>31</v>
      </c>
      <c r="B35" s="76">
        <v>0.6875</v>
      </c>
      <c r="C35" s="726"/>
      <c r="D35" s="727"/>
    </row>
    <row r="36" spans="1:4" ht="30" customHeight="1" x14ac:dyDescent="0.25">
      <c r="A36" s="29">
        <v>24</v>
      </c>
      <c r="B36" s="76">
        <v>0.68819444444444444</v>
      </c>
      <c r="C36" s="726"/>
      <c r="D36" s="727"/>
    </row>
    <row r="37" spans="1:4" ht="30" customHeight="1" x14ac:dyDescent="0.25">
      <c r="A37" s="29">
        <v>20</v>
      </c>
      <c r="B37" s="76">
        <v>0.68819444444444444</v>
      </c>
      <c r="C37" s="726"/>
      <c r="D37" s="727"/>
    </row>
    <row r="38" spans="1:4" ht="30" customHeight="1" x14ac:dyDescent="0.25">
      <c r="A38" s="29">
        <v>32</v>
      </c>
      <c r="B38" s="76">
        <v>0.69027777777777777</v>
      </c>
      <c r="C38" s="726"/>
      <c r="D38" s="727"/>
    </row>
    <row r="39" spans="1:4" ht="30" customHeight="1" x14ac:dyDescent="0.25">
      <c r="A39" s="29">
        <v>39</v>
      </c>
      <c r="B39" s="76">
        <v>0.69027777777777777</v>
      </c>
      <c r="C39" s="726"/>
      <c r="D39" s="727"/>
    </row>
    <row r="40" spans="1:4" ht="30" customHeight="1" x14ac:dyDescent="0.25">
      <c r="A40" s="29">
        <v>41</v>
      </c>
      <c r="B40" s="76">
        <v>0.69166666666666676</v>
      </c>
      <c r="C40" s="726"/>
      <c r="D40" s="727"/>
    </row>
    <row r="41" spans="1:4" ht="30" customHeight="1" x14ac:dyDescent="0.25">
      <c r="A41" s="29">
        <v>42</v>
      </c>
      <c r="B41" s="76">
        <v>0.69305555555555554</v>
      </c>
      <c r="C41" s="726"/>
      <c r="D41" s="727"/>
    </row>
    <row r="42" spans="1:4" ht="30" customHeight="1" x14ac:dyDescent="0.25">
      <c r="A42" s="29">
        <v>38</v>
      </c>
      <c r="B42" s="76">
        <v>0.69305555555555554</v>
      </c>
      <c r="C42" s="726"/>
      <c r="D42" s="727"/>
    </row>
    <row r="43" spans="1:4" ht="30" customHeight="1" x14ac:dyDescent="0.25">
      <c r="A43" s="29">
        <v>21</v>
      </c>
      <c r="B43" s="76">
        <v>0.69374999999999998</v>
      </c>
      <c r="C43" s="726"/>
      <c r="D43" s="727"/>
    </row>
    <row r="44" spans="1:4" ht="30" customHeight="1" x14ac:dyDescent="0.25">
      <c r="A44" s="29">
        <v>34</v>
      </c>
      <c r="B44" s="76">
        <v>0.69374999999999998</v>
      </c>
      <c r="C44" s="726"/>
      <c r="D44" s="727"/>
    </row>
    <row r="45" spans="1:4" ht="30" customHeight="1" x14ac:dyDescent="0.25">
      <c r="A45" s="29">
        <v>43</v>
      </c>
      <c r="B45" s="76">
        <v>0.69513888888888886</v>
      </c>
      <c r="C45" s="726"/>
      <c r="D45" s="727"/>
    </row>
    <row r="46" spans="1:4" ht="30" customHeight="1" x14ac:dyDescent="0.25">
      <c r="A46" s="29">
        <v>47</v>
      </c>
      <c r="B46" s="76">
        <v>0.69652777777777775</v>
      </c>
      <c r="C46" s="726"/>
      <c r="D46" s="727"/>
    </row>
    <row r="47" spans="1:4" ht="30" customHeight="1" x14ac:dyDescent="0.25">
      <c r="A47" s="29">
        <v>37</v>
      </c>
      <c r="B47" s="76">
        <v>0.6972222222222223</v>
      </c>
      <c r="C47" s="726"/>
      <c r="D47" s="727"/>
    </row>
    <row r="48" spans="1:4" ht="30" customHeight="1" x14ac:dyDescent="0.25">
      <c r="A48" s="29">
        <v>45</v>
      </c>
      <c r="B48" s="76">
        <v>0.69930555555555562</v>
      </c>
      <c r="C48" s="726"/>
      <c r="D48" s="727"/>
    </row>
    <row r="49" spans="1:4" ht="30" customHeight="1" x14ac:dyDescent="0.25">
      <c r="A49" s="29">
        <v>40</v>
      </c>
      <c r="B49" s="76">
        <v>0.70000000000000007</v>
      </c>
      <c r="C49" s="726"/>
      <c r="D49" s="727"/>
    </row>
    <row r="50" spans="1:4" ht="30" customHeight="1" x14ac:dyDescent="0.25">
      <c r="A50" s="29">
        <v>36</v>
      </c>
      <c r="B50" s="76">
        <v>0.7006944444444444</v>
      </c>
      <c r="C50" s="726"/>
      <c r="D50" s="727"/>
    </row>
    <row r="51" spans="1:4" ht="30" customHeight="1" x14ac:dyDescent="0.25">
      <c r="A51" s="29">
        <v>44</v>
      </c>
      <c r="B51" s="76">
        <v>0.70277777777777783</v>
      </c>
      <c r="C51" s="726"/>
      <c r="D51" s="727"/>
    </row>
    <row r="52" spans="1:4" ht="30" customHeight="1" x14ac:dyDescent="0.25">
      <c r="A52" s="29"/>
      <c r="B52" s="76"/>
      <c r="C52" s="726"/>
      <c r="D52" s="727"/>
    </row>
    <row r="53" spans="1:4" ht="30" customHeight="1" x14ac:dyDescent="0.25">
      <c r="A53" s="29"/>
      <c r="B53" s="76"/>
      <c r="C53" s="726"/>
      <c r="D53" s="727"/>
    </row>
    <row r="54" spans="1:4" ht="30" customHeight="1" x14ac:dyDescent="0.25">
      <c r="A54" s="29"/>
      <c r="B54" s="76"/>
      <c r="C54" s="726"/>
      <c r="D54" s="727"/>
    </row>
    <row r="55" spans="1:4" ht="30" customHeight="1" x14ac:dyDescent="0.25">
      <c r="A55" s="29"/>
      <c r="B55" s="76"/>
      <c r="C55" s="726"/>
      <c r="D55" s="727"/>
    </row>
    <row r="56" spans="1:4" ht="30" customHeight="1" x14ac:dyDescent="0.25">
      <c r="A56" s="29"/>
      <c r="B56" s="76"/>
      <c r="C56" s="726"/>
      <c r="D56" s="727"/>
    </row>
    <row r="57" spans="1:4" ht="30" customHeight="1" x14ac:dyDescent="0.25">
      <c r="A57" s="29"/>
      <c r="B57" s="76"/>
      <c r="C57" s="726"/>
      <c r="D57" s="727"/>
    </row>
    <row r="58" spans="1:4" ht="30" customHeight="1" x14ac:dyDescent="0.25">
      <c r="A58" s="29"/>
      <c r="B58" s="76"/>
      <c r="C58" s="726"/>
      <c r="D58" s="727"/>
    </row>
    <row r="59" spans="1:4" ht="30" customHeight="1" x14ac:dyDescent="0.25">
      <c r="A59" s="29"/>
      <c r="B59" s="76"/>
      <c r="C59" s="726"/>
      <c r="D59" s="727"/>
    </row>
    <row r="60" spans="1:4" ht="30" customHeight="1" x14ac:dyDescent="0.25">
      <c r="A60" s="29"/>
      <c r="B60" s="76"/>
      <c r="C60" s="726"/>
      <c r="D60" s="727"/>
    </row>
    <row r="61" spans="1:4" ht="30" customHeight="1" x14ac:dyDescent="0.25">
      <c r="A61" s="29"/>
      <c r="B61" s="76"/>
      <c r="C61" s="726"/>
      <c r="D61" s="727"/>
    </row>
    <row r="62" spans="1:4" ht="30" customHeight="1" x14ac:dyDescent="0.25">
      <c r="A62" s="29"/>
      <c r="B62" s="76"/>
      <c r="C62" s="726"/>
      <c r="D62" s="727"/>
    </row>
    <row r="63" spans="1:4" ht="30" customHeight="1" x14ac:dyDescent="0.25">
      <c r="A63" s="29"/>
      <c r="B63" s="76"/>
      <c r="C63" s="726"/>
      <c r="D63" s="727"/>
    </row>
    <row r="64" spans="1:4" ht="30" customHeight="1" x14ac:dyDescent="0.25">
      <c r="A64" s="29"/>
      <c r="B64" s="76"/>
      <c r="C64" s="726"/>
      <c r="D64" s="727"/>
    </row>
    <row r="65" spans="1:4" ht="30" customHeight="1" x14ac:dyDescent="0.25">
      <c r="A65" s="29"/>
      <c r="B65" s="76"/>
      <c r="C65" s="726"/>
      <c r="D65" s="727"/>
    </row>
    <row r="66" spans="1:4" ht="30" customHeight="1" x14ac:dyDescent="0.25">
      <c r="A66" s="29"/>
      <c r="B66" s="76"/>
      <c r="C66" s="726"/>
      <c r="D66" s="727"/>
    </row>
  </sheetData>
  <sheetProtection sheet="1" objects="1" scenarios="1"/>
  <mergeCells count="59">
    <mergeCell ref="C62:D62"/>
    <mergeCell ref="C63:D63"/>
    <mergeCell ref="C64:D64"/>
    <mergeCell ref="C65:D65"/>
    <mergeCell ref="C66:D66"/>
    <mergeCell ref="C61:D61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25:D25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13:D13"/>
    <mergeCell ref="A7:D7"/>
    <mergeCell ref="C9:D9"/>
    <mergeCell ref="C10:D10"/>
    <mergeCell ref="C11:D11"/>
    <mergeCell ref="C12:D12"/>
  </mergeCells>
  <pageMargins left="0.59055118110236227" right="0.19685039370078741" top="0.39370078740157483" bottom="0.39370078740157483" header="0" footer="0.39370078740157483"/>
  <pageSetup paperSize="9" orientation="portrait" horizontalDpi="300" r:id="rId1"/>
  <headerFooter>
    <oddHeader>&amp;LНа листе 19 строк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99"/>
  </sheetPr>
  <dimension ref="A1:H72"/>
  <sheetViews>
    <sheetView view="pageBreakPreview" zoomScaleSheetLayoutView="100" workbookViewId="0">
      <selection activeCell="D72" sqref="D7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336" t="str">
        <f>_ДС2</f>
        <v>ДС-2 РДС Старая Смоленская дорога</v>
      </c>
      <c r="B1" s="335"/>
      <c r="C1" s="335"/>
      <c r="D1" s="335"/>
      <c r="E1" s="335"/>
      <c r="F1" s="335"/>
      <c r="G1" s="337"/>
      <c r="H1" s="338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339" t="s">
        <v>53</v>
      </c>
      <c r="B9" s="340" t="s">
        <v>54</v>
      </c>
      <c r="C9" s="340" t="s">
        <v>55</v>
      </c>
      <c r="D9" s="340" t="s">
        <v>56</v>
      </c>
      <c r="E9" s="340" t="s">
        <v>57</v>
      </c>
      <c r="F9" s="340" t="s">
        <v>37</v>
      </c>
      <c r="G9" s="340" t="s">
        <v>58</v>
      </c>
      <c r="H9" s="340" t="s">
        <v>59</v>
      </c>
    </row>
    <row r="10" spans="1:8" ht="30" customHeight="1" x14ac:dyDescent="0.25">
      <c r="A10" s="341" t="str">
        <f>"Поз. " &amp; 'Сектор 2'!A10 &amp; " ДК, старт ДС, , V=ПДД-15 км/ч"</f>
        <v>Поз. 14 ДК, старт ДС, , V=ПДД-15 км/ч</v>
      </c>
      <c r="B10" s="342">
        <v>0</v>
      </c>
      <c r="C10" s="343">
        <f>IF(ISNUMBER(B11),B11-B10,"")</f>
        <v>0.5</v>
      </c>
      <c r="D10" s="343">
        <v>90</v>
      </c>
      <c r="E10" s="343"/>
      <c r="F10" s="343">
        <v>-15</v>
      </c>
      <c r="G10" s="343">
        <f>IF(C10&lt;&gt;"",D10*IF(ISNUMBER(E10),E10,1)+IF(ISNUMBER(F10),F10,0),"")</f>
        <v>75</v>
      </c>
      <c r="H10" s="343">
        <f t="shared" ref="H10:H69" si="0">IF(G10&lt;&gt;"",ROUNDDOWN(C10/G10*3600,округлениеРД),"")</f>
        <v>24</v>
      </c>
    </row>
    <row r="11" spans="1:8" ht="30" customHeight="1" x14ac:dyDescent="0.25">
      <c r="A11" s="341" t="str">
        <f>"Поз. " &amp; 'Сектор 2'!A11 &amp; " ДК, V=ПДД-10 км/ч"</f>
        <v>Поз. 15 ДК, V=ПДД-10 км/ч</v>
      </c>
      <c r="B11" s="342">
        <v>0.5</v>
      </c>
      <c r="C11" s="343">
        <f t="shared" ref="C11:C69" si="1">IF(ISNUMBER(B12),B12-B11,"")</f>
        <v>8.14</v>
      </c>
      <c r="D11" s="343">
        <v>90</v>
      </c>
      <c r="E11" s="344"/>
      <c r="F11" s="343">
        <v>-10</v>
      </c>
      <c r="G11" s="343">
        <f t="shared" ref="G11:G69" si="2">IF(C11&lt;&gt;"",D11*IF(ISNUMBER(E11),E11,1)+IF(ISNUMBER(F11),F11,0),"")</f>
        <v>80</v>
      </c>
      <c r="H11" s="343">
        <f t="shared" si="0"/>
        <v>366.3</v>
      </c>
    </row>
    <row r="12" spans="1:8" ht="30" customHeight="1" x14ac:dyDescent="0.25">
      <c r="A12" s="341" t="str">
        <f>"Поз. " &amp; 'Сектор 2'!A12 &amp; " ДК, V=ПДД-5 км/ч"</f>
        <v>Поз. 16 ДК, V=ПДД-5 км/ч</v>
      </c>
      <c r="B12" s="342">
        <v>8.64</v>
      </c>
      <c r="C12" s="343">
        <f t="shared" si="1"/>
        <v>4.4600000000000009</v>
      </c>
      <c r="D12" s="343">
        <v>90</v>
      </c>
      <c r="E12" s="344"/>
      <c r="F12" s="343">
        <v>-5</v>
      </c>
      <c r="G12" s="343">
        <f t="shared" si="2"/>
        <v>85</v>
      </c>
      <c r="H12" s="343">
        <f t="shared" si="0"/>
        <v>188.89410000000001</v>
      </c>
    </row>
    <row r="13" spans="1:8" ht="30" customHeight="1" x14ac:dyDescent="0.25">
      <c r="A13" s="341" t="str">
        <f>"Поз. " &amp; 'Сектор 2'!A13 &amp; " ДК, V=60 км/ч"</f>
        <v>Поз. 17 ДК, V=60 км/ч</v>
      </c>
      <c r="B13" s="342">
        <v>13.100000000000001</v>
      </c>
      <c r="C13" s="343">
        <f t="shared" si="1"/>
        <v>0.32999999999999829</v>
      </c>
      <c r="D13" s="343">
        <v>60</v>
      </c>
      <c r="E13" s="344"/>
      <c r="F13" s="343"/>
      <c r="G13" s="343">
        <f t="shared" si="2"/>
        <v>60</v>
      </c>
      <c r="H13" s="343">
        <f t="shared" si="0"/>
        <v>19.799900000000001</v>
      </c>
    </row>
    <row r="14" spans="1:8" ht="30" customHeight="1" x14ac:dyDescent="0.25">
      <c r="A14" s="341" t="str">
        <f>"Поз. " &amp; 'Сектор 2'!A14 &amp; " ДК, V=ПДД-3 км/ч"</f>
        <v>Поз. 18 ДК, V=ПДД-3 км/ч</v>
      </c>
      <c r="B14" s="342">
        <v>13.43</v>
      </c>
      <c r="C14" s="343">
        <f t="shared" si="1"/>
        <v>1.8099999999999987</v>
      </c>
      <c r="D14" s="343">
        <v>90</v>
      </c>
      <c r="E14" s="344"/>
      <c r="F14" s="343">
        <v>-3</v>
      </c>
      <c r="G14" s="343">
        <f t="shared" si="2"/>
        <v>87</v>
      </c>
      <c r="H14" s="343">
        <f t="shared" si="0"/>
        <v>74.896500000000003</v>
      </c>
    </row>
    <row r="15" spans="1:8" ht="30" customHeight="1" x14ac:dyDescent="0.25">
      <c r="A15" s="341" t="s">
        <v>497</v>
      </c>
      <c r="B15" s="342">
        <v>15.239999999999998</v>
      </c>
      <c r="C15" s="343" t="str">
        <f t="shared" si="1"/>
        <v/>
      </c>
      <c r="D15" s="343"/>
      <c r="E15" s="344"/>
      <c r="F15" s="343"/>
      <c r="G15" s="343" t="str">
        <f t="shared" si="2"/>
        <v/>
      </c>
      <c r="H15" s="343" t="str">
        <f t="shared" si="0"/>
        <v/>
      </c>
    </row>
    <row r="16" spans="1:8" ht="30" hidden="1" customHeight="1" x14ac:dyDescent="0.25">
      <c r="A16" s="341"/>
      <c r="B16" s="342"/>
      <c r="C16" s="343" t="str">
        <f t="shared" si="1"/>
        <v/>
      </c>
      <c r="D16" s="343"/>
      <c r="E16" s="344"/>
      <c r="F16" s="343"/>
      <c r="G16" s="343" t="str">
        <f t="shared" si="2"/>
        <v/>
      </c>
      <c r="H16" s="343" t="str">
        <f t="shared" si="0"/>
        <v/>
      </c>
    </row>
    <row r="17" spans="1:8" ht="30" hidden="1" customHeight="1" x14ac:dyDescent="0.25">
      <c r="A17" s="341"/>
      <c r="B17" s="342"/>
      <c r="C17" s="343" t="str">
        <f t="shared" si="1"/>
        <v/>
      </c>
      <c r="D17" s="343"/>
      <c r="E17" s="344"/>
      <c r="F17" s="343"/>
      <c r="G17" s="343" t="str">
        <f t="shared" si="2"/>
        <v/>
      </c>
      <c r="H17" s="343" t="str">
        <f t="shared" si="0"/>
        <v/>
      </c>
    </row>
    <row r="18" spans="1:8" ht="30" hidden="1" customHeight="1" x14ac:dyDescent="0.25">
      <c r="A18" s="341"/>
      <c r="B18" s="342"/>
      <c r="C18" s="343" t="str">
        <f t="shared" si="1"/>
        <v/>
      </c>
      <c r="D18" s="343"/>
      <c r="E18" s="344"/>
      <c r="F18" s="343"/>
      <c r="G18" s="343" t="str">
        <f t="shared" si="2"/>
        <v/>
      </c>
      <c r="H18" s="343" t="str">
        <f t="shared" si="0"/>
        <v/>
      </c>
    </row>
    <row r="19" spans="1:8" ht="30" hidden="1" customHeight="1" x14ac:dyDescent="0.25">
      <c r="A19" s="341"/>
      <c r="B19" s="342"/>
      <c r="C19" s="343" t="str">
        <f t="shared" si="1"/>
        <v/>
      </c>
      <c r="D19" s="343"/>
      <c r="E19" s="344"/>
      <c r="F19" s="343"/>
      <c r="G19" s="343" t="str">
        <f t="shared" si="2"/>
        <v/>
      </c>
      <c r="H19" s="343" t="str">
        <f t="shared" si="0"/>
        <v/>
      </c>
    </row>
    <row r="20" spans="1:8" ht="30" hidden="1" customHeight="1" x14ac:dyDescent="0.25">
      <c r="A20" s="341"/>
      <c r="B20" s="342"/>
      <c r="C20" s="343" t="str">
        <f t="shared" si="1"/>
        <v/>
      </c>
      <c r="D20" s="343"/>
      <c r="E20" s="344"/>
      <c r="F20" s="343"/>
      <c r="G20" s="343" t="str">
        <f t="shared" si="2"/>
        <v/>
      </c>
      <c r="H20" s="343" t="str">
        <f t="shared" si="0"/>
        <v/>
      </c>
    </row>
    <row r="21" spans="1:8" ht="30" hidden="1" customHeight="1" x14ac:dyDescent="0.25">
      <c r="A21" s="341"/>
      <c r="B21" s="342"/>
      <c r="C21" s="343" t="str">
        <f t="shared" si="1"/>
        <v/>
      </c>
      <c r="D21" s="343"/>
      <c r="E21" s="344"/>
      <c r="F21" s="343"/>
      <c r="G21" s="343" t="str">
        <f t="shared" si="2"/>
        <v/>
      </c>
      <c r="H21" s="343" t="str">
        <f t="shared" si="0"/>
        <v/>
      </c>
    </row>
    <row r="22" spans="1:8" ht="30" hidden="1" customHeight="1" x14ac:dyDescent="0.25">
      <c r="A22" s="341"/>
      <c r="B22" s="342"/>
      <c r="C22" s="343" t="str">
        <f t="shared" si="1"/>
        <v/>
      </c>
      <c r="D22" s="343"/>
      <c r="E22" s="344"/>
      <c r="F22" s="343"/>
      <c r="G22" s="343" t="str">
        <f t="shared" si="2"/>
        <v/>
      </c>
      <c r="H22" s="343" t="str">
        <f t="shared" si="0"/>
        <v/>
      </c>
    </row>
    <row r="23" spans="1:8" ht="30" hidden="1" customHeight="1" x14ac:dyDescent="0.25">
      <c r="A23" s="341"/>
      <c r="B23" s="342"/>
      <c r="C23" s="343" t="str">
        <f t="shared" si="1"/>
        <v/>
      </c>
      <c r="D23" s="343"/>
      <c r="E23" s="344"/>
      <c r="F23" s="343"/>
      <c r="G23" s="343" t="str">
        <f t="shared" si="2"/>
        <v/>
      </c>
      <c r="H23" s="343" t="str">
        <f t="shared" si="0"/>
        <v/>
      </c>
    </row>
    <row r="24" spans="1:8" ht="30" hidden="1" customHeight="1" x14ac:dyDescent="0.25">
      <c r="A24" s="341"/>
      <c r="B24" s="342"/>
      <c r="C24" s="343" t="str">
        <f t="shared" si="1"/>
        <v/>
      </c>
      <c r="D24" s="343"/>
      <c r="E24" s="344"/>
      <c r="F24" s="343"/>
      <c r="G24" s="343" t="str">
        <f t="shared" si="2"/>
        <v/>
      </c>
      <c r="H24" s="343" t="str">
        <f t="shared" si="0"/>
        <v/>
      </c>
    </row>
    <row r="25" spans="1:8" ht="30" hidden="1" customHeight="1" x14ac:dyDescent="0.25">
      <c r="A25" s="341"/>
      <c r="B25" s="342"/>
      <c r="C25" s="343" t="str">
        <f t="shared" si="1"/>
        <v/>
      </c>
      <c r="D25" s="343"/>
      <c r="E25" s="344"/>
      <c r="F25" s="343"/>
      <c r="G25" s="343" t="str">
        <f t="shared" si="2"/>
        <v/>
      </c>
      <c r="H25" s="343" t="str">
        <f t="shared" si="0"/>
        <v/>
      </c>
    </row>
    <row r="26" spans="1:8" ht="30" hidden="1" customHeight="1" x14ac:dyDescent="0.25">
      <c r="A26" s="341"/>
      <c r="B26" s="342"/>
      <c r="C26" s="343" t="str">
        <f t="shared" si="1"/>
        <v/>
      </c>
      <c r="D26" s="343"/>
      <c r="E26" s="344"/>
      <c r="F26" s="343"/>
      <c r="G26" s="343" t="str">
        <f t="shared" si="2"/>
        <v/>
      </c>
      <c r="H26" s="343" t="str">
        <f t="shared" si="0"/>
        <v/>
      </c>
    </row>
    <row r="27" spans="1:8" ht="30" hidden="1" customHeight="1" x14ac:dyDescent="0.25">
      <c r="A27" s="341"/>
      <c r="B27" s="342"/>
      <c r="C27" s="343" t="str">
        <f t="shared" si="1"/>
        <v/>
      </c>
      <c r="D27" s="343"/>
      <c r="E27" s="344"/>
      <c r="F27" s="343"/>
      <c r="G27" s="343" t="str">
        <f t="shared" si="2"/>
        <v/>
      </c>
      <c r="H27" s="343" t="str">
        <f t="shared" si="0"/>
        <v/>
      </c>
    </row>
    <row r="28" spans="1:8" ht="30" hidden="1" customHeight="1" x14ac:dyDescent="0.25">
      <c r="A28" s="341"/>
      <c r="B28" s="342"/>
      <c r="C28" s="343" t="str">
        <f t="shared" si="1"/>
        <v/>
      </c>
      <c r="D28" s="343"/>
      <c r="E28" s="344"/>
      <c r="F28" s="343"/>
      <c r="G28" s="343" t="str">
        <f t="shared" si="2"/>
        <v/>
      </c>
      <c r="H28" s="343" t="str">
        <f t="shared" si="0"/>
        <v/>
      </c>
    </row>
    <row r="29" spans="1:8" ht="30" hidden="1" customHeight="1" x14ac:dyDescent="0.25">
      <c r="A29" s="341"/>
      <c r="B29" s="342"/>
      <c r="C29" s="343" t="str">
        <f t="shared" si="1"/>
        <v/>
      </c>
      <c r="D29" s="343"/>
      <c r="E29" s="344"/>
      <c r="F29" s="343"/>
      <c r="G29" s="343" t="str">
        <f t="shared" si="2"/>
        <v/>
      </c>
      <c r="H29" s="343" t="str">
        <f t="shared" si="0"/>
        <v/>
      </c>
    </row>
    <row r="30" spans="1:8" ht="30" hidden="1" customHeight="1" x14ac:dyDescent="0.25">
      <c r="A30" s="341"/>
      <c r="B30" s="342"/>
      <c r="C30" s="343" t="str">
        <f t="shared" si="1"/>
        <v/>
      </c>
      <c r="D30" s="343"/>
      <c r="E30" s="344"/>
      <c r="F30" s="343"/>
      <c r="G30" s="343" t="str">
        <f t="shared" si="2"/>
        <v/>
      </c>
      <c r="H30" s="343" t="str">
        <f t="shared" si="0"/>
        <v/>
      </c>
    </row>
    <row r="31" spans="1:8" ht="30" hidden="1" customHeight="1" x14ac:dyDescent="0.25">
      <c r="A31" s="341"/>
      <c r="B31" s="342"/>
      <c r="C31" s="343" t="str">
        <f t="shared" si="1"/>
        <v/>
      </c>
      <c r="D31" s="343"/>
      <c r="E31" s="344"/>
      <c r="F31" s="343"/>
      <c r="G31" s="343" t="str">
        <f t="shared" si="2"/>
        <v/>
      </c>
      <c r="H31" s="343" t="str">
        <f t="shared" si="0"/>
        <v/>
      </c>
    </row>
    <row r="32" spans="1:8" ht="30" hidden="1" customHeight="1" x14ac:dyDescent="0.25">
      <c r="A32" s="341"/>
      <c r="B32" s="342"/>
      <c r="C32" s="343" t="str">
        <f t="shared" si="1"/>
        <v/>
      </c>
      <c r="D32" s="343"/>
      <c r="E32" s="344"/>
      <c r="F32" s="343"/>
      <c r="G32" s="343" t="str">
        <f t="shared" si="2"/>
        <v/>
      </c>
      <c r="H32" s="343" t="str">
        <f t="shared" si="0"/>
        <v/>
      </c>
    </row>
    <row r="33" spans="1:8" ht="30" hidden="1" customHeight="1" x14ac:dyDescent="0.25">
      <c r="A33" s="341"/>
      <c r="B33" s="342"/>
      <c r="C33" s="343" t="str">
        <f t="shared" si="1"/>
        <v/>
      </c>
      <c r="D33" s="343"/>
      <c r="E33" s="344"/>
      <c r="F33" s="343"/>
      <c r="G33" s="343" t="str">
        <f t="shared" si="2"/>
        <v/>
      </c>
      <c r="H33" s="343" t="str">
        <f t="shared" si="0"/>
        <v/>
      </c>
    </row>
    <row r="34" spans="1:8" ht="30" hidden="1" customHeight="1" x14ac:dyDescent="0.25">
      <c r="A34" s="341"/>
      <c r="B34" s="342"/>
      <c r="C34" s="343" t="str">
        <f t="shared" si="1"/>
        <v/>
      </c>
      <c r="D34" s="343"/>
      <c r="E34" s="344"/>
      <c r="F34" s="343"/>
      <c r="G34" s="343" t="str">
        <f t="shared" si="2"/>
        <v/>
      </c>
      <c r="H34" s="343" t="str">
        <f t="shared" si="0"/>
        <v/>
      </c>
    </row>
    <row r="35" spans="1:8" ht="30" hidden="1" customHeight="1" x14ac:dyDescent="0.25">
      <c r="A35" s="341"/>
      <c r="B35" s="342"/>
      <c r="C35" s="343" t="str">
        <f t="shared" si="1"/>
        <v/>
      </c>
      <c r="D35" s="343"/>
      <c r="E35" s="344"/>
      <c r="F35" s="343"/>
      <c r="G35" s="343" t="str">
        <f t="shared" si="2"/>
        <v/>
      </c>
      <c r="H35" s="343" t="str">
        <f t="shared" si="0"/>
        <v/>
      </c>
    </row>
    <row r="36" spans="1:8" ht="30" hidden="1" customHeight="1" x14ac:dyDescent="0.25">
      <c r="A36" s="341"/>
      <c r="B36" s="342"/>
      <c r="C36" s="343" t="str">
        <f t="shared" si="1"/>
        <v/>
      </c>
      <c r="D36" s="343"/>
      <c r="E36" s="344"/>
      <c r="F36" s="343"/>
      <c r="G36" s="343" t="str">
        <f t="shared" si="2"/>
        <v/>
      </c>
      <c r="H36" s="343" t="str">
        <f t="shared" si="0"/>
        <v/>
      </c>
    </row>
    <row r="37" spans="1:8" ht="30" hidden="1" customHeight="1" x14ac:dyDescent="0.25">
      <c r="A37" s="341"/>
      <c r="B37" s="342"/>
      <c r="C37" s="343" t="str">
        <f t="shared" si="1"/>
        <v/>
      </c>
      <c r="D37" s="343"/>
      <c r="E37" s="344"/>
      <c r="F37" s="343"/>
      <c r="G37" s="343" t="str">
        <f t="shared" si="2"/>
        <v/>
      </c>
      <c r="H37" s="343" t="str">
        <f t="shared" si="0"/>
        <v/>
      </c>
    </row>
    <row r="38" spans="1:8" ht="30" hidden="1" customHeight="1" x14ac:dyDescent="0.25">
      <c r="A38" s="341"/>
      <c r="B38" s="342"/>
      <c r="C38" s="343" t="str">
        <f t="shared" si="1"/>
        <v/>
      </c>
      <c r="D38" s="343"/>
      <c r="E38" s="344"/>
      <c r="F38" s="343"/>
      <c r="G38" s="343" t="str">
        <f t="shared" si="2"/>
        <v/>
      </c>
      <c r="H38" s="343" t="str">
        <f t="shared" si="0"/>
        <v/>
      </c>
    </row>
    <row r="39" spans="1:8" ht="30" hidden="1" customHeight="1" x14ac:dyDescent="0.25">
      <c r="A39" s="341"/>
      <c r="B39" s="342"/>
      <c r="C39" s="343" t="str">
        <f t="shared" si="1"/>
        <v/>
      </c>
      <c r="D39" s="343"/>
      <c r="E39" s="344"/>
      <c r="F39" s="343"/>
      <c r="G39" s="343" t="str">
        <f t="shared" si="2"/>
        <v/>
      </c>
      <c r="H39" s="343" t="str">
        <f t="shared" si="0"/>
        <v/>
      </c>
    </row>
    <row r="40" spans="1:8" ht="30" hidden="1" customHeight="1" x14ac:dyDescent="0.25">
      <c r="A40" s="341"/>
      <c r="B40" s="342"/>
      <c r="C40" s="343" t="str">
        <f t="shared" si="1"/>
        <v/>
      </c>
      <c r="D40" s="343"/>
      <c r="E40" s="344"/>
      <c r="F40" s="343"/>
      <c r="G40" s="343" t="str">
        <f t="shared" si="2"/>
        <v/>
      </c>
      <c r="H40" s="343" t="str">
        <f t="shared" si="0"/>
        <v/>
      </c>
    </row>
    <row r="41" spans="1:8" ht="30" hidden="1" customHeight="1" x14ac:dyDescent="0.25">
      <c r="A41" s="341"/>
      <c r="B41" s="342"/>
      <c r="C41" s="343" t="str">
        <f t="shared" si="1"/>
        <v/>
      </c>
      <c r="D41" s="343"/>
      <c r="E41" s="344"/>
      <c r="F41" s="343"/>
      <c r="G41" s="343" t="str">
        <f t="shared" si="2"/>
        <v/>
      </c>
      <c r="H41" s="343" t="str">
        <f t="shared" si="0"/>
        <v/>
      </c>
    </row>
    <row r="42" spans="1:8" ht="30" hidden="1" customHeight="1" x14ac:dyDescent="0.25">
      <c r="A42" s="341"/>
      <c r="B42" s="342"/>
      <c r="C42" s="343" t="str">
        <f t="shared" si="1"/>
        <v/>
      </c>
      <c r="D42" s="343"/>
      <c r="E42" s="344"/>
      <c r="F42" s="343"/>
      <c r="G42" s="343" t="str">
        <f t="shared" si="2"/>
        <v/>
      </c>
      <c r="H42" s="343" t="str">
        <f t="shared" si="0"/>
        <v/>
      </c>
    </row>
    <row r="43" spans="1:8" ht="30" hidden="1" customHeight="1" x14ac:dyDescent="0.25">
      <c r="A43" s="341"/>
      <c r="B43" s="342"/>
      <c r="C43" s="343" t="str">
        <f t="shared" si="1"/>
        <v/>
      </c>
      <c r="D43" s="343"/>
      <c r="E43" s="344"/>
      <c r="F43" s="343"/>
      <c r="G43" s="343" t="str">
        <f t="shared" si="2"/>
        <v/>
      </c>
      <c r="H43" s="343" t="str">
        <f t="shared" si="0"/>
        <v/>
      </c>
    </row>
    <row r="44" spans="1:8" ht="30" hidden="1" customHeight="1" x14ac:dyDescent="0.25">
      <c r="A44" s="341"/>
      <c r="B44" s="342"/>
      <c r="C44" s="343" t="str">
        <f t="shared" si="1"/>
        <v/>
      </c>
      <c r="D44" s="343"/>
      <c r="E44" s="344"/>
      <c r="F44" s="343"/>
      <c r="G44" s="343" t="str">
        <f t="shared" si="2"/>
        <v/>
      </c>
      <c r="H44" s="343" t="str">
        <f t="shared" si="0"/>
        <v/>
      </c>
    </row>
    <row r="45" spans="1:8" ht="30" hidden="1" customHeight="1" x14ac:dyDescent="0.25">
      <c r="A45" s="341"/>
      <c r="B45" s="342"/>
      <c r="C45" s="343" t="str">
        <f t="shared" si="1"/>
        <v/>
      </c>
      <c r="D45" s="343"/>
      <c r="E45" s="344"/>
      <c r="F45" s="343"/>
      <c r="G45" s="343" t="str">
        <f t="shared" si="2"/>
        <v/>
      </c>
      <c r="H45" s="343" t="str">
        <f t="shared" si="0"/>
        <v/>
      </c>
    </row>
    <row r="46" spans="1:8" ht="30" hidden="1" customHeight="1" x14ac:dyDescent="0.25">
      <c r="A46" s="341"/>
      <c r="B46" s="342"/>
      <c r="C46" s="343" t="str">
        <f t="shared" si="1"/>
        <v/>
      </c>
      <c r="D46" s="343"/>
      <c r="E46" s="344"/>
      <c r="F46" s="343"/>
      <c r="G46" s="343" t="str">
        <f t="shared" si="2"/>
        <v/>
      </c>
      <c r="H46" s="343" t="str">
        <f t="shared" si="0"/>
        <v/>
      </c>
    </row>
    <row r="47" spans="1:8" ht="30" hidden="1" customHeight="1" x14ac:dyDescent="0.25">
      <c r="A47" s="341"/>
      <c r="B47" s="342"/>
      <c r="C47" s="343" t="str">
        <f t="shared" si="1"/>
        <v/>
      </c>
      <c r="D47" s="343"/>
      <c r="E47" s="344"/>
      <c r="F47" s="343"/>
      <c r="G47" s="343" t="str">
        <f t="shared" si="2"/>
        <v/>
      </c>
      <c r="H47" s="343" t="str">
        <f t="shared" si="0"/>
        <v/>
      </c>
    </row>
    <row r="48" spans="1:8" ht="30" hidden="1" customHeight="1" x14ac:dyDescent="0.25">
      <c r="A48" s="341"/>
      <c r="B48" s="342"/>
      <c r="C48" s="343" t="str">
        <f t="shared" si="1"/>
        <v/>
      </c>
      <c r="D48" s="343"/>
      <c r="E48" s="344"/>
      <c r="F48" s="343"/>
      <c r="G48" s="343" t="str">
        <f t="shared" si="2"/>
        <v/>
      </c>
      <c r="H48" s="343" t="str">
        <f t="shared" si="0"/>
        <v/>
      </c>
    </row>
    <row r="49" spans="1:8" ht="30" hidden="1" customHeight="1" x14ac:dyDescent="0.25">
      <c r="A49" s="341"/>
      <c r="B49" s="342"/>
      <c r="C49" s="343" t="str">
        <f t="shared" si="1"/>
        <v/>
      </c>
      <c r="D49" s="343"/>
      <c r="E49" s="344"/>
      <c r="F49" s="343"/>
      <c r="G49" s="343" t="str">
        <f t="shared" si="2"/>
        <v/>
      </c>
      <c r="H49" s="343" t="str">
        <f t="shared" si="0"/>
        <v/>
      </c>
    </row>
    <row r="50" spans="1:8" ht="30" hidden="1" customHeight="1" x14ac:dyDescent="0.25">
      <c r="A50" s="341"/>
      <c r="B50" s="342"/>
      <c r="C50" s="343" t="str">
        <f t="shared" si="1"/>
        <v/>
      </c>
      <c r="D50" s="343"/>
      <c r="E50" s="344"/>
      <c r="F50" s="343"/>
      <c r="G50" s="343" t="str">
        <f t="shared" si="2"/>
        <v/>
      </c>
      <c r="H50" s="343" t="str">
        <f t="shared" si="0"/>
        <v/>
      </c>
    </row>
    <row r="51" spans="1:8" ht="30" hidden="1" customHeight="1" x14ac:dyDescent="0.25">
      <c r="A51" s="341"/>
      <c r="B51" s="342"/>
      <c r="C51" s="343" t="str">
        <f t="shared" si="1"/>
        <v/>
      </c>
      <c r="D51" s="343"/>
      <c r="E51" s="344"/>
      <c r="F51" s="343"/>
      <c r="G51" s="343" t="str">
        <f t="shared" si="2"/>
        <v/>
      </c>
      <c r="H51" s="343" t="str">
        <f t="shared" si="0"/>
        <v/>
      </c>
    </row>
    <row r="52" spans="1:8" ht="30" hidden="1" customHeight="1" x14ac:dyDescent="0.25">
      <c r="A52" s="341"/>
      <c r="B52" s="342"/>
      <c r="C52" s="343" t="str">
        <f t="shared" si="1"/>
        <v/>
      </c>
      <c r="D52" s="343"/>
      <c r="E52" s="344"/>
      <c r="F52" s="343"/>
      <c r="G52" s="343" t="str">
        <f t="shared" si="2"/>
        <v/>
      </c>
      <c r="H52" s="343" t="str">
        <f t="shared" si="0"/>
        <v/>
      </c>
    </row>
    <row r="53" spans="1:8" ht="30" hidden="1" customHeight="1" x14ac:dyDescent="0.25">
      <c r="A53" s="341"/>
      <c r="B53" s="342"/>
      <c r="C53" s="343" t="str">
        <f t="shared" si="1"/>
        <v/>
      </c>
      <c r="D53" s="343"/>
      <c r="E53" s="344"/>
      <c r="F53" s="343"/>
      <c r="G53" s="343" t="str">
        <f t="shared" si="2"/>
        <v/>
      </c>
      <c r="H53" s="343" t="str">
        <f t="shared" si="0"/>
        <v/>
      </c>
    </row>
    <row r="54" spans="1:8" ht="30" hidden="1" customHeight="1" x14ac:dyDescent="0.25">
      <c r="A54" s="341"/>
      <c r="B54" s="342"/>
      <c r="C54" s="343" t="str">
        <f t="shared" si="1"/>
        <v/>
      </c>
      <c r="D54" s="343"/>
      <c r="E54" s="344"/>
      <c r="F54" s="343"/>
      <c r="G54" s="343" t="str">
        <f t="shared" si="2"/>
        <v/>
      </c>
      <c r="H54" s="343" t="str">
        <f t="shared" si="0"/>
        <v/>
      </c>
    </row>
    <row r="55" spans="1:8" ht="30" hidden="1" customHeight="1" x14ac:dyDescent="0.25">
      <c r="A55" s="341"/>
      <c r="B55" s="342"/>
      <c r="C55" s="343" t="str">
        <f t="shared" si="1"/>
        <v/>
      </c>
      <c r="D55" s="343"/>
      <c r="E55" s="344"/>
      <c r="F55" s="343"/>
      <c r="G55" s="343" t="str">
        <f t="shared" si="2"/>
        <v/>
      </c>
      <c r="H55" s="343" t="str">
        <f t="shared" si="0"/>
        <v/>
      </c>
    </row>
    <row r="56" spans="1:8" ht="30" hidden="1" customHeight="1" x14ac:dyDescent="0.25">
      <c r="A56" s="341"/>
      <c r="B56" s="342"/>
      <c r="C56" s="343" t="str">
        <f t="shared" si="1"/>
        <v/>
      </c>
      <c r="D56" s="343"/>
      <c r="E56" s="344"/>
      <c r="F56" s="343"/>
      <c r="G56" s="343" t="str">
        <f t="shared" si="2"/>
        <v/>
      </c>
      <c r="H56" s="343" t="str">
        <f t="shared" si="0"/>
        <v/>
      </c>
    </row>
    <row r="57" spans="1:8" ht="30" hidden="1" customHeight="1" x14ac:dyDescent="0.25">
      <c r="A57" s="341"/>
      <c r="B57" s="342"/>
      <c r="C57" s="343" t="str">
        <f t="shared" si="1"/>
        <v/>
      </c>
      <c r="D57" s="343"/>
      <c r="E57" s="344"/>
      <c r="F57" s="343"/>
      <c r="G57" s="343" t="str">
        <f t="shared" si="2"/>
        <v/>
      </c>
      <c r="H57" s="343" t="str">
        <f t="shared" si="0"/>
        <v/>
      </c>
    </row>
    <row r="58" spans="1:8" ht="30" hidden="1" customHeight="1" x14ac:dyDescent="0.25">
      <c r="A58" s="341"/>
      <c r="B58" s="342"/>
      <c r="C58" s="343" t="str">
        <f t="shared" si="1"/>
        <v/>
      </c>
      <c r="D58" s="343"/>
      <c r="E58" s="344"/>
      <c r="F58" s="343"/>
      <c r="G58" s="343" t="str">
        <f t="shared" si="2"/>
        <v/>
      </c>
      <c r="H58" s="343" t="str">
        <f t="shared" si="0"/>
        <v/>
      </c>
    </row>
    <row r="59" spans="1:8" ht="30" hidden="1" customHeight="1" x14ac:dyDescent="0.25">
      <c r="A59" s="341"/>
      <c r="B59" s="342"/>
      <c r="C59" s="343" t="str">
        <f t="shared" si="1"/>
        <v/>
      </c>
      <c r="D59" s="343"/>
      <c r="E59" s="344"/>
      <c r="F59" s="343"/>
      <c r="G59" s="343" t="str">
        <f t="shared" si="2"/>
        <v/>
      </c>
      <c r="H59" s="343" t="str">
        <f t="shared" si="0"/>
        <v/>
      </c>
    </row>
    <row r="60" spans="1:8" ht="30" hidden="1" customHeight="1" x14ac:dyDescent="0.25">
      <c r="A60" s="341"/>
      <c r="B60" s="342"/>
      <c r="C60" s="343" t="str">
        <f t="shared" si="1"/>
        <v/>
      </c>
      <c r="D60" s="343"/>
      <c r="E60" s="344"/>
      <c r="F60" s="343"/>
      <c r="G60" s="343" t="str">
        <f t="shared" si="2"/>
        <v/>
      </c>
      <c r="H60" s="343" t="str">
        <f t="shared" si="0"/>
        <v/>
      </c>
    </row>
    <row r="61" spans="1:8" ht="30" hidden="1" customHeight="1" x14ac:dyDescent="0.25">
      <c r="A61" s="341"/>
      <c r="B61" s="342"/>
      <c r="C61" s="343" t="str">
        <f t="shared" si="1"/>
        <v/>
      </c>
      <c r="D61" s="343"/>
      <c r="E61" s="344"/>
      <c r="F61" s="343"/>
      <c r="G61" s="343" t="str">
        <f t="shared" si="2"/>
        <v/>
      </c>
      <c r="H61" s="343" t="str">
        <f t="shared" si="0"/>
        <v/>
      </c>
    </row>
    <row r="62" spans="1:8" ht="30" hidden="1" customHeight="1" x14ac:dyDescent="0.25">
      <c r="A62" s="341"/>
      <c r="B62" s="342"/>
      <c r="C62" s="343" t="str">
        <f t="shared" si="1"/>
        <v/>
      </c>
      <c r="D62" s="343"/>
      <c r="E62" s="344"/>
      <c r="F62" s="343"/>
      <c r="G62" s="343" t="str">
        <f t="shared" si="2"/>
        <v/>
      </c>
      <c r="H62" s="343" t="str">
        <f t="shared" si="0"/>
        <v/>
      </c>
    </row>
    <row r="63" spans="1:8" ht="30" hidden="1" customHeight="1" x14ac:dyDescent="0.25">
      <c r="A63" s="341"/>
      <c r="B63" s="342"/>
      <c r="C63" s="343" t="str">
        <f t="shared" si="1"/>
        <v/>
      </c>
      <c r="D63" s="343"/>
      <c r="E63" s="344"/>
      <c r="F63" s="343"/>
      <c r="G63" s="343" t="str">
        <f t="shared" si="2"/>
        <v/>
      </c>
      <c r="H63" s="343" t="str">
        <f t="shared" si="0"/>
        <v/>
      </c>
    </row>
    <row r="64" spans="1:8" ht="30" hidden="1" customHeight="1" x14ac:dyDescent="0.25">
      <c r="A64" s="341"/>
      <c r="B64" s="342"/>
      <c r="C64" s="343" t="str">
        <f t="shared" si="1"/>
        <v/>
      </c>
      <c r="D64" s="343"/>
      <c r="E64" s="344"/>
      <c r="F64" s="343"/>
      <c r="G64" s="343" t="str">
        <f t="shared" si="2"/>
        <v/>
      </c>
      <c r="H64" s="343" t="str">
        <f t="shared" si="0"/>
        <v/>
      </c>
    </row>
    <row r="65" spans="1:8" ht="30" hidden="1" customHeight="1" x14ac:dyDescent="0.25">
      <c r="A65" s="341"/>
      <c r="B65" s="342"/>
      <c r="C65" s="343" t="str">
        <f t="shared" si="1"/>
        <v/>
      </c>
      <c r="D65" s="343"/>
      <c r="E65" s="344"/>
      <c r="F65" s="343"/>
      <c r="G65" s="343" t="str">
        <f t="shared" si="2"/>
        <v/>
      </c>
      <c r="H65" s="343" t="str">
        <f t="shared" si="0"/>
        <v/>
      </c>
    </row>
    <row r="66" spans="1:8" ht="30" hidden="1" customHeight="1" x14ac:dyDescent="0.25">
      <c r="A66" s="341"/>
      <c r="B66" s="342"/>
      <c r="C66" s="343" t="str">
        <f t="shared" si="1"/>
        <v/>
      </c>
      <c r="D66" s="343"/>
      <c r="E66" s="344"/>
      <c r="F66" s="343"/>
      <c r="G66" s="343" t="str">
        <f t="shared" si="2"/>
        <v/>
      </c>
      <c r="H66" s="343" t="str">
        <f t="shared" si="0"/>
        <v/>
      </c>
    </row>
    <row r="67" spans="1:8" ht="30" hidden="1" customHeight="1" x14ac:dyDescent="0.25">
      <c r="A67" s="341"/>
      <c r="B67" s="342"/>
      <c r="C67" s="343" t="str">
        <f t="shared" si="1"/>
        <v/>
      </c>
      <c r="D67" s="343"/>
      <c r="E67" s="344"/>
      <c r="F67" s="343"/>
      <c r="G67" s="343" t="str">
        <f t="shared" si="2"/>
        <v/>
      </c>
      <c r="H67" s="343" t="str">
        <f t="shared" si="0"/>
        <v/>
      </c>
    </row>
    <row r="68" spans="1:8" ht="30" hidden="1" customHeight="1" x14ac:dyDescent="0.25">
      <c r="A68" s="341"/>
      <c r="B68" s="342"/>
      <c r="C68" s="343" t="str">
        <f t="shared" si="1"/>
        <v/>
      </c>
      <c r="D68" s="343"/>
      <c r="E68" s="344"/>
      <c r="F68" s="343"/>
      <c r="G68" s="343" t="str">
        <f t="shared" si="2"/>
        <v/>
      </c>
      <c r="H68" s="343" t="str">
        <f t="shared" si="0"/>
        <v/>
      </c>
    </row>
    <row r="69" spans="1:8" ht="30" hidden="1" customHeight="1" x14ac:dyDescent="0.25">
      <c r="A69" s="341"/>
      <c r="B69" s="342"/>
      <c r="C69" s="343" t="str">
        <f t="shared" si="1"/>
        <v/>
      </c>
      <c r="D69" s="343"/>
      <c r="E69" s="344"/>
      <c r="F69" s="343"/>
      <c r="G69" s="343" t="str">
        <f t="shared" si="2"/>
        <v/>
      </c>
      <c r="H69" s="343" t="str">
        <f t="shared" si="0"/>
        <v/>
      </c>
    </row>
    <row r="70" spans="1:8" ht="30" hidden="1" customHeight="1" x14ac:dyDescent="0.25">
      <c r="A70" s="341" t="s">
        <v>119</v>
      </c>
      <c r="B70" s="342"/>
      <c r="C70" s="343"/>
      <c r="D70" s="343"/>
      <c r="E70" s="344"/>
      <c r="F70" s="343"/>
      <c r="G70" s="343"/>
      <c r="H70" s="343">
        <v>0</v>
      </c>
    </row>
    <row r="71" spans="1:8" ht="15" customHeight="1" x14ac:dyDescent="0.25">
      <c r="A71" s="380" t="s">
        <v>60</v>
      </c>
      <c r="B71" s="381"/>
      <c r="C71" s="382"/>
      <c r="D71" s="381"/>
      <c r="E71" s="381"/>
      <c r="F71" s="381"/>
      <c r="G71" s="383" t="s">
        <v>61</v>
      </c>
      <c r="H71" s="356">
        <f>ROUNDDOWN(SUM(H10:H70),0)</f>
        <v>673</v>
      </c>
    </row>
    <row r="72" spans="1:8" ht="15" customHeight="1" x14ac:dyDescent="0.25">
      <c r="A72" s="4"/>
      <c r="B72" s="384">
        <f>ROUND(SUM(C10:C70)/H71*3600,2)</f>
        <v>81.52</v>
      </c>
      <c r="C72" s="4"/>
      <c r="D72" s="4"/>
      <c r="E72" s="4"/>
      <c r="F72" s="386"/>
      <c r="G72" s="387" t="s">
        <v>85</v>
      </c>
      <c r="H72" s="385">
        <f>H71/86400</f>
        <v>7.789351851851852E-3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99"/>
  </sheetPr>
  <dimension ref="A1:H72"/>
  <sheetViews>
    <sheetView view="pageBreakPreview" zoomScaleSheetLayoutView="100" workbookViewId="0">
      <selection activeCell="D72" sqref="D7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336" t="str">
        <f>_ДС2</f>
        <v>ДС-2 РДС Старая Смоленская дорога</v>
      </c>
      <c r="B1" s="335"/>
      <c r="C1" s="335"/>
      <c r="D1" s="335"/>
      <c r="E1" s="335"/>
      <c r="F1" s="335"/>
      <c r="G1" s="337"/>
      <c r="H1" s="338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339" t="s">
        <v>53</v>
      </c>
      <c r="B9" s="340" t="s">
        <v>54</v>
      </c>
      <c r="C9" s="340" t="s">
        <v>55</v>
      </c>
      <c r="D9" s="340" t="s">
        <v>56</v>
      </c>
      <c r="E9" s="340" t="s">
        <v>57</v>
      </c>
      <c r="F9" s="340" t="s">
        <v>37</v>
      </c>
      <c r="G9" s="340" t="s">
        <v>58</v>
      </c>
      <c r="H9" s="340" t="s">
        <v>59</v>
      </c>
    </row>
    <row r="10" spans="1:8" ht="30" customHeight="1" x14ac:dyDescent="0.25">
      <c r="A10" s="341" t="s">
        <v>497</v>
      </c>
      <c r="B10" s="342">
        <v>15.239999999999998</v>
      </c>
      <c r="C10" s="343">
        <f>IF(ISNUMBER(B11),B11-B10,"")</f>
        <v>2.4400000000000013</v>
      </c>
      <c r="D10" s="343">
        <v>90</v>
      </c>
      <c r="E10" s="343"/>
      <c r="F10" s="343">
        <v>-3</v>
      </c>
      <c r="G10" s="343">
        <f>IF(C10&lt;&gt;"",D10*IF(ISNUMBER(E10),E10,1)+IF(ISNUMBER(F10),F10,0),"")</f>
        <v>87</v>
      </c>
      <c r="H10" s="343">
        <f t="shared" ref="H10:H69" si="0">IF(G10&lt;&gt;"",ROUNDDOWN(C10/G10*3600,округлениеРД),"")</f>
        <v>100.96550000000001</v>
      </c>
    </row>
    <row r="11" spans="1:8" ht="30" customHeight="1" x14ac:dyDescent="0.25">
      <c r="A11" s="341" t="s">
        <v>490</v>
      </c>
      <c r="B11" s="342">
        <v>17.68</v>
      </c>
      <c r="C11" s="343">
        <f t="shared" ref="C11:C69" si="1">IF(ISNUMBER(B12),B12-B11,"")</f>
        <v>1.3900000000000006</v>
      </c>
      <c r="D11" s="343">
        <v>60</v>
      </c>
      <c r="E11" s="344"/>
      <c r="F11" s="343">
        <v>-3</v>
      </c>
      <c r="G11" s="343">
        <f t="shared" ref="G11:G69" si="2">IF(C11&lt;&gt;"",D11*IF(ISNUMBER(E11),E11,1)+IF(ISNUMBER(F11),F11,0),"")</f>
        <v>57</v>
      </c>
      <c r="H11" s="343">
        <f t="shared" si="0"/>
        <v>87.789400000000001</v>
      </c>
    </row>
    <row r="12" spans="1:8" ht="30" customHeight="1" x14ac:dyDescent="0.25">
      <c r="A12" s="341" t="s">
        <v>491</v>
      </c>
      <c r="B12" s="342">
        <v>19.07</v>
      </c>
      <c r="C12" s="343">
        <f t="shared" si="1"/>
        <v>0.35999999999999943</v>
      </c>
      <c r="D12" s="343">
        <v>90</v>
      </c>
      <c r="E12" s="344"/>
      <c r="F12" s="343">
        <v>-3</v>
      </c>
      <c r="G12" s="343">
        <f t="shared" si="2"/>
        <v>87</v>
      </c>
      <c r="H12" s="343">
        <f t="shared" si="0"/>
        <v>14.8965</v>
      </c>
    </row>
    <row r="13" spans="1:8" ht="30" customHeight="1" x14ac:dyDescent="0.25">
      <c r="A13" s="341" t="s">
        <v>492</v>
      </c>
      <c r="B13" s="342">
        <v>19.43</v>
      </c>
      <c r="C13" s="343">
        <f t="shared" si="1"/>
        <v>0.83999999999999986</v>
      </c>
      <c r="D13" s="343">
        <v>60</v>
      </c>
      <c r="E13" s="344"/>
      <c r="F13" s="343">
        <v>-3</v>
      </c>
      <c r="G13" s="343">
        <f t="shared" si="2"/>
        <v>57</v>
      </c>
      <c r="H13" s="343">
        <f t="shared" si="0"/>
        <v>53.052599999999998</v>
      </c>
    </row>
    <row r="14" spans="1:8" ht="30" customHeight="1" x14ac:dyDescent="0.25">
      <c r="A14" s="341" t="str">
        <f>"Поз. " &amp; 'Сектор 2'!A19 &amp; " ДК, ПДД=90 км/ч, Попово оконч., V=80% ПДД"</f>
        <v>Поз. 19 ДК, ПДД=90 км/ч, Попово оконч., V=80% ПДД</v>
      </c>
      <c r="B14" s="342">
        <v>20.27</v>
      </c>
      <c r="C14" s="343">
        <f t="shared" si="1"/>
        <v>3.5100000000000016</v>
      </c>
      <c r="D14" s="343">
        <v>90</v>
      </c>
      <c r="E14" s="344">
        <v>0.80000001192092896</v>
      </c>
      <c r="F14" s="343"/>
      <c r="G14" s="343">
        <f t="shared" si="2"/>
        <v>72.000001072883606</v>
      </c>
      <c r="H14" s="343">
        <f t="shared" si="0"/>
        <v>175.4999</v>
      </c>
    </row>
    <row r="15" spans="1:8" ht="30" customHeight="1" x14ac:dyDescent="0.25">
      <c r="A15" s="341" t="s">
        <v>493</v>
      </c>
      <c r="B15" s="342">
        <v>23.78</v>
      </c>
      <c r="C15" s="343">
        <f t="shared" si="1"/>
        <v>1.019999999999996</v>
      </c>
      <c r="D15" s="343">
        <v>60</v>
      </c>
      <c r="E15" s="344">
        <v>0.80000001192092896</v>
      </c>
      <c r="F15" s="343"/>
      <c r="G15" s="343">
        <f t="shared" si="2"/>
        <v>48.000000715255737</v>
      </c>
      <c r="H15" s="343">
        <f t="shared" si="0"/>
        <v>76.499899999999997</v>
      </c>
    </row>
    <row r="16" spans="1:8" ht="30" customHeight="1" x14ac:dyDescent="0.25">
      <c r="A16" s="341" t="s">
        <v>504</v>
      </c>
      <c r="B16" s="342">
        <v>24.799999999999997</v>
      </c>
      <c r="C16" s="343">
        <f t="shared" si="1"/>
        <v>9.0000000000003411E-2</v>
      </c>
      <c r="D16" s="343">
        <v>40</v>
      </c>
      <c r="E16" s="344">
        <v>0.80000001192092896</v>
      </c>
      <c r="F16" s="343"/>
      <c r="G16" s="343">
        <f t="shared" si="2"/>
        <v>32.000000476837158</v>
      </c>
      <c r="H16" s="343">
        <f t="shared" si="0"/>
        <v>10.1249</v>
      </c>
    </row>
    <row r="17" spans="1:8" ht="30" customHeight="1" x14ac:dyDescent="0.25">
      <c r="A17" s="341" t="s">
        <v>505</v>
      </c>
      <c r="B17" s="342">
        <v>24.89</v>
      </c>
      <c r="C17" s="343">
        <f t="shared" si="1"/>
        <v>0.21000000000000085</v>
      </c>
      <c r="D17" s="343">
        <v>20</v>
      </c>
      <c r="E17" s="344">
        <v>0.80000001192092896</v>
      </c>
      <c r="F17" s="343"/>
      <c r="G17" s="343">
        <f t="shared" si="2"/>
        <v>16.000000238418579</v>
      </c>
      <c r="H17" s="343">
        <f t="shared" si="0"/>
        <v>47.249899999999997</v>
      </c>
    </row>
    <row r="18" spans="1:8" ht="30" customHeight="1" x14ac:dyDescent="0.25">
      <c r="A18" s="341" t="s">
        <v>504</v>
      </c>
      <c r="B18" s="342">
        <v>25.1</v>
      </c>
      <c r="C18" s="343">
        <f t="shared" si="1"/>
        <v>7.0000000000000284E-2</v>
      </c>
      <c r="D18" s="343">
        <v>40</v>
      </c>
      <c r="E18" s="344">
        <v>0.80000001192092896</v>
      </c>
      <c r="F18" s="343"/>
      <c r="G18" s="343">
        <f t="shared" si="2"/>
        <v>32.000000476837158</v>
      </c>
      <c r="H18" s="343">
        <f t="shared" si="0"/>
        <v>7.8749000000000002</v>
      </c>
    </row>
    <row r="19" spans="1:8" ht="30" customHeight="1" x14ac:dyDescent="0.25">
      <c r="A19" s="341" t="s">
        <v>505</v>
      </c>
      <c r="B19" s="342">
        <v>25.17</v>
      </c>
      <c r="C19" s="343">
        <f t="shared" si="1"/>
        <v>0.5</v>
      </c>
      <c r="D19" s="343">
        <v>20</v>
      </c>
      <c r="E19" s="344">
        <v>0.80000001192092896</v>
      </c>
      <c r="F19" s="343"/>
      <c r="G19" s="343">
        <f t="shared" si="2"/>
        <v>16.000000238418579</v>
      </c>
      <c r="H19" s="343">
        <f t="shared" si="0"/>
        <v>112.4999</v>
      </c>
    </row>
    <row r="20" spans="1:8" ht="30" customHeight="1" x14ac:dyDescent="0.25">
      <c r="A20" s="341" t="s">
        <v>504</v>
      </c>
      <c r="B20" s="342">
        <v>25.67</v>
      </c>
      <c r="C20" s="343">
        <f t="shared" si="1"/>
        <v>5.9999999999995168E-2</v>
      </c>
      <c r="D20" s="343">
        <v>40</v>
      </c>
      <c r="E20" s="344">
        <v>0.80000001192092896</v>
      </c>
      <c r="F20" s="343"/>
      <c r="G20" s="343">
        <f t="shared" si="2"/>
        <v>32.000000476837158</v>
      </c>
      <c r="H20" s="343">
        <f t="shared" si="0"/>
        <v>6.7499000000000002</v>
      </c>
    </row>
    <row r="21" spans="1:8" ht="30" customHeight="1" x14ac:dyDescent="0.25">
      <c r="A21" s="341" t="str">
        <f>"Поз. " &amp; 'Сектор 2'!A26 &amp; " ДК, V=75% ПДД"</f>
        <v>Поз. 20 ДК, V=75% ПДД</v>
      </c>
      <c r="B21" s="342">
        <v>25.729999999999997</v>
      </c>
      <c r="C21" s="343">
        <f t="shared" si="1"/>
        <v>0.25</v>
      </c>
      <c r="D21" s="343">
        <v>40</v>
      </c>
      <c r="E21" s="344">
        <v>0.75</v>
      </c>
      <c r="F21" s="343"/>
      <c r="G21" s="343">
        <f t="shared" si="2"/>
        <v>30</v>
      </c>
      <c r="H21" s="343">
        <f t="shared" si="0"/>
        <v>30</v>
      </c>
    </row>
    <row r="22" spans="1:8" ht="30" customHeight="1" x14ac:dyDescent="0.25">
      <c r="A22" s="341" t="s">
        <v>506</v>
      </c>
      <c r="B22" s="342">
        <v>25.979999999999997</v>
      </c>
      <c r="C22" s="343">
        <f t="shared" si="1"/>
        <v>0.22000000000000597</v>
      </c>
      <c r="D22" s="343">
        <v>60</v>
      </c>
      <c r="E22" s="344">
        <v>0.75</v>
      </c>
      <c r="F22" s="343"/>
      <c r="G22" s="343">
        <f t="shared" si="2"/>
        <v>45</v>
      </c>
      <c r="H22" s="343">
        <f t="shared" si="0"/>
        <v>17.600000000000001</v>
      </c>
    </row>
    <row r="23" spans="1:8" ht="30" customHeight="1" x14ac:dyDescent="0.25">
      <c r="A23" s="341" t="s">
        <v>504</v>
      </c>
      <c r="B23" s="342">
        <v>26.200000000000003</v>
      </c>
      <c r="C23" s="343">
        <f t="shared" si="1"/>
        <v>3.9999999999999147E-2</v>
      </c>
      <c r="D23" s="343">
        <v>40</v>
      </c>
      <c r="E23" s="344">
        <v>0.75</v>
      </c>
      <c r="F23" s="343"/>
      <c r="G23" s="343">
        <f t="shared" si="2"/>
        <v>30</v>
      </c>
      <c r="H23" s="343">
        <f t="shared" si="0"/>
        <v>4.7999000000000001</v>
      </c>
    </row>
    <row r="24" spans="1:8" ht="30" customHeight="1" x14ac:dyDescent="0.25">
      <c r="A24" s="341" t="s">
        <v>505</v>
      </c>
      <c r="B24" s="342">
        <v>26.240000000000002</v>
      </c>
      <c r="C24" s="343">
        <f t="shared" si="1"/>
        <v>0.14000000000000057</v>
      </c>
      <c r="D24" s="343">
        <v>20</v>
      </c>
      <c r="E24" s="344">
        <v>0.75</v>
      </c>
      <c r="F24" s="343"/>
      <c r="G24" s="343">
        <f t="shared" si="2"/>
        <v>15</v>
      </c>
      <c r="H24" s="343">
        <f t="shared" si="0"/>
        <v>33.6</v>
      </c>
    </row>
    <row r="25" spans="1:8" ht="30" customHeight="1" x14ac:dyDescent="0.25">
      <c r="A25" s="341" t="s">
        <v>506</v>
      </c>
      <c r="B25" s="342">
        <v>26.380000000000003</v>
      </c>
      <c r="C25" s="343">
        <f t="shared" si="1"/>
        <v>2.7099999999999937</v>
      </c>
      <c r="D25" s="343">
        <v>60</v>
      </c>
      <c r="E25" s="344">
        <v>0.75</v>
      </c>
      <c r="F25" s="343"/>
      <c r="G25" s="343">
        <f t="shared" si="2"/>
        <v>45</v>
      </c>
      <c r="H25" s="343">
        <f t="shared" si="0"/>
        <v>216.79990000000001</v>
      </c>
    </row>
    <row r="26" spans="1:8" ht="30" customHeight="1" x14ac:dyDescent="0.25">
      <c r="A26" s="341" t="s">
        <v>494</v>
      </c>
      <c r="B26" s="342">
        <v>29.089999999999996</v>
      </c>
      <c r="C26" s="343">
        <f t="shared" si="1"/>
        <v>0.75</v>
      </c>
      <c r="D26" s="343">
        <v>90</v>
      </c>
      <c r="E26" s="344">
        <v>0.75</v>
      </c>
      <c r="F26" s="343"/>
      <c r="G26" s="343">
        <f t="shared" si="2"/>
        <v>67.5</v>
      </c>
      <c r="H26" s="343">
        <f t="shared" si="0"/>
        <v>40</v>
      </c>
    </row>
    <row r="27" spans="1:8" ht="30" customHeight="1" x14ac:dyDescent="0.25">
      <c r="A27" s="341" t="s">
        <v>559</v>
      </c>
      <c r="B27" s="342">
        <v>29.839999999999996</v>
      </c>
      <c r="C27" s="343">
        <f t="shared" si="1"/>
        <v>0.39000000000000057</v>
      </c>
      <c r="D27" s="343">
        <v>60</v>
      </c>
      <c r="E27" s="344">
        <v>0.75</v>
      </c>
      <c r="F27" s="343"/>
      <c r="G27" s="343">
        <f t="shared" si="2"/>
        <v>45</v>
      </c>
      <c r="H27" s="343">
        <f t="shared" si="0"/>
        <v>31.2</v>
      </c>
    </row>
    <row r="28" spans="1:8" ht="30" customHeight="1" x14ac:dyDescent="0.25">
      <c r="A28" s="341" t="s">
        <v>560</v>
      </c>
      <c r="B28" s="342">
        <v>30.229999999999997</v>
      </c>
      <c r="C28" s="343">
        <f t="shared" si="1"/>
        <v>3.1000000000000014</v>
      </c>
      <c r="D28" s="343">
        <v>90</v>
      </c>
      <c r="E28" s="344">
        <v>0.75</v>
      </c>
      <c r="F28" s="343"/>
      <c r="G28" s="343">
        <f t="shared" si="2"/>
        <v>67.5</v>
      </c>
      <c r="H28" s="343">
        <f t="shared" si="0"/>
        <v>165.33330000000001</v>
      </c>
    </row>
    <row r="29" spans="1:8" ht="30" customHeight="1" x14ac:dyDescent="0.25">
      <c r="A29" s="341" t="s">
        <v>278</v>
      </c>
      <c r="B29" s="342">
        <v>33.33</v>
      </c>
      <c r="C29" s="343" t="str">
        <f t="shared" si="1"/>
        <v/>
      </c>
      <c r="D29" s="343"/>
      <c r="E29" s="344"/>
      <c r="F29" s="343"/>
      <c r="G29" s="343" t="str">
        <f t="shared" si="2"/>
        <v/>
      </c>
      <c r="H29" s="343" t="str">
        <f t="shared" si="0"/>
        <v/>
      </c>
    </row>
    <row r="30" spans="1:8" ht="30" hidden="1" customHeight="1" x14ac:dyDescent="0.25">
      <c r="A30" s="341"/>
      <c r="B30" s="342"/>
      <c r="C30" s="343" t="str">
        <f t="shared" si="1"/>
        <v/>
      </c>
      <c r="D30" s="343"/>
      <c r="E30" s="344"/>
      <c r="F30" s="343"/>
      <c r="G30" s="343" t="str">
        <f t="shared" si="2"/>
        <v/>
      </c>
      <c r="H30" s="343" t="str">
        <f t="shared" si="0"/>
        <v/>
      </c>
    </row>
    <row r="31" spans="1:8" ht="30" hidden="1" customHeight="1" x14ac:dyDescent="0.25">
      <c r="A31" s="341"/>
      <c r="B31" s="342"/>
      <c r="C31" s="343" t="str">
        <f t="shared" si="1"/>
        <v/>
      </c>
      <c r="D31" s="343"/>
      <c r="E31" s="344"/>
      <c r="F31" s="343"/>
      <c r="G31" s="343" t="str">
        <f t="shared" si="2"/>
        <v/>
      </c>
      <c r="H31" s="343" t="str">
        <f t="shared" si="0"/>
        <v/>
      </c>
    </row>
    <row r="32" spans="1:8" ht="30" hidden="1" customHeight="1" x14ac:dyDescent="0.25">
      <c r="A32" s="341"/>
      <c r="B32" s="342"/>
      <c r="C32" s="343" t="str">
        <f t="shared" si="1"/>
        <v/>
      </c>
      <c r="D32" s="343"/>
      <c r="E32" s="344"/>
      <c r="F32" s="343"/>
      <c r="G32" s="343" t="str">
        <f t="shared" si="2"/>
        <v/>
      </c>
      <c r="H32" s="343" t="str">
        <f t="shared" si="0"/>
        <v/>
      </c>
    </row>
    <row r="33" spans="1:8" ht="30" hidden="1" customHeight="1" x14ac:dyDescent="0.25">
      <c r="A33" s="341"/>
      <c r="B33" s="342"/>
      <c r="C33" s="343" t="str">
        <f t="shared" si="1"/>
        <v/>
      </c>
      <c r="D33" s="343"/>
      <c r="E33" s="344"/>
      <c r="F33" s="343"/>
      <c r="G33" s="343" t="str">
        <f t="shared" si="2"/>
        <v/>
      </c>
      <c r="H33" s="343" t="str">
        <f t="shared" si="0"/>
        <v/>
      </c>
    </row>
    <row r="34" spans="1:8" ht="30" hidden="1" customHeight="1" x14ac:dyDescent="0.25">
      <c r="A34" s="341"/>
      <c r="B34" s="342"/>
      <c r="C34" s="343" t="str">
        <f t="shared" si="1"/>
        <v/>
      </c>
      <c r="D34" s="343"/>
      <c r="E34" s="344"/>
      <c r="F34" s="343"/>
      <c r="G34" s="343" t="str">
        <f t="shared" si="2"/>
        <v/>
      </c>
      <c r="H34" s="343" t="str">
        <f t="shared" si="0"/>
        <v/>
      </c>
    </row>
    <row r="35" spans="1:8" ht="30" hidden="1" customHeight="1" x14ac:dyDescent="0.25">
      <c r="A35" s="341"/>
      <c r="B35" s="342"/>
      <c r="C35" s="343" t="str">
        <f t="shared" si="1"/>
        <v/>
      </c>
      <c r="D35" s="343"/>
      <c r="E35" s="344"/>
      <c r="F35" s="343"/>
      <c r="G35" s="343" t="str">
        <f t="shared" si="2"/>
        <v/>
      </c>
      <c r="H35" s="343" t="str">
        <f t="shared" si="0"/>
        <v/>
      </c>
    </row>
    <row r="36" spans="1:8" ht="30" hidden="1" customHeight="1" x14ac:dyDescent="0.25">
      <c r="A36" s="341"/>
      <c r="B36" s="342"/>
      <c r="C36" s="343" t="str">
        <f t="shared" si="1"/>
        <v/>
      </c>
      <c r="D36" s="343"/>
      <c r="E36" s="344"/>
      <c r="F36" s="343"/>
      <c r="G36" s="343" t="str">
        <f t="shared" si="2"/>
        <v/>
      </c>
      <c r="H36" s="343" t="str">
        <f t="shared" si="0"/>
        <v/>
      </c>
    </row>
    <row r="37" spans="1:8" ht="30" hidden="1" customHeight="1" x14ac:dyDescent="0.25">
      <c r="A37" s="341"/>
      <c r="B37" s="342"/>
      <c r="C37" s="343" t="str">
        <f t="shared" si="1"/>
        <v/>
      </c>
      <c r="D37" s="343"/>
      <c r="E37" s="344"/>
      <c r="F37" s="343"/>
      <c r="G37" s="343" t="str">
        <f t="shared" si="2"/>
        <v/>
      </c>
      <c r="H37" s="343" t="str">
        <f t="shared" si="0"/>
        <v/>
      </c>
    </row>
    <row r="38" spans="1:8" ht="30" hidden="1" customHeight="1" x14ac:dyDescent="0.25">
      <c r="A38" s="341"/>
      <c r="B38" s="342"/>
      <c r="C38" s="343" t="str">
        <f t="shared" si="1"/>
        <v/>
      </c>
      <c r="D38" s="343"/>
      <c r="E38" s="344"/>
      <c r="F38" s="343"/>
      <c r="G38" s="343" t="str">
        <f t="shared" si="2"/>
        <v/>
      </c>
      <c r="H38" s="343" t="str">
        <f t="shared" si="0"/>
        <v/>
      </c>
    </row>
    <row r="39" spans="1:8" ht="30" hidden="1" customHeight="1" x14ac:dyDescent="0.25">
      <c r="A39" s="341"/>
      <c r="B39" s="342"/>
      <c r="C39" s="343" t="str">
        <f t="shared" si="1"/>
        <v/>
      </c>
      <c r="D39" s="343"/>
      <c r="E39" s="344"/>
      <c r="F39" s="343"/>
      <c r="G39" s="343" t="str">
        <f t="shared" si="2"/>
        <v/>
      </c>
      <c r="H39" s="343" t="str">
        <f t="shared" si="0"/>
        <v/>
      </c>
    </row>
    <row r="40" spans="1:8" ht="30" hidden="1" customHeight="1" x14ac:dyDescent="0.25">
      <c r="A40" s="341"/>
      <c r="B40" s="342"/>
      <c r="C40" s="343" t="str">
        <f t="shared" si="1"/>
        <v/>
      </c>
      <c r="D40" s="343"/>
      <c r="E40" s="344"/>
      <c r="F40" s="343"/>
      <c r="G40" s="343" t="str">
        <f t="shared" si="2"/>
        <v/>
      </c>
      <c r="H40" s="343" t="str">
        <f t="shared" si="0"/>
        <v/>
      </c>
    </row>
    <row r="41" spans="1:8" ht="30" hidden="1" customHeight="1" x14ac:dyDescent="0.25">
      <c r="A41" s="341"/>
      <c r="B41" s="342"/>
      <c r="C41" s="343" t="str">
        <f t="shared" si="1"/>
        <v/>
      </c>
      <c r="D41" s="343"/>
      <c r="E41" s="344"/>
      <c r="F41" s="343"/>
      <c r="G41" s="343" t="str">
        <f t="shared" si="2"/>
        <v/>
      </c>
      <c r="H41" s="343" t="str">
        <f t="shared" si="0"/>
        <v/>
      </c>
    </row>
    <row r="42" spans="1:8" ht="30" hidden="1" customHeight="1" x14ac:dyDescent="0.25">
      <c r="A42" s="341"/>
      <c r="B42" s="342"/>
      <c r="C42" s="343" t="str">
        <f t="shared" si="1"/>
        <v/>
      </c>
      <c r="D42" s="343"/>
      <c r="E42" s="344"/>
      <c r="F42" s="343"/>
      <c r="G42" s="343" t="str">
        <f t="shared" si="2"/>
        <v/>
      </c>
      <c r="H42" s="343" t="str">
        <f t="shared" si="0"/>
        <v/>
      </c>
    </row>
    <row r="43" spans="1:8" ht="30" hidden="1" customHeight="1" x14ac:dyDescent="0.25">
      <c r="A43" s="341"/>
      <c r="B43" s="342"/>
      <c r="C43" s="343" t="str">
        <f t="shared" si="1"/>
        <v/>
      </c>
      <c r="D43" s="343"/>
      <c r="E43" s="344"/>
      <c r="F43" s="343"/>
      <c r="G43" s="343" t="str">
        <f t="shared" si="2"/>
        <v/>
      </c>
      <c r="H43" s="343" t="str">
        <f t="shared" si="0"/>
        <v/>
      </c>
    </row>
    <row r="44" spans="1:8" ht="30" hidden="1" customHeight="1" x14ac:dyDescent="0.25">
      <c r="A44" s="341"/>
      <c r="B44" s="342"/>
      <c r="C44" s="343" t="str">
        <f t="shared" si="1"/>
        <v/>
      </c>
      <c r="D44" s="343"/>
      <c r="E44" s="344"/>
      <c r="F44" s="343"/>
      <c r="G44" s="343" t="str">
        <f t="shared" si="2"/>
        <v/>
      </c>
      <c r="H44" s="343" t="str">
        <f t="shared" si="0"/>
        <v/>
      </c>
    </row>
    <row r="45" spans="1:8" ht="30" hidden="1" customHeight="1" x14ac:dyDescent="0.25">
      <c r="A45" s="341"/>
      <c r="B45" s="342"/>
      <c r="C45" s="343" t="str">
        <f t="shared" si="1"/>
        <v/>
      </c>
      <c r="D45" s="343"/>
      <c r="E45" s="344"/>
      <c r="F45" s="343"/>
      <c r="G45" s="343" t="str">
        <f t="shared" si="2"/>
        <v/>
      </c>
      <c r="H45" s="343" t="str">
        <f t="shared" si="0"/>
        <v/>
      </c>
    </row>
    <row r="46" spans="1:8" ht="30" hidden="1" customHeight="1" x14ac:dyDescent="0.25">
      <c r="A46" s="341"/>
      <c r="B46" s="342"/>
      <c r="C46" s="343" t="str">
        <f t="shared" si="1"/>
        <v/>
      </c>
      <c r="D46" s="343"/>
      <c r="E46" s="344"/>
      <c r="F46" s="343"/>
      <c r="G46" s="343" t="str">
        <f t="shared" si="2"/>
        <v/>
      </c>
      <c r="H46" s="343" t="str">
        <f t="shared" si="0"/>
        <v/>
      </c>
    </row>
    <row r="47" spans="1:8" ht="30" hidden="1" customHeight="1" x14ac:dyDescent="0.25">
      <c r="A47" s="341"/>
      <c r="B47" s="342"/>
      <c r="C47" s="343" t="str">
        <f t="shared" si="1"/>
        <v/>
      </c>
      <c r="D47" s="343"/>
      <c r="E47" s="344"/>
      <c r="F47" s="343"/>
      <c r="G47" s="343" t="str">
        <f t="shared" si="2"/>
        <v/>
      </c>
      <c r="H47" s="343" t="str">
        <f t="shared" si="0"/>
        <v/>
      </c>
    </row>
    <row r="48" spans="1:8" ht="30" hidden="1" customHeight="1" x14ac:dyDescent="0.25">
      <c r="A48" s="341"/>
      <c r="B48" s="342"/>
      <c r="C48" s="343" t="str">
        <f t="shared" si="1"/>
        <v/>
      </c>
      <c r="D48" s="343"/>
      <c r="E48" s="344"/>
      <c r="F48" s="343"/>
      <c r="G48" s="343" t="str">
        <f t="shared" si="2"/>
        <v/>
      </c>
      <c r="H48" s="343" t="str">
        <f t="shared" si="0"/>
        <v/>
      </c>
    </row>
    <row r="49" spans="1:8" ht="30" hidden="1" customHeight="1" x14ac:dyDescent="0.25">
      <c r="A49" s="341"/>
      <c r="B49" s="342"/>
      <c r="C49" s="343" t="str">
        <f t="shared" si="1"/>
        <v/>
      </c>
      <c r="D49" s="343"/>
      <c r="E49" s="344"/>
      <c r="F49" s="343"/>
      <c r="G49" s="343" t="str">
        <f t="shared" si="2"/>
        <v/>
      </c>
      <c r="H49" s="343" t="str">
        <f t="shared" si="0"/>
        <v/>
      </c>
    </row>
    <row r="50" spans="1:8" ht="30" hidden="1" customHeight="1" x14ac:dyDescent="0.25">
      <c r="A50" s="341"/>
      <c r="B50" s="342"/>
      <c r="C50" s="343" t="str">
        <f t="shared" si="1"/>
        <v/>
      </c>
      <c r="D50" s="343"/>
      <c r="E50" s="344"/>
      <c r="F50" s="343"/>
      <c r="G50" s="343" t="str">
        <f t="shared" si="2"/>
        <v/>
      </c>
      <c r="H50" s="343" t="str">
        <f t="shared" si="0"/>
        <v/>
      </c>
    </row>
    <row r="51" spans="1:8" ht="30" hidden="1" customHeight="1" x14ac:dyDescent="0.25">
      <c r="A51" s="341"/>
      <c r="B51" s="342"/>
      <c r="C51" s="343" t="str">
        <f t="shared" si="1"/>
        <v/>
      </c>
      <c r="D51" s="343"/>
      <c r="E51" s="344"/>
      <c r="F51" s="343"/>
      <c r="G51" s="343" t="str">
        <f t="shared" si="2"/>
        <v/>
      </c>
      <c r="H51" s="343" t="str">
        <f t="shared" si="0"/>
        <v/>
      </c>
    </row>
    <row r="52" spans="1:8" ht="30" hidden="1" customHeight="1" x14ac:dyDescent="0.25">
      <c r="A52" s="341"/>
      <c r="B52" s="342"/>
      <c r="C52" s="343" t="str">
        <f t="shared" si="1"/>
        <v/>
      </c>
      <c r="D52" s="343"/>
      <c r="E52" s="344"/>
      <c r="F52" s="343"/>
      <c r="G52" s="343" t="str">
        <f t="shared" si="2"/>
        <v/>
      </c>
      <c r="H52" s="343" t="str">
        <f t="shared" si="0"/>
        <v/>
      </c>
    </row>
    <row r="53" spans="1:8" ht="30" hidden="1" customHeight="1" x14ac:dyDescent="0.25">
      <c r="A53" s="341"/>
      <c r="B53" s="342"/>
      <c r="C53" s="343" t="str">
        <f t="shared" si="1"/>
        <v/>
      </c>
      <c r="D53" s="343"/>
      <c r="E53" s="344"/>
      <c r="F53" s="343"/>
      <c r="G53" s="343" t="str">
        <f t="shared" si="2"/>
        <v/>
      </c>
      <c r="H53" s="343" t="str">
        <f t="shared" si="0"/>
        <v/>
      </c>
    </row>
    <row r="54" spans="1:8" ht="30" hidden="1" customHeight="1" x14ac:dyDescent="0.25">
      <c r="A54" s="341"/>
      <c r="B54" s="342"/>
      <c r="C54" s="343" t="str">
        <f t="shared" si="1"/>
        <v/>
      </c>
      <c r="D54" s="343"/>
      <c r="E54" s="344"/>
      <c r="F54" s="343"/>
      <c r="G54" s="343" t="str">
        <f t="shared" si="2"/>
        <v/>
      </c>
      <c r="H54" s="343" t="str">
        <f t="shared" si="0"/>
        <v/>
      </c>
    </row>
    <row r="55" spans="1:8" ht="30" hidden="1" customHeight="1" x14ac:dyDescent="0.25">
      <c r="A55" s="341"/>
      <c r="B55" s="342"/>
      <c r="C55" s="343" t="str">
        <f t="shared" si="1"/>
        <v/>
      </c>
      <c r="D55" s="343"/>
      <c r="E55" s="344"/>
      <c r="F55" s="343"/>
      <c r="G55" s="343" t="str">
        <f t="shared" si="2"/>
        <v/>
      </c>
      <c r="H55" s="343" t="str">
        <f t="shared" si="0"/>
        <v/>
      </c>
    </row>
    <row r="56" spans="1:8" ht="30" hidden="1" customHeight="1" x14ac:dyDescent="0.25">
      <c r="A56" s="341"/>
      <c r="B56" s="342"/>
      <c r="C56" s="343" t="str">
        <f t="shared" si="1"/>
        <v/>
      </c>
      <c r="D56" s="343"/>
      <c r="E56" s="344"/>
      <c r="F56" s="343"/>
      <c r="G56" s="343" t="str">
        <f t="shared" si="2"/>
        <v/>
      </c>
      <c r="H56" s="343" t="str">
        <f t="shared" si="0"/>
        <v/>
      </c>
    </row>
    <row r="57" spans="1:8" ht="30" hidden="1" customHeight="1" x14ac:dyDescent="0.25">
      <c r="A57" s="341"/>
      <c r="B57" s="342"/>
      <c r="C57" s="343" t="str">
        <f t="shared" si="1"/>
        <v/>
      </c>
      <c r="D57" s="343"/>
      <c r="E57" s="344"/>
      <c r="F57" s="343"/>
      <c r="G57" s="343" t="str">
        <f t="shared" si="2"/>
        <v/>
      </c>
      <c r="H57" s="343" t="str">
        <f t="shared" si="0"/>
        <v/>
      </c>
    </row>
    <row r="58" spans="1:8" ht="30" hidden="1" customHeight="1" x14ac:dyDescent="0.25">
      <c r="A58" s="341"/>
      <c r="B58" s="342"/>
      <c r="C58" s="343" t="str">
        <f t="shared" si="1"/>
        <v/>
      </c>
      <c r="D58" s="343"/>
      <c r="E58" s="344"/>
      <c r="F58" s="343"/>
      <c r="G58" s="343" t="str">
        <f t="shared" si="2"/>
        <v/>
      </c>
      <c r="H58" s="343" t="str">
        <f t="shared" si="0"/>
        <v/>
      </c>
    </row>
    <row r="59" spans="1:8" ht="30" hidden="1" customHeight="1" x14ac:dyDescent="0.25">
      <c r="A59" s="341"/>
      <c r="B59" s="342"/>
      <c r="C59" s="343" t="str">
        <f t="shared" si="1"/>
        <v/>
      </c>
      <c r="D59" s="343"/>
      <c r="E59" s="344"/>
      <c r="F59" s="343"/>
      <c r="G59" s="343" t="str">
        <f t="shared" si="2"/>
        <v/>
      </c>
      <c r="H59" s="343" t="str">
        <f t="shared" si="0"/>
        <v/>
      </c>
    </row>
    <row r="60" spans="1:8" ht="30" hidden="1" customHeight="1" x14ac:dyDescent="0.25">
      <c r="A60" s="341"/>
      <c r="B60" s="342"/>
      <c r="C60" s="343" t="str">
        <f t="shared" si="1"/>
        <v/>
      </c>
      <c r="D60" s="343"/>
      <c r="E60" s="344"/>
      <c r="F60" s="343"/>
      <c r="G60" s="343" t="str">
        <f t="shared" si="2"/>
        <v/>
      </c>
      <c r="H60" s="343" t="str">
        <f t="shared" si="0"/>
        <v/>
      </c>
    </row>
    <row r="61" spans="1:8" ht="30" hidden="1" customHeight="1" x14ac:dyDescent="0.25">
      <c r="A61" s="341"/>
      <c r="B61" s="342"/>
      <c r="C61" s="343" t="str">
        <f t="shared" si="1"/>
        <v/>
      </c>
      <c r="D61" s="343"/>
      <c r="E61" s="344"/>
      <c r="F61" s="343"/>
      <c r="G61" s="343" t="str">
        <f t="shared" si="2"/>
        <v/>
      </c>
      <c r="H61" s="343" t="str">
        <f t="shared" si="0"/>
        <v/>
      </c>
    </row>
    <row r="62" spans="1:8" ht="30" hidden="1" customHeight="1" x14ac:dyDescent="0.25">
      <c r="A62" s="341"/>
      <c r="B62" s="342"/>
      <c r="C62" s="343" t="str">
        <f t="shared" si="1"/>
        <v/>
      </c>
      <c r="D62" s="343"/>
      <c r="E62" s="344"/>
      <c r="F62" s="343"/>
      <c r="G62" s="343" t="str">
        <f t="shared" si="2"/>
        <v/>
      </c>
      <c r="H62" s="343" t="str">
        <f t="shared" si="0"/>
        <v/>
      </c>
    </row>
    <row r="63" spans="1:8" ht="30" hidden="1" customHeight="1" x14ac:dyDescent="0.25">
      <c r="A63" s="341"/>
      <c r="B63" s="342"/>
      <c r="C63" s="343" t="str">
        <f t="shared" si="1"/>
        <v/>
      </c>
      <c r="D63" s="343"/>
      <c r="E63" s="344"/>
      <c r="F63" s="343"/>
      <c r="G63" s="343" t="str">
        <f t="shared" si="2"/>
        <v/>
      </c>
      <c r="H63" s="343" t="str">
        <f t="shared" si="0"/>
        <v/>
      </c>
    </row>
    <row r="64" spans="1:8" ht="30" hidden="1" customHeight="1" x14ac:dyDescent="0.25">
      <c r="A64" s="341"/>
      <c r="B64" s="342"/>
      <c r="C64" s="343" t="str">
        <f t="shared" si="1"/>
        <v/>
      </c>
      <c r="D64" s="343"/>
      <c r="E64" s="344"/>
      <c r="F64" s="343"/>
      <c r="G64" s="343" t="str">
        <f t="shared" si="2"/>
        <v/>
      </c>
      <c r="H64" s="343" t="str">
        <f t="shared" si="0"/>
        <v/>
      </c>
    </row>
    <row r="65" spans="1:8" ht="30" hidden="1" customHeight="1" x14ac:dyDescent="0.25">
      <c r="A65" s="341"/>
      <c r="B65" s="342"/>
      <c r="C65" s="343" t="str">
        <f t="shared" si="1"/>
        <v/>
      </c>
      <c r="D65" s="343"/>
      <c r="E65" s="344"/>
      <c r="F65" s="343"/>
      <c r="G65" s="343" t="str">
        <f t="shared" si="2"/>
        <v/>
      </c>
      <c r="H65" s="343" t="str">
        <f t="shared" si="0"/>
        <v/>
      </c>
    </row>
    <row r="66" spans="1:8" ht="30" hidden="1" customHeight="1" x14ac:dyDescent="0.25">
      <c r="A66" s="341"/>
      <c r="B66" s="342"/>
      <c r="C66" s="343" t="str">
        <f t="shared" si="1"/>
        <v/>
      </c>
      <c r="D66" s="343"/>
      <c r="E66" s="344"/>
      <c r="F66" s="343"/>
      <c r="G66" s="343" t="str">
        <f t="shared" si="2"/>
        <v/>
      </c>
      <c r="H66" s="343" t="str">
        <f t="shared" si="0"/>
        <v/>
      </c>
    </row>
    <row r="67" spans="1:8" ht="30" hidden="1" customHeight="1" x14ac:dyDescent="0.25">
      <c r="A67" s="341"/>
      <c r="B67" s="342"/>
      <c r="C67" s="343" t="str">
        <f t="shared" si="1"/>
        <v/>
      </c>
      <c r="D67" s="343"/>
      <c r="E67" s="344"/>
      <c r="F67" s="343"/>
      <c r="G67" s="343" t="str">
        <f t="shared" si="2"/>
        <v/>
      </c>
      <c r="H67" s="343" t="str">
        <f t="shared" si="0"/>
        <v/>
      </c>
    </row>
    <row r="68" spans="1:8" ht="30" hidden="1" customHeight="1" x14ac:dyDescent="0.25">
      <c r="A68" s="341"/>
      <c r="B68" s="342"/>
      <c r="C68" s="343" t="str">
        <f t="shared" si="1"/>
        <v/>
      </c>
      <c r="D68" s="343"/>
      <c r="E68" s="344"/>
      <c r="F68" s="343"/>
      <c r="G68" s="343" t="str">
        <f t="shared" si="2"/>
        <v/>
      </c>
      <c r="H68" s="343" t="str">
        <f t="shared" si="0"/>
        <v/>
      </c>
    </row>
    <row r="69" spans="1:8" ht="30" hidden="1" customHeight="1" x14ac:dyDescent="0.25">
      <c r="A69" s="341"/>
      <c r="B69" s="342"/>
      <c r="C69" s="343" t="str">
        <f t="shared" si="1"/>
        <v/>
      </c>
      <c r="D69" s="343"/>
      <c r="E69" s="344"/>
      <c r="F69" s="343"/>
      <c r="G69" s="343" t="str">
        <f t="shared" si="2"/>
        <v/>
      </c>
      <c r="H69" s="343" t="str">
        <f t="shared" si="0"/>
        <v/>
      </c>
    </row>
    <row r="70" spans="1:8" ht="30" hidden="1" customHeight="1" x14ac:dyDescent="0.25">
      <c r="A70" s="341" t="s">
        <v>119</v>
      </c>
      <c r="B70" s="342"/>
      <c r="C70" s="343"/>
      <c r="D70" s="343"/>
      <c r="E70" s="344"/>
      <c r="F70" s="343"/>
      <c r="G70" s="343"/>
      <c r="H70" s="343">
        <v>0</v>
      </c>
    </row>
    <row r="71" spans="1:8" ht="15" customHeight="1" x14ac:dyDescent="0.25">
      <c r="A71" s="380" t="s">
        <v>60</v>
      </c>
      <c r="B71" s="381"/>
      <c r="C71" s="382"/>
      <c r="D71" s="381"/>
      <c r="E71" s="381"/>
      <c r="F71" s="381"/>
      <c r="G71" s="383" t="s">
        <v>61</v>
      </c>
      <c r="H71" s="356">
        <f>ROUNDDOWN(SUM(H10:H70),0)</f>
        <v>1232</v>
      </c>
    </row>
    <row r="72" spans="1:8" ht="15" customHeight="1" x14ac:dyDescent="0.25">
      <c r="A72" s="4"/>
      <c r="B72" s="384">
        <f>ROUND(SUM(C10:C70)/H71*3600,2)</f>
        <v>52.86</v>
      </c>
      <c r="C72" s="4"/>
      <c r="D72" s="4"/>
      <c r="E72" s="4"/>
      <c r="F72" s="386"/>
      <c r="G72" s="387" t="s">
        <v>85</v>
      </c>
      <c r="H72" s="385">
        <f>H71/86400</f>
        <v>1.425925925925926E-2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99"/>
  </sheetPr>
  <dimension ref="A1:H72"/>
  <sheetViews>
    <sheetView view="pageBreakPreview" topLeftCell="A71" zoomScaleSheetLayoutView="100" workbookViewId="0">
      <selection activeCell="D72" sqref="D7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336" t="str">
        <f>_ДС3</f>
        <v>ДС-3 РДС Быльники</v>
      </c>
      <c r="B1" s="335"/>
      <c r="C1" s="335"/>
      <c r="D1" s="335"/>
      <c r="E1" s="335"/>
      <c r="F1" s="335"/>
      <c r="G1" s="337"/>
      <c r="H1" s="338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339" t="s">
        <v>53</v>
      </c>
      <c r="B9" s="340" t="s">
        <v>54</v>
      </c>
      <c r="C9" s="340" t="s">
        <v>55</v>
      </c>
      <c r="D9" s="340" t="s">
        <v>56</v>
      </c>
      <c r="E9" s="340" t="s">
        <v>57</v>
      </c>
      <c r="F9" s="340" t="s">
        <v>37</v>
      </c>
      <c r="G9" s="340" t="s">
        <v>58</v>
      </c>
      <c r="H9" s="340" t="s">
        <v>59</v>
      </c>
    </row>
    <row r="10" spans="1:8" ht="30" customHeight="1" x14ac:dyDescent="0.25">
      <c r="A10" s="341" t="str">
        <f>"Поз. " &amp; 'Сектор 5'!A10 &amp; " ДК, старт ДС, , V=70 км/ч"</f>
        <v>Поз. 38 ДК, старт ДС, , V=70 км/ч</v>
      </c>
      <c r="B10" s="342">
        <v>0</v>
      </c>
      <c r="C10" s="343">
        <f>IF(ISNUMBER(B11),B11-B10,"")</f>
        <v>4.04</v>
      </c>
      <c r="D10" s="343">
        <v>70</v>
      </c>
      <c r="E10" s="343"/>
      <c r="F10" s="343"/>
      <c r="G10" s="343">
        <f>IF(C10&lt;&gt;"",D10*IF(ISNUMBER(E10),E10,1)+IF(ISNUMBER(F10),F10,0),"")</f>
        <v>70</v>
      </c>
      <c r="H10" s="343">
        <f t="shared" ref="H10:H69" si="0">IF(G10&lt;&gt;"",ROUNDDOWN(C10/G10*3600,округлениеРД),"")</f>
        <v>207.7714</v>
      </c>
    </row>
    <row r="11" spans="1:8" ht="30" customHeight="1" x14ac:dyDescent="0.25">
      <c r="A11" s="341" t="str">
        <f>"Поз. " &amp; 'Сектор 5'!A14 &amp; " ДК, V=100% ПДД"</f>
        <v>Поз. 42 ДК, V=100% ПДД</v>
      </c>
      <c r="B11" s="342">
        <v>4.04</v>
      </c>
      <c r="C11" s="343">
        <f t="shared" ref="C11:C69" si="1">IF(ISNUMBER(B12),B12-B11,"")</f>
        <v>2.1100000000000003</v>
      </c>
      <c r="D11" s="343">
        <v>90</v>
      </c>
      <c r="E11" s="344"/>
      <c r="F11" s="343"/>
      <c r="G11" s="343">
        <f t="shared" ref="G11:G69" si="2">IF(C11&lt;&gt;"",D11*IF(ISNUMBER(E11),E11,1)+IF(ISNUMBER(F11),F11,0),"")</f>
        <v>90</v>
      </c>
      <c r="H11" s="343">
        <f t="shared" si="0"/>
        <v>84.4</v>
      </c>
    </row>
    <row r="12" spans="1:8" ht="30" customHeight="1" x14ac:dyDescent="0.25">
      <c r="A12" s="341" t="s">
        <v>520</v>
      </c>
      <c r="B12" s="342">
        <v>6.15</v>
      </c>
      <c r="C12" s="343">
        <f t="shared" si="1"/>
        <v>0.36999999999999922</v>
      </c>
      <c r="D12" s="343">
        <v>70</v>
      </c>
      <c r="E12" s="344"/>
      <c r="F12" s="343"/>
      <c r="G12" s="343">
        <f t="shared" si="2"/>
        <v>70</v>
      </c>
      <c r="H12" s="343">
        <f t="shared" si="0"/>
        <v>19.028500000000001</v>
      </c>
    </row>
    <row r="13" spans="1:8" ht="30" customHeight="1" x14ac:dyDescent="0.25">
      <c r="A13" s="341" t="str">
        <f>"Поз. " &amp; 'Сектор 5'!A17 &amp; " ДК, V=55 км/ч"</f>
        <v>Поз. 44 ДК, V=55 км/ч</v>
      </c>
      <c r="B13" s="342">
        <v>6.52</v>
      </c>
      <c r="C13" s="343">
        <f t="shared" si="1"/>
        <v>1.9000000000000004</v>
      </c>
      <c r="D13" s="343">
        <v>55</v>
      </c>
      <c r="E13" s="344"/>
      <c r="F13" s="343"/>
      <c r="G13" s="343">
        <f t="shared" si="2"/>
        <v>55</v>
      </c>
      <c r="H13" s="343">
        <f t="shared" si="0"/>
        <v>124.36360000000001</v>
      </c>
    </row>
    <row r="14" spans="1:8" ht="30" customHeight="1" x14ac:dyDescent="0.25">
      <c r="A14" s="341" t="str">
        <f>"Поз. " &amp; 'Сектор 5'!A20 &amp; " ДК, V=80% ПДД"</f>
        <v>Поз. 46 ДК, V=80% ПДД</v>
      </c>
      <c r="B14" s="342">
        <v>8.42</v>
      </c>
      <c r="C14" s="343">
        <f t="shared" si="1"/>
        <v>6.0000000000000497E-2</v>
      </c>
      <c r="D14" s="343">
        <v>60</v>
      </c>
      <c r="E14" s="344">
        <v>0.80000001192092896</v>
      </c>
      <c r="F14" s="343"/>
      <c r="G14" s="343">
        <f t="shared" si="2"/>
        <v>48.000000715255737</v>
      </c>
      <c r="H14" s="343">
        <f t="shared" si="0"/>
        <v>4.4999000000000002</v>
      </c>
    </row>
    <row r="15" spans="1:8" ht="30" customHeight="1" x14ac:dyDescent="0.25">
      <c r="A15" s="341" t="s">
        <v>504</v>
      </c>
      <c r="B15" s="342">
        <v>8.48</v>
      </c>
      <c r="C15" s="343">
        <f t="shared" si="1"/>
        <v>1.9999999999999574E-2</v>
      </c>
      <c r="D15" s="343">
        <v>40</v>
      </c>
      <c r="E15" s="344">
        <v>0.80000001192092896</v>
      </c>
      <c r="F15" s="343"/>
      <c r="G15" s="343">
        <f t="shared" si="2"/>
        <v>32.000000476837158</v>
      </c>
      <c r="H15" s="343">
        <f t="shared" si="0"/>
        <v>2.2498999999999998</v>
      </c>
    </row>
    <row r="16" spans="1:8" ht="30" customHeight="1" x14ac:dyDescent="0.25">
      <c r="A16" s="341" t="s">
        <v>505</v>
      </c>
      <c r="B16" s="342">
        <v>8.5</v>
      </c>
      <c r="C16" s="343">
        <f t="shared" si="1"/>
        <v>7.0000000000000284E-2</v>
      </c>
      <c r="D16" s="343">
        <v>20</v>
      </c>
      <c r="E16" s="344">
        <v>0.80000001192092896</v>
      </c>
      <c r="F16" s="343"/>
      <c r="G16" s="343">
        <f t="shared" si="2"/>
        <v>16.000000238418579</v>
      </c>
      <c r="H16" s="343">
        <f t="shared" si="0"/>
        <v>15.7499</v>
      </c>
    </row>
    <row r="17" spans="1:8" ht="30" customHeight="1" x14ac:dyDescent="0.25">
      <c r="A17" s="341" t="s">
        <v>505</v>
      </c>
      <c r="B17" s="342">
        <v>8.57</v>
      </c>
      <c r="C17" s="343">
        <f t="shared" si="1"/>
        <v>9.9999999999997868E-3</v>
      </c>
      <c r="D17" s="343">
        <v>20</v>
      </c>
      <c r="E17" s="344">
        <v>0.80000001192092896</v>
      </c>
      <c r="F17" s="343"/>
      <c r="G17" s="343">
        <f t="shared" si="2"/>
        <v>16.000000238418579</v>
      </c>
      <c r="H17" s="343">
        <f t="shared" si="0"/>
        <v>2.2498999999999998</v>
      </c>
    </row>
    <row r="18" spans="1:8" ht="30" customHeight="1" x14ac:dyDescent="0.25">
      <c r="A18" s="341" t="s">
        <v>521</v>
      </c>
      <c r="B18" s="342">
        <v>8.58</v>
      </c>
      <c r="C18" s="343">
        <f t="shared" si="1"/>
        <v>0.16000000000000014</v>
      </c>
      <c r="D18" s="343">
        <v>60</v>
      </c>
      <c r="E18" s="344">
        <v>0.80000001192092896</v>
      </c>
      <c r="F18" s="343"/>
      <c r="G18" s="343">
        <f t="shared" si="2"/>
        <v>48.000000715255737</v>
      </c>
      <c r="H18" s="343">
        <f t="shared" si="0"/>
        <v>11.9999</v>
      </c>
    </row>
    <row r="19" spans="1:8" ht="30" customHeight="1" x14ac:dyDescent="0.25">
      <c r="A19" s="341" t="s">
        <v>522</v>
      </c>
      <c r="B19" s="342">
        <v>8.74</v>
      </c>
      <c r="C19" s="343">
        <f t="shared" si="1"/>
        <v>0.16000000000000014</v>
      </c>
      <c r="D19" s="343">
        <v>50</v>
      </c>
      <c r="E19" s="344">
        <v>0.80000001192092896</v>
      </c>
      <c r="F19" s="343"/>
      <c r="G19" s="343">
        <f t="shared" si="2"/>
        <v>40.000000596046448</v>
      </c>
      <c r="H19" s="343">
        <f t="shared" si="0"/>
        <v>14.399900000000001</v>
      </c>
    </row>
    <row r="20" spans="1:8" ht="30" customHeight="1" x14ac:dyDescent="0.25">
      <c r="A20" s="341" t="s">
        <v>525</v>
      </c>
      <c r="B20" s="342">
        <v>8.9</v>
      </c>
      <c r="C20" s="343">
        <f t="shared" si="1"/>
        <v>9.9999999999997868E-3</v>
      </c>
      <c r="D20" s="343">
        <v>60</v>
      </c>
      <c r="E20" s="344">
        <v>0.80000001192092896</v>
      </c>
      <c r="F20" s="343"/>
      <c r="G20" s="343">
        <f t="shared" si="2"/>
        <v>48.000000715255737</v>
      </c>
      <c r="H20" s="343">
        <f t="shared" si="0"/>
        <v>0.74990000000000001</v>
      </c>
    </row>
    <row r="21" spans="1:8" ht="30" customHeight="1" x14ac:dyDescent="0.25">
      <c r="A21" s="341" t="s">
        <v>522</v>
      </c>
      <c r="B21" s="342">
        <v>8.91</v>
      </c>
      <c r="C21" s="343">
        <f t="shared" si="1"/>
        <v>8.9999999999999858E-2</v>
      </c>
      <c r="D21" s="343">
        <v>50</v>
      </c>
      <c r="E21" s="344">
        <v>0.80000001192092896</v>
      </c>
      <c r="F21" s="343"/>
      <c r="G21" s="343">
        <f t="shared" si="2"/>
        <v>40.000000596046448</v>
      </c>
      <c r="H21" s="343">
        <f t="shared" si="0"/>
        <v>8.0998999999999999</v>
      </c>
    </row>
    <row r="22" spans="1:8" ht="30" customHeight="1" x14ac:dyDescent="0.25">
      <c r="A22" s="341" t="s">
        <v>523</v>
      </c>
      <c r="B22" s="342">
        <v>9</v>
      </c>
      <c r="C22" s="343">
        <f t="shared" si="1"/>
        <v>9.9999999999999645E-2</v>
      </c>
      <c r="D22" s="343">
        <v>90</v>
      </c>
      <c r="E22" s="344">
        <v>0.80000001192092896</v>
      </c>
      <c r="F22" s="343"/>
      <c r="G22" s="343">
        <f t="shared" si="2"/>
        <v>72.000001072883606</v>
      </c>
      <c r="H22" s="343">
        <f t="shared" si="0"/>
        <v>4.9999000000000002</v>
      </c>
    </row>
    <row r="23" spans="1:8" ht="30" customHeight="1" x14ac:dyDescent="0.25">
      <c r="A23" s="341" t="s">
        <v>524</v>
      </c>
      <c r="B23" s="342">
        <v>9.1</v>
      </c>
      <c r="C23" s="343">
        <f t="shared" si="1"/>
        <v>0.11000000000000121</v>
      </c>
      <c r="D23" s="343">
        <v>60</v>
      </c>
      <c r="E23" s="344">
        <v>0.80000001192092896</v>
      </c>
      <c r="F23" s="343"/>
      <c r="G23" s="343">
        <f t="shared" si="2"/>
        <v>48.000000715255737</v>
      </c>
      <c r="H23" s="343">
        <f t="shared" si="0"/>
        <v>8.2499000000000002</v>
      </c>
    </row>
    <row r="24" spans="1:8" ht="30" customHeight="1" x14ac:dyDescent="0.25">
      <c r="A24" s="341" t="s">
        <v>522</v>
      </c>
      <c r="B24" s="342">
        <v>9.2100000000000009</v>
      </c>
      <c r="C24" s="343">
        <f t="shared" si="1"/>
        <v>0.16999999999999993</v>
      </c>
      <c r="D24" s="343">
        <v>50</v>
      </c>
      <c r="E24" s="344">
        <v>0.80000001192092896</v>
      </c>
      <c r="F24" s="343"/>
      <c r="G24" s="343">
        <f t="shared" si="2"/>
        <v>40.000000596046448</v>
      </c>
      <c r="H24" s="343">
        <f t="shared" si="0"/>
        <v>15.299899999999999</v>
      </c>
    </row>
    <row r="25" spans="1:8" ht="30" customHeight="1" x14ac:dyDescent="0.25">
      <c r="A25" s="341" t="s">
        <v>525</v>
      </c>
      <c r="B25" s="342">
        <v>9.3800000000000008</v>
      </c>
      <c r="C25" s="343">
        <f t="shared" si="1"/>
        <v>0.36999999999999922</v>
      </c>
      <c r="D25" s="343">
        <v>60</v>
      </c>
      <c r="E25" s="344">
        <v>0.80000001192092896</v>
      </c>
      <c r="F25" s="343"/>
      <c r="G25" s="343">
        <f t="shared" si="2"/>
        <v>48.000000715255737</v>
      </c>
      <c r="H25" s="343">
        <f t="shared" si="0"/>
        <v>27.7499</v>
      </c>
    </row>
    <row r="26" spans="1:8" ht="30" customHeight="1" x14ac:dyDescent="0.25">
      <c r="A26" s="341" t="str">
        <f>"Поз. " &amp; 'Сектор 5'!A32 &amp; " ДК, V=60% ПДД"</f>
        <v>Поз. 47 ДК, V=60% ПДД</v>
      </c>
      <c r="B26" s="342">
        <v>9.75</v>
      </c>
      <c r="C26" s="343">
        <f t="shared" si="1"/>
        <v>0.5</v>
      </c>
      <c r="D26" s="343">
        <v>60</v>
      </c>
      <c r="E26" s="344">
        <v>0.60000002384185791</v>
      </c>
      <c r="F26" s="343"/>
      <c r="G26" s="343">
        <f t="shared" si="2"/>
        <v>36.000001430511475</v>
      </c>
      <c r="H26" s="343">
        <f t="shared" si="0"/>
        <v>49.999899999999997</v>
      </c>
    </row>
    <row r="27" spans="1:8" ht="30" customHeight="1" x14ac:dyDescent="0.25">
      <c r="A27" s="341" t="s">
        <v>497</v>
      </c>
      <c r="B27" s="342">
        <v>10.25</v>
      </c>
      <c r="C27" s="343" t="str">
        <f t="shared" si="1"/>
        <v/>
      </c>
      <c r="D27" s="343"/>
      <c r="E27" s="344"/>
      <c r="F27" s="343"/>
      <c r="G27" s="343" t="str">
        <f t="shared" si="2"/>
        <v/>
      </c>
      <c r="H27" s="343" t="str">
        <f t="shared" si="0"/>
        <v/>
      </c>
    </row>
    <row r="28" spans="1:8" ht="30" hidden="1" customHeight="1" x14ac:dyDescent="0.25">
      <c r="A28" s="341"/>
      <c r="B28" s="342"/>
      <c r="C28" s="343" t="str">
        <f t="shared" si="1"/>
        <v/>
      </c>
      <c r="D28" s="343"/>
      <c r="E28" s="344"/>
      <c r="F28" s="343"/>
      <c r="G28" s="343" t="str">
        <f t="shared" si="2"/>
        <v/>
      </c>
      <c r="H28" s="343" t="str">
        <f t="shared" si="0"/>
        <v/>
      </c>
    </row>
    <row r="29" spans="1:8" ht="30" hidden="1" customHeight="1" x14ac:dyDescent="0.25">
      <c r="A29" s="341"/>
      <c r="B29" s="342"/>
      <c r="C29" s="343" t="str">
        <f t="shared" si="1"/>
        <v/>
      </c>
      <c r="D29" s="343"/>
      <c r="E29" s="344"/>
      <c r="F29" s="343"/>
      <c r="G29" s="343" t="str">
        <f t="shared" si="2"/>
        <v/>
      </c>
      <c r="H29" s="343" t="str">
        <f t="shared" si="0"/>
        <v/>
      </c>
    </row>
    <row r="30" spans="1:8" ht="30" hidden="1" customHeight="1" x14ac:dyDescent="0.25">
      <c r="A30" s="341"/>
      <c r="B30" s="342"/>
      <c r="C30" s="343" t="str">
        <f t="shared" si="1"/>
        <v/>
      </c>
      <c r="D30" s="343"/>
      <c r="E30" s="344"/>
      <c r="F30" s="343"/>
      <c r="G30" s="343" t="str">
        <f t="shared" si="2"/>
        <v/>
      </c>
      <c r="H30" s="343" t="str">
        <f t="shared" si="0"/>
        <v/>
      </c>
    </row>
    <row r="31" spans="1:8" ht="30" hidden="1" customHeight="1" x14ac:dyDescent="0.25">
      <c r="A31" s="341"/>
      <c r="B31" s="342"/>
      <c r="C31" s="343" t="str">
        <f t="shared" si="1"/>
        <v/>
      </c>
      <c r="D31" s="343"/>
      <c r="E31" s="344"/>
      <c r="F31" s="343"/>
      <c r="G31" s="343" t="str">
        <f t="shared" si="2"/>
        <v/>
      </c>
      <c r="H31" s="343" t="str">
        <f t="shared" si="0"/>
        <v/>
      </c>
    </row>
    <row r="32" spans="1:8" ht="30" hidden="1" customHeight="1" x14ac:dyDescent="0.25">
      <c r="A32" s="341"/>
      <c r="B32" s="342"/>
      <c r="C32" s="343" t="str">
        <f t="shared" si="1"/>
        <v/>
      </c>
      <c r="D32" s="343"/>
      <c r="E32" s="344"/>
      <c r="F32" s="343"/>
      <c r="G32" s="343" t="str">
        <f t="shared" si="2"/>
        <v/>
      </c>
      <c r="H32" s="343" t="str">
        <f t="shared" si="0"/>
        <v/>
      </c>
    </row>
    <row r="33" spans="1:8" ht="30" hidden="1" customHeight="1" x14ac:dyDescent="0.25">
      <c r="A33" s="341"/>
      <c r="B33" s="342"/>
      <c r="C33" s="343" t="str">
        <f t="shared" si="1"/>
        <v/>
      </c>
      <c r="D33" s="343"/>
      <c r="E33" s="344"/>
      <c r="F33" s="343"/>
      <c r="G33" s="343" t="str">
        <f t="shared" si="2"/>
        <v/>
      </c>
      <c r="H33" s="343" t="str">
        <f t="shared" si="0"/>
        <v/>
      </c>
    </row>
    <row r="34" spans="1:8" ht="30" hidden="1" customHeight="1" x14ac:dyDescent="0.25">
      <c r="A34" s="341"/>
      <c r="B34" s="342"/>
      <c r="C34" s="343" t="str">
        <f t="shared" si="1"/>
        <v/>
      </c>
      <c r="D34" s="343"/>
      <c r="E34" s="344"/>
      <c r="F34" s="343"/>
      <c r="G34" s="343" t="str">
        <f t="shared" si="2"/>
        <v/>
      </c>
      <c r="H34" s="343" t="str">
        <f t="shared" si="0"/>
        <v/>
      </c>
    </row>
    <row r="35" spans="1:8" ht="30" hidden="1" customHeight="1" x14ac:dyDescent="0.25">
      <c r="A35" s="341"/>
      <c r="B35" s="342"/>
      <c r="C35" s="343" t="str">
        <f t="shared" si="1"/>
        <v/>
      </c>
      <c r="D35" s="343"/>
      <c r="E35" s="344"/>
      <c r="F35" s="343"/>
      <c r="G35" s="343" t="str">
        <f t="shared" si="2"/>
        <v/>
      </c>
      <c r="H35" s="343" t="str">
        <f t="shared" si="0"/>
        <v/>
      </c>
    </row>
    <row r="36" spans="1:8" ht="30" hidden="1" customHeight="1" x14ac:dyDescent="0.25">
      <c r="A36" s="341"/>
      <c r="B36" s="342"/>
      <c r="C36" s="343" t="str">
        <f t="shared" si="1"/>
        <v/>
      </c>
      <c r="D36" s="343"/>
      <c r="E36" s="344"/>
      <c r="F36" s="343"/>
      <c r="G36" s="343" t="str">
        <f t="shared" si="2"/>
        <v/>
      </c>
      <c r="H36" s="343" t="str">
        <f t="shared" si="0"/>
        <v/>
      </c>
    </row>
    <row r="37" spans="1:8" ht="30" hidden="1" customHeight="1" x14ac:dyDescent="0.25">
      <c r="A37" s="341"/>
      <c r="B37" s="342"/>
      <c r="C37" s="343" t="str">
        <f t="shared" si="1"/>
        <v/>
      </c>
      <c r="D37" s="343"/>
      <c r="E37" s="344"/>
      <c r="F37" s="343"/>
      <c r="G37" s="343" t="str">
        <f t="shared" si="2"/>
        <v/>
      </c>
      <c r="H37" s="343" t="str">
        <f t="shared" si="0"/>
        <v/>
      </c>
    </row>
    <row r="38" spans="1:8" ht="30" hidden="1" customHeight="1" x14ac:dyDescent="0.25">
      <c r="A38" s="341"/>
      <c r="B38" s="342"/>
      <c r="C38" s="343" t="str">
        <f t="shared" si="1"/>
        <v/>
      </c>
      <c r="D38" s="343"/>
      <c r="E38" s="344"/>
      <c r="F38" s="343"/>
      <c r="G38" s="343" t="str">
        <f t="shared" si="2"/>
        <v/>
      </c>
      <c r="H38" s="343" t="str">
        <f t="shared" si="0"/>
        <v/>
      </c>
    </row>
    <row r="39" spans="1:8" ht="30" hidden="1" customHeight="1" x14ac:dyDescent="0.25">
      <c r="A39" s="341"/>
      <c r="B39" s="342"/>
      <c r="C39" s="343" t="str">
        <f t="shared" si="1"/>
        <v/>
      </c>
      <c r="D39" s="343"/>
      <c r="E39" s="344"/>
      <c r="F39" s="343"/>
      <c r="G39" s="343" t="str">
        <f t="shared" si="2"/>
        <v/>
      </c>
      <c r="H39" s="343" t="str">
        <f t="shared" si="0"/>
        <v/>
      </c>
    </row>
    <row r="40" spans="1:8" ht="30" hidden="1" customHeight="1" x14ac:dyDescent="0.25">
      <c r="A40" s="341"/>
      <c r="B40" s="342"/>
      <c r="C40" s="343" t="str">
        <f t="shared" si="1"/>
        <v/>
      </c>
      <c r="D40" s="343"/>
      <c r="E40" s="344"/>
      <c r="F40" s="343"/>
      <c r="G40" s="343" t="str">
        <f t="shared" si="2"/>
        <v/>
      </c>
      <c r="H40" s="343" t="str">
        <f t="shared" si="0"/>
        <v/>
      </c>
    </row>
    <row r="41" spans="1:8" ht="30" hidden="1" customHeight="1" x14ac:dyDescent="0.25">
      <c r="A41" s="341"/>
      <c r="B41" s="342"/>
      <c r="C41" s="343" t="str">
        <f t="shared" si="1"/>
        <v/>
      </c>
      <c r="D41" s="343"/>
      <c r="E41" s="344"/>
      <c r="F41" s="343"/>
      <c r="G41" s="343" t="str">
        <f t="shared" si="2"/>
        <v/>
      </c>
      <c r="H41" s="343" t="str">
        <f t="shared" si="0"/>
        <v/>
      </c>
    </row>
    <row r="42" spans="1:8" ht="30" hidden="1" customHeight="1" x14ac:dyDescent="0.25">
      <c r="A42" s="341"/>
      <c r="B42" s="342"/>
      <c r="C42" s="343" t="str">
        <f t="shared" si="1"/>
        <v/>
      </c>
      <c r="D42" s="343"/>
      <c r="E42" s="344"/>
      <c r="F42" s="343"/>
      <c r="G42" s="343" t="str">
        <f t="shared" si="2"/>
        <v/>
      </c>
      <c r="H42" s="343" t="str">
        <f t="shared" si="0"/>
        <v/>
      </c>
    </row>
    <row r="43" spans="1:8" ht="30" hidden="1" customHeight="1" x14ac:dyDescent="0.25">
      <c r="A43" s="341"/>
      <c r="B43" s="342"/>
      <c r="C43" s="343" t="str">
        <f t="shared" si="1"/>
        <v/>
      </c>
      <c r="D43" s="343"/>
      <c r="E43" s="344"/>
      <c r="F43" s="343"/>
      <c r="G43" s="343" t="str">
        <f t="shared" si="2"/>
        <v/>
      </c>
      <c r="H43" s="343" t="str">
        <f t="shared" si="0"/>
        <v/>
      </c>
    </row>
    <row r="44" spans="1:8" ht="30" hidden="1" customHeight="1" x14ac:dyDescent="0.25">
      <c r="A44" s="341"/>
      <c r="B44" s="342"/>
      <c r="C44" s="343" t="str">
        <f t="shared" si="1"/>
        <v/>
      </c>
      <c r="D44" s="343"/>
      <c r="E44" s="344"/>
      <c r="F44" s="343"/>
      <c r="G44" s="343" t="str">
        <f t="shared" si="2"/>
        <v/>
      </c>
      <c r="H44" s="343" t="str">
        <f t="shared" si="0"/>
        <v/>
      </c>
    </row>
    <row r="45" spans="1:8" ht="30" hidden="1" customHeight="1" x14ac:dyDescent="0.25">
      <c r="A45" s="341"/>
      <c r="B45" s="342"/>
      <c r="C45" s="343" t="str">
        <f t="shared" si="1"/>
        <v/>
      </c>
      <c r="D45" s="343"/>
      <c r="E45" s="344"/>
      <c r="F45" s="343"/>
      <c r="G45" s="343" t="str">
        <f t="shared" si="2"/>
        <v/>
      </c>
      <c r="H45" s="343" t="str">
        <f t="shared" si="0"/>
        <v/>
      </c>
    </row>
    <row r="46" spans="1:8" ht="30" hidden="1" customHeight="1" x14ac:dyDescent="0.25">
      <c r="A46" s="341"/>
      <c r="B46" s="342"/>
      <c r="C46" s="343" t="str">
        <f t="shared" si="1"/>
        <v/>
      </c>
      <c r="D46" s="343"/>
      <c r="E46" s="344"/>
      <c r="F46" s="343"/>
      <c r="G46" s="343" t="str">
        <f t="shared" si="2"/>
        <v/>
      </c>
      <c r="H46" s="343" t="str">
        <f t="shared" si="0"/>
        <v/>
      </c>
    </row>
    <row r="47" spans="1:8" ht="30" hidden="1" customHeight="1" x14ac:dyDescent="0.25">
      <c r="A47" s="341"/>
      <c r="B47" s="342"/>
      <c r="C47" s="343" t="str">
        <f t="shared" si="1"/>
        <v/>
      </c>
      <c r="D47" s="343"/>
      <c r="E47" s="344"/>
      <c r="F47" s="343"/>
      <c r="G47" s="343" t="str">
        <f t="shared" si="2"/>
        <v/>
      </c>
      <c r="H47" s="343" t="str">
        <f t="shared" si="0"/>
        <v/>
      </c>
    </row>
    <row r="48" spans="1:8" ht="30" hidden="1" customHeight="1" x14ac:dyDescent="0.25">
      <c r="A48" s="341"/>
      <c r="B48" s="342"/>
      <c r="C48" s="343" t="str">
        <f t="shared" si="1"/>
        <v/>
      </c>
      <c r="D48" s="343"/>
      <c r="E48" s="344"/>
      <c r="F48" s="343"/>
      <c r="G48" s="343" t="str">
        <f t="shared" si="2"/>
        <v/>
      </c>
      <c r="H48" s="343" t="str">
        <f t="shared" si="0"/>
        <v/>
      </c>
    </row>
    <row r="49" spans="1:8" ht="30" hidden="1" customHeight="1" x14ac:dyDescent="0.25">
      <c r="A49" s="341"/>
      <c r="B49" s="342"/>
      <c r="C49" s="343" t="str">
        <f t="shared" si="1"/>
        <v/>
      </c>
      <c r="D49" s="343"/>
      <c r="E49" s="344"/>
      <c r="F49" s="343"/>
      <c r="G49" s="343" t="str">
        <f t="shared" si="2"/>
        <v/>
      </c>
      <c r="H49" s="343" t="str">
        <f t="shared" si="0"/>
        <v/>
      </c>
    </row>
    <row r="50" spans="1:8" ht="30" hidden="1" customHeight="1" x14ac:dyDescent="0.25">
      <c r="A50" s="341"/>
      <c r="B50" s="342"/>
      <c r="C50" s="343" t="str">
        <f t="shared" si="1"/>
        <v/>
      </c>
      <c r="D50" s="343"/>
      <c r="E50" s="344"/>
      <c r="F50" s="343"/>
      <c r="G50" s="343" t="str">
        <f t="shared" si="2"/>
        <v/>
      </c>
      <c r="H50" s="343" t="str">
        <f t="shared" si="0"/>
        <v/>
      </c>
    </row>
    <row r="51" spans="1:8" ht="30" hidden="1" customHeight="1" x14ac:dyDescent="0.25">
      <c r="A51" s="341"/>
      <c r="B51" s="342"/>
      <c r="C51" s="343" t="str">
        <f t="shared" si="1"/>
        <v/>
      </c>
      <c r="D51" s="343"/>
      <c r="E51" s="344"/>
      <c r="F51" s="343"/>
      <c r="G51" s="343" t="str">
        <f t="shared" si="2"/>
        <v/>
      </c>
      <c r="H51" s="343" t="str">
        <f t="shared" si="0"/>
        <v/>
      </c>
    </row>
    <row r="52" spans="1:8" ht="30" hidden="1" customHeight="1" x14ac:dyDescent="0.25">
      <c r="A52" s="341"/>
      <c r="B52" s="342"/>
      <c r="C52" s="343" t="str">
        <f t="shared" si="1"/>
        <v/>
      </c>
      <c r="D52" s="343"/>
      <c r="E52" s="344"/>
      <c r="F52" s="343"/>
      <c r="G52" s="343" t="str">
        <f t="shared" si="2"/>
        <v/>
      </c>
      <c r="H52" s="343" t="str">
        <f t="shared" si="0"/>
        <v/>
      </c>
    </row>
    <row r="53" spans="1:8" ht="30" hidden="1" customHeight="1" x14ac:dyDescent="0.25">
      <c r="A53" s="341"/>
      <c r="B53" s="342"/>
      <c r="C53" s="343" t="str">
        <f t="shared" si="1"/>
        <v/>
      </c>
      <c r="D53" s="343"/>
      <c r="E53" s="344"/>
      <c r="F53" s="343"/>
      <c r="G53" s="343" t="str">
        <f t="shared" si="2"/>
        <v/>
      </c>
      <c r="H53" s="343" t="str">
        <f t="shared" si="0"/>
        <v/>
      </c>
    </row>
    <row r="54" spans="1:8" ht="30" hidden="1" customHeight="1" x14ac:dyDescent="0.25">
      <c r="A54" s="341"/>
      <c r="B54" s="342"/>
      <c r="C54" s="343" t="str">
        <f t="shared" si="1"/>
        <v/>
      </c>
      <c r="D54" s="343"/>
      <c r="E54" s="344"/>
      <c r="F54" s="343"/>
      <c r="G54" s="343" t="str">
        <f t="shared" si="2"/>
        <v/>
      </c>
      <c r="H54" s="343" t="str">
        <f t="shared" si="0"/>
        <v/>
      </c>
    </row>
    <row r="55" spans="1:8" ht="30" hidden="1" customHeight="1" x14ac:dyDescent="0.25">
      <c r="A55" s="341"/>
      <c r="B55" s="342"/>
      <c r="C55" s="343" t="str">
        <f t="shared" si="1"/>
        <v/>
      </c>
      <c r="D55" s="343"/>
      <c r="E55" s="344"/>
      <c r="F55" s="343"/>
      <c r="G55" s="343" t="str">
        <f t="shared" si="2"/>
        <v/>
      </c>
      <c r="H55" s="343" t="str">
        <f t="shared" si="0"/>
        <v/>
      </c>
    </row>
    <row r="56" spans="1:8" ht="30" hidden="1" customHeight="1" x14ac:dyDescent="0.25">
      <c r="A56" s="341"/>
      <c r="B56" s="342"/>
      <c r="C56" s="343" t="str">
        <f t="shared" si="1"/>
        <v/>
      </c>
      <c r="D56" s="343"/>
      <c r="E56" s="344"/>
      <c r="F56" s="343"/>
      <c r="G56" s="343" t="str">
        <f t="shared" si="2"/>
        <v/>
      </c>
      <c r="H56" s="343" t="str">
        <f t="shared" si="0"/>
        <v/>
      </c>
    </row>
    <row r="57" spans="1:8" ht="30" hidden="1" customHeight="1" x14ac:dyDescent="0.25">
      <c r="A57" s="341"/>
      <c r="B57" s="342"/>
      <c r="C57" s="343" t="str">
        <f t="shared" si="1"/>
        <v/>
      </c>
      <c r="D57" s="343"/>
      <c r="E57" s="344"/>
      <c r="F57" s="343"/>
      <c r="G57" s="343" t="str">
        <f t="shared" si="2"/>
        <v/>
      </c>
      <c r="H57" s="343" t="str">
        <f t="shared" si="0"/>
        <v/>
      </c>
    </row>
    <row r="58" spans="1:8" ht="30" hidden="1" customHeight="1" x14ac:dyDescent="0.25">
      <c r="A58" s="341"/>
      <c r="B58" s="342"/>
      <c r="C58" s="343" t="str">
        <f t="shared" si="1"/>
        <v/>
      </c>
      <c r="D58" s="343"/>
      <c r="E58" s="344"/>
      <c r="F58" s="343"/>
      <c r="G58" s="343" t="str">
        <f t="shared" si="2"/>
        <v/>
      </c>
      <c r="H58" s="343" t="str">
        <f t="shared" si="0"/>
        <v/>
      </c>
    </row>
    <row r="59" spans="1:8" ht="30" hidden="1" customHeight="1" x14ac:dyDescent="0.25">
      <c r="A59" s="341"/>
      <c r="B59" s="342"/>
      <c r="C59" s="343" t="str">
        <f t="shared" si="1"/>
        <v/>
      </c>
      <c r="D59" s="343"/>
      <c r="E59" s="344"/>
      <c r="F59" s="343"/>
      <c r="G59" s="343" t="str">
        <f t="shared" si="2"/>
        <v/>
      </c>
      <c r="H59" s="343" t="str">
        <f t="shared" si="0"/>
        <v/>
      </c>
    </row>
    <row r="60" spans="1:8" ht="30" hidden="1" customHeight="1" x14ac:dyDescent="0.25">
      <c r="A60" s="341"/>
      <c r="B60" s="342"/>
      <c r="C60" s="343" t="str">
        <f t="shared" si="1"/>
        <v/>
      </c>
      <c r="D60" s="343"/>
      <c r="E60" s="344"/>
      <c r="F60" s="343"/>
      <c r="G60" s="343" t="str">
        <f t="shared" si="2"/>
        <v/>
      </c>
      <c r="H60" s="343" t="str">
        <f t="shared" si="0"/>
        <v/>
      </c>
    </row>
    <row r="61" spans="1:8" ht="30" hidden="1" customHeight="1" x14ac:dyDescent="0.25">
      <c r="A61" s="341"/>
      <c r="B61" s="342"/>
      <c r="C61" s="343" t="str">
        <f t="shared" si="1"/>
        <v/>
      </c>
      <c r="D61" s="343"/>
      <c r="E61" s="344"/>
      <c r="F61" s="343"/>
      <c r="G61" s="343" t="str">
        <f t="shared" si="2"/>
        <v/>
      </c>
      <c r="H61" s="343" t="str">
        <f t="shared" si="0"/>
        <v/>
      </c>
    </row>
    <row r="62" spans="1:8" ht="30" hidden="1" customHeight="1" x14ac:dyDescent="0.25">
      <c r="A62" s="341"/>
      <c r="B62" s="342"/>
      <c r="C62" s="343" t="str">
        <f t="shared" si="1"/>
        <v/>
      </c>
      <c r="D62" s="343"/>
      <c r="E62" s="344"/>
      <c r="F62" s="343"/>
      <c r="G62" s="343" t="str">
        <f t="shared" si="2"/>
        <v/>
      </c>
      <c r="H62" s="343" t="str">
        <f t="shared" si="0"/>
        <v/>
      </c>
    </row>
    <row r="63" spans="1:8" ht="30" hidden="1" customHeight="1" x14ac:dyDescent="0.25">
      <c r="A63" s="341"/>
      <c r="B63" s="342"/>
      <c r="C63" s="343" t="str">
        <f t="shared" si="1"/>
        <v/>
      </c>
      <c r="D63" s="343"/>
      <c r="E63" s="344"/>
      <c r="F63" s="343"/>
      <c r="G63" s="343" t="str">
        <f t="shared" si="2"/>
        <v/>
      </c>
      <c r="H63" s="343" t="str">
        <f t="shared" si="0"/>
        <v/>
      </c>
    </row>
    <row r="64" spans="1:8" ht="30" hidden="1" customHeight="1" x14ac:dyDescent="0.25">
      <c r="A64" s="341"/>
      <c r="B64" s="342"/>
      <c r="C64" s="343" t="str">
        <f t="shared" si="1"/>
        <v/>
      </c>
      <c r="D64" s="343"/>
      <c r="E64" s="344"/>
      <c r="F64" s="343"/>
      <c r="G64" s="343" t="str">
        <f t="shared" si="2"/>
        <v/>
      </c>
      <c r="H64" s="343" t="str">
        <f t="shared" si="0"/>
        <v/>
      </c>
    </row>
    <row r="65" spans="1:8" ht="30" hidden="1" customHeight="1" x14ac:dyDescent="0.25">
      <c r="A65" s="341"/>
      <c r="B65" s="342"/>
      <c r="C65" s="343" t="str">
        <f t="shared" si="1"/>
        <v/>
      </c>
      <c r="D65" s="343"/>
      <c r="E65" s="344"/>
      <c r="F65" s="343"/>
      <c r="G65" s="343" t="str">
        <f t="shared" si="2"/>
        <v/>
      </c>
      <c r="H65" s="343" t="str">
        <f t="shared" si="0"/>
        <v/>
      </c>
    </row>
    <row r="66" spans="1:8" ht="30" hidden="1" customHeight="1" x14ac:dyDescent="0.25">
      <c r="A66" s="341"/>
      <c r="B66" s="342"/>
      <c r="C66" s="343" t="str">
        <f t="shared" si="1"/>
        <v/>
      </c>
      <c r="D66" s="343"/>
      <c r="E66" s="344"/>
      <c r="F66" s="343"/>
      <c r="G66" s="343" t="str">
        <f t="shared" si="2"/>
        <v/>
      </c>
      <c r="H66" s="343" t="str">
        <f t="shared" si="0"/>
        <v/>
      </c>
    </row>
    <row r="67" spans="1:8" ht="30" hidden="1" customHeight="1" x14ac:dyDescent="0.25">
      <c r="A67" s="341"/>
      <c r="B67" s="342"/>
      <c r="C67" s="343" t="str">
        <f t="shared" si="1"/>
        <v/>
      </c>
      <c r="D67" s="343"/>
      <c r="E67" s="344"/>
      <c r="F67" s="343"/>
      <c r="G67" s="343" t="str">
        <f t="shared" si="2"/>
        <v/>
      </c>
      <c r="H67" s="343" t="str">
        <f t="shared" si="0"/>
        <v/>
      </c>
    </row>
    <row r="68" spans="1:8" ht="30" hidden="1" customHeight="1" x14ac:dyDescent="0.25">
      <c r="A68" s="341"/>
      <c r="B68" s="342"/>
      <c r="C68" s="343" t="str">
        <f t="shared" si="1"/>
        <v/>
      </c>
      <c r="D68" s="343"/>
      <c r="E68" s="344"/>
      <c r="F68" s="343"/>
      <c r="G68" s="343" t="str">
        <f t="shared" si="2"/>
        <v/>
      </c>
      <c r="H68" s="343" t="str">
        <f t="shared" si="0"/>
        <v/>
      </c>
    </row>
    <row r="69" spans="1:8" ht="30" hidden="1" customHeight="1" x14ac:dyDescent="0.25">
      <c r="A69" s="341"/>
      <c r="B69" s="342"/>
      <c r="C69" s="343" t="str">
        <f t="shared" si="1"/>
        <v/>
      </c>
      <c r="D69" s="343"/>
      <c r="E69" s="344"/>
      <c r="F69" s="343"/>
      <c r="G69" s="343" t="str">
        <f t="shared" si="2"/>
        <v/>
      </c>
      <c r="H69" s="343" t="str">
        <f t="shared" si="0"/>
        <v/>
      </c>
    </row>
    <row r="70" spans="1:8" ht="30" hidden="1" customHeight="1" x14ac:dyDescent="0.25">
      <c r="A70" s="341" t="s">
        <v>119</v>
      </c>
      <c r="B70" s="342"/>
      <c r="C70" s="343"/>
      <c r="D70" s="343"/>
      <c r="E70" s="344"/>
      <c r="F70" s="343"/>
      <c r="G70" s="343"/>
      <c r="H70" s="343">
        <v>0</v>
      </c>
    </row>
    <row r="71" spans="1:8" ht="15" customHeight="1" x14ac:dyDescent="0.25">
      <c r="A71" s="380" t="s">
        <v>60</v>
      </c>
      <c r="B71" s="381"/>
      <c r="C71" s="382"/>
      <c r="D71" s="381"/>
      <c r="E71" s="381"/>
      <c r="F71" s="381"/>
      <c r="G71" s="383" t="s">
        <v>61</v>
      </c>
      <c r="H71" s="356">
        <f>ROUNDDOWN(SUM(H10:H70),0)</f>
        <v>601</v>
      </c>
    </row>
    <row r="72" spans="1:8" ht="15" customHeight="1" x14ac:dyDescent="0.25">
      <c r="A72" s="4"/>
      <c r="B72" s="384">
        <f>ROUND(SUM(C10:C70)/H71*3600,2)</f>
        <v>61.4</v>
      </c>
      <c r="C72" s="4"/>
      <c r="D72" s="4"/>
      <c r="E72" s="4"/>
      <c r="F72" s="386"/>
      <c r="G72" s="387" t="s">
        <v>85</v>
      </c>
      <c r="H72" s="385">
        <f>H71/86400</f>
        <v>6.9560185185185185E-3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99"/>
  </sheetPr>
  <dimension ref="A1:H72"/>
  <sheetViews>
    <sheetView view="pageBreakPreview" topLeftCell="A71" zoomScaleSheetLayoutView="100" workbookViewId="0">
      <selection activeCell="D72" sqref="D72"/>
    </sheetView>
  </sheetViews>
  <sheetFormatPr defaultRowHeight="15" customHeight="1" x14ac:dyDescent="0.25"/>
  <cols>
    <col min="1" max="1" width="40.7109375" style="3" customWidth="1"/>
    <col min="2" max="8" width="7.7109375" style="3" customWidth="1"/>
    <col min="9" max="16384" width="9.140625" style="3"/>
  </cols>
  <sheetData>
    <row r="1" spans="1:8" ht="50.1" customHeight="1" x14ac:dyDescent="0.25">
      <c r="A1" s="336" t="str">
        <f>_ДС3</f>
        <v>ДС-3 РДС Быльники</v>
      </c>
      <c r="B1" s="335"/>
      <c r="C1" s="335"/>
      <c r="D1" s="335"/>
      <c r="E1" s="335"/>
      <c r="F1" s="335"/>
      <c r="G1" s="337"/>
      <c r="H1" s="338"/>
    </row>
    <row r="2" spans="1:8" s="4" customFormat="1" ht="5.0999999999999996" customHeight="1" x14ac:dyDescent="0.25">
      <c r="B2" s="5"/>
      <c r="C2" s="5"/>
      <c r="D2" s="5"/>
      <c r="E2" s="5"/>
      <c r="F2" s="5"/>
      <c r="G2" s="5"/>
      <c r="H2" s="5"/>
    </row>
    <row r="3" spans="1:8" ht="15" hidden="1" customHeight="1" x14ac:dyDescent="0.25"/>
    <row r="4" spans="1:8" ht="15" hidden="1" customHeight="1" x14ac:dyDescent="0.25"/>
    <row r="5" spans="1:8" ht="15" hidden="1" customHeight="1" x14ac:dyDescent="0.25"/>
    <row r="6" spans="1:8" ht="15" hidden="1" customHeight="1" x14ac:dyDescent="0.25"/>
    <row r="7" spans="1:8" ht="15" hidden="1" customHeight="1" x14ac:dyDescent="0.25"/>
    <row r="8" spans="1:8" ht="15" hidden="1" customHeight="1" x14ac:dyDescent="0.25"/>
    <row r="9" spans="1:8" ht="45" x14ac:dyDescent="0.25">
      <c r="A9" s="339" t="s">
        <v>53</v>
      </c>
      <c r="B9" s="340" t="s">
        <v>54</v>
      </c>
      <c r="C9" s="340" t="s">
        <v>55</v>
      </c>
      <c r="D9" s="340" t="s">
        <v>56</v>
      </c>
      <c r="E9" s="340" t="s">
        <v>57</v>
      </c>
      <c r="F9" s="340" t="s">
        <v>37</v>
      </c>
      <c r="G9" s="340" t="s">
        <v>58</v>
      </c>
      <c r="H9" s="340" t="s">
        <v>59</v>
      </c>
    </row>
    <row r="10" spans="1:8" ht="30" customHeight="1" x14ac:dyDescent="0.25">
      <c r="A10" s="341" t="s">
        <v>497</v>
      </c>
      <c r="B10" s="342">
        <v>10.25</v>
      </c>
      <c r="C10" s="343">
        <f>IF(ISNUMBER(B11),B11-B10,"")</f>
        <v>0.11999999999999922</v>
      </c>
      <c r="D10" s="343">
        <v>60</v>
      </c>
      <c r="E10" s="343">
        <v>0.60000002384185791</v>
      </c>
      <c r="F10" s="343"/>
      <c r="G10" s="343">
        <f>IF(C10&lt;&gt;"",D10*IF(ISNUMBER(E10),E10,1)+IF(ISNUMBER(F10),F10,0),"")</f>
        <v>36.000001430511475</v>
      </c>
      <c r="H10" s="343">
        <f t="shared" ref="H10:H69" si="0">IF(G10&lt;&gt;"",ROUNDDOWN(C10/G10*3600,округлениеРД),"")</f>
        <v>11.9999</v>
      </c>
    </row>
    <row r="11" spans="1:8" ht="30" customHeight="1" x14ac:dyDescent="0.25">
      <c r="A11" s="341" t="s">
        <v>526</v>
      </c>
      <c r="B11" s="342">
        <v>10.37</v>
      </c>
      <c r="C11" s="343">
        <f t="shared" ref="C11:C69" si="1">IF(ISNUMBER(B12),B12-B11,"")</f>
        <v>0.46000000000000085</v>
      </c>
      <c r="D11" s="343">
        <v>90</v>
      </c>
      <c r="E11" s="344">
        <v>0.60000002384185791</v>
      </c>
      <c r="F11" s="343"/>
      <c r="G11" s="343">
        <f t="shared" ref="G11:G69" si="2">IF(C11&lt;&gt;"",D11*IF(ISNUMBER(E11),E11,1)+IF(ISNUMBER(F11),F11,0),"")</f>
        <v>54.000002145767212</v>
      </c>
      <c r="H11" s="343">
        <f t="shared" si="0"/>
        <v>30.666599999999999</v>
      </c>
    </row>
    <row r="12" spans="1:8" ht="30" customHeight="1" x14ac:dyDescent="0.25">
      <c r="A12" s="341" t="s">
        <v>278</v>
      </c>
      <c r="B12" s="342">
        <v>10.83</v>
      </c>
      <c r="C12" s="343" t="str">
        <f t="shared" si="1"/>
        <v/>
      </c>
      <c r="D12" s="343"/>
      <c r="E12" s="344"/>
      <c r="F12" s="343"/>
      <c r="G12" s="343" t="str">
        <f t="shared" si="2"/>
        <v/>
      </c>
      <c r="H12" s="343" t="str">
        <f t="shared" si="0"/>
        <v/>
      </c>
    </row>
    <row r="13" spans="1:8" ht="30" hidden="1" customHeight="1" x14ac:dyDescent="0.25">
      <c r="A13" s="341"/>
      <c r="B13" s="342"/>
      <c r="C13" s="343" t="str">
        <f t="shared" si="1"/>
        <v/>
      </c>
      <c r="D13" s="343"/>
      <c r="E13" s="344"/>
      <c r="F13" s="343"/>
      <c r="G13" s="343" t="str">
        <f t="shared" si="2"/>
        <v/>
      </c>
      <c r="H13" s="343" t="str">
        <f t="shared" si="0"/>
        <v/>
      </c>
    </row>
    <row r="14" spans="1:8" ht="30" hidden="1" customHeight="1" x14ac:dyDescent="0.25">
      <c r="A14" s="341"/>
      <c r="B14" s="342"/>
      <c r="C14" s="343" t="str">
        <f t="shared" si="1"/>
        <v/>
      </c>
      <c r="D14" s="343"/>
      <c r="E14" s="344"/>
      <c r="F14" s="343"/>
      <c r="G14" s="343" t="str">
        <f t="shared" si="2"/>
        <v/>
      </c>
      <c r="H14" s="343" t="str">
        <f t="shared" si="0"/>
        <v/>
      </c>
    </row>
    <row r="15" spans="1:8" ht="30" hidden="1" customHeight="1" x14ac:dyDescent="0.25">
      <c r="A15" s="341"/>
      <c r="B15" s="342"/>
      <c r="C15" s="343" t="str">
        <f t="shared" si="1"/>
        <v/>
      </c>
      <c r="D15" s="343"/>
      <c r="E15" s="344"/>
      <c r="F15" s="343"/>
      <c r="G15" s="343" t="str">
        <f t="shared" si="2"/>
        <v/>
      </c>
      <c r="H15" s="343" t="str">
        <f t="shared" si="0"/>
        <v/>
      </c>
    </row>
    <row r="16" spans="1:8" ht="30" hidden="1" customHeight="1" x14ac:dyDescent="0.25">
      <c r="A16" s="341"/>
      <c r="B16" s="342"/>
      <c r="C16" s="343" t="str">
        <f t="shared" si="1"/>
        <v/>
      </c>
      <c r="D16" s="343"/>
      <c r="E16" s="344"/>
      <c r="F16" s="343"/>
      <c r="G16" s="343" t="str">
        <f t="shared" si="2"/>
        <v/>
      </c>
      <c r="H16" s="343" t="str">
        <f t="shared" si="0"/>
        <v/>
      </c>
    </row>
    <row r="17" spans="1:8" ht="30" hidden="1" customHeight="1" x14ac:dyDescent="0.25">
      <c r="A17" s="341"/>
      <c r="B17" s="342"/>
      <c r="C17" s="343" t="str">
        <f t="shared" si="1"/>
        <v/>
      </c>
      <c r="D17" s="343"/>
      <c r="E17" s="344"/>
      <c r="F17" s="343"/>
      <c r="G17" s="343" t="str">
        <f t="shared" si="2"/>
        <v/>
      </c>
      <c r="H17" s="343" t="str">
        <f t="shared" si="0"/>
        <v/>
      </c>
    </row>
    <row r="18" spans="1:8" ht="30" hidden="1" customHeight="1" x14ac:dyDescent="0.25">
      <c r="A18" s="341"/>
      <c r="B18" s="342"/>
      <c r="C18" s="343" t="str">
        <f t="shared" si="1"/>
        <v/>
      </c>
      <c r="D18" s="343"/>
      <c r="E18" s="344"/>
      <c r="F18" s="343"/>
      <c r="G18" s="343" t="str">
        <f t="shared" si="2"/>
        <v/>
      </c>
      <c r="H18" s="343" t="str">
        <f t="shared" si="0"/>
        <v/>
      </c>
    </row>
    <row r="19" spans="1:8" ht="30" hidden="1" customHeight="1" x14ac:dyDescent="0.25">
      <c r="A19" s="341"/>
      <c r="B19" s="342"/>
      <c r="C19" s="343" t="str">
        <f t="shared" si="1"/>
        <v/>
      </c>
      <c r="D19" s="343"/>
      <c r="E19" s="344"/>
      <c r="F19" s="343"/>
      <c r="G19" s="343" t="str">
        <f t="shared" si="2"/>
        <v/>
      </c>
      <c r="H19" s="343" t="str">
        <f t="shared" si="0"/>
        <v/>
      </c>
    </row>
    <row r="20" spans="1:8" ht="30" hidden="1" customHeight="1" x14ac:dyDescent="0.25">
      <c r="A20" s="341"/>
      <c r="B20" s="342"/>
      <c r="C20" s="343" t="str">
        <f t="shared" si="1"/>
        <v/>
      </c>
      <c r="D20" s="343"/>
      <c r="E20" s="344"/>
      <c r="F20" s="343"/>
      <c r="G20" s="343" t="str">
        <f t="shared" si="2"/>
        <v/>
      </c>
      <c r="H20" s="343" t="str">
        <f t="shared" si="0"/>
        <v/>
      </c>
    </row>
    <row r="21" spans="1:8" ht="30" hidden="1" customHeight="1" x14ac:dyDescent="0.25">
      <c r="A21" s="341"/>
      <c r="B21" s="342"/>
      <c r="C21" s="343" t="str">
        <f t="shared" si="1"/>
        <v/>
      </c>
      <c r="D21" s="343"/>
      <c r="E21" s="344"/>
      <c r="F21" s="343"/>
      <c r="G21" s="343" t="str">
        <f t="shared" si="2"/>
        <v/>
      </c>
      <c r="H21" s="343" t="str">
        <f t="shared" si="0"/>
        <v/>
      </c>
    </row>
    <row r="22" spans="1:8" ht="30" hidden="1" customHeight="1" x14ac:dyDescent="0.25">
      <c r="A22" s="341"/>
      <c r="B22" s="342"/>
      <c r="C22" s="343" t="str">
        <f t="shared" si="1"/>
        <v/>
      </c>
      <c r="D22" s="343"/>
      <c r="E22" s="344"/>
      <c r="F22" s="343"/>
      <c r="G22" s="343" t="str">
        <f t="shared" si="2"/>
        <v/>
      </c>
      <c r="H22" s="343" t="str">
        <f t="shared" si="0"/>
        <v/>
      </c>
    </row>
    <row r="23" spans="1:8" ht="30" hidden="1" customHeight="1" x14ac:dyDescent="0.25">
      <c r="A23" s="341"/>
      <c r="B23" s="342"/>
      <c r="C23" s="343" t="str">
        <f t="shared" si="1"/>
        <v/>
      </c>
      <c r="D23" s="343"/>
      <c r="E23" s="344"/>
      <c r="F23" s="343"/>
      <c r="G23" s="343" t="str">
        <f t="shared" si="2"/>
        <v/>
      </c>
      <c r="H23" s="343" t="str">
        <f t="shared" si="0"/>
        <v/>
      </c>
    </row>
    <row r="24" spans="1:8" ht="30" hidden="1" customHeight="1" x14ac:dyDescent="0.25">
      <c r="A24" s="341"/>
      <c r="B24" s="342"/>
      <c r="C24" s="343" t="str">
        <f t="shared" si="1"/>
        <v/>
      </c>
      <c r="D24" s="343"/>
      <c r="E24" s="344"/>
      <c r="F24" s="343"/>
      <c r="G24" s="343" t="str">
        <f t="shared" si="2"/>
        <v/>
      </c>
      <c r="H24" s="343" t="str">
        <f t="shared" si="0"/>
        <v/>
      </c>
    </row>
    <row r="25" spans="1:8" ht="30" hidden="1" customHeight="1" x14ac:dyDescent="0.25">
      <c r="A25" s="341"/>
      <c r="B25" s="342"/>
      <c r="C25" s="343" t="str">
        <f t="shared" si="1"/>
        <v/>
      </c>
      <c r="D25" s="343"/>
      <c r="E25" s="344"/>
      <c r="F25" s="343"/>
      <c r="G25" s="343" t="str">
        <f t="shared" si="2"/>
        <v/>
      </c>
      <c r="H25" s="343" t="str">
        <f t="shared" si="0"/>
        <v/>
      </c>
    </row>
    <row r="26" spans="1:8" ht="30" hidden="1" customHeight="1" x14ac:dyDescent="0.25">
      <c r="A26" s="341"/>
      <c r="B26" s="342"/>
      <c r="C26" s="343" t="str">
        <f t="shared" si="1"/>
        <v/>
      </c>
      <c r="D26" s="343"/>
      <c r="E26" s="344"/>
      <c r="F26" s="343"/>
      <c r="G26" s="343" t="str">
        <f t="shared" si="2"/>
        <v/>
      </c>
      <c r="H26" s="343" t="str">
        <f t="shared" si="0"/>
        <v/>
      </c>
    </row>
    <row r="27" spans="1:8" ht="30" hidden="1" customHeight="1" x14ac:dyDescent="0.25">
      <c r="A27" s="341"/>
      <c r="B27" s="342"/>
      <c r="C27" s="343" t="str">
        <f t="shared" si="1"/>
        <v/>
      </c>
      <c r="D27" s="343"/>
      <c r="E27" s="344"/>
      <c r="F27" s="343"/>
      <c r="G27" s="343" t="str">
        <f t="shared" si="2"/>
        <v/>
      </c>
      <c r="H27" s="343" t="str">
        <f t="shared" si="0"/>
        <v/>
      </c>
    </row>
    <row r="28" spans="1:8" ht="30" hidden="1" customHeight="1" x14ac:dyDescent="0.25">
      <c r="A28" s="341"/>
      <c r="B28" s="342"/>
      <c r="C28" s="343" t="str">
        <f t="shared" si="1"/>
        <v/>
      </c>
      <c r="D28" s="343"/>
      <c r="E28" s="344"/>
      <c r="F28" s="343"/>
      <c r="G28" s="343" t="str">
        <f t="shared" si="2"/>
        <v/>
      </c>
      <c r="H28" s="343" t="str">
        <f t="shared" si="0"/>
        <v/>
      </c>
    </row>
    <row r="29" spans="1:8" ht="30" hidden="1" customHeight="1" x14ac:dyDescent="0.25">
      <c r="A29" s="341"/>
      <c r="B29" s="342"/>
      <c r="C29" s="343" t="str">
        <f t="shared" si="1"/>
        <v/>
      </c>
      <c r="D29" s="343"/>
      <c r="E29" s="344"/>
      <c r="F29" s="343"/>
      <c r="G29" s="343" t="str">
        <f t="shared" si="2"/>
        <v/>
      </c>
      <c r="H29" s="343" t="str">
        <f t="shared" si="0"/>
        <v/>
      </c>
    </row>
    <row r="30" spans="1:8" ht="30" hidden="1" customHeight="1" x14ac:dyDescent="0.25">
      <c r="A30" s="341"/>
      <c r="B30" s="342"/>
      <c r="C30" s="343" t="str">
        <f t="shared" si="1"/>
        <v/>
      </c>
      <c r="D30" s="343"/>
      <c r="E30" s="344"/>
      <c r="F30" s="343"/>
      <c r="G30" s="343" t="str">
        <f t="shared" si="2"/>
        <v/>
      </c>
      <c r="H30" s="343" t="str">
        <f t="shared" si="0"/>
        <v/>
      </c>
    </row>
    <row r="31" spans="1:8" ht="30" hidden="1" customHeight="1" x14ac:dyDescent="0.25">
      <c r="A31" s="341"/>
      <c r="B31" s="342"/>
      <c r="C31" s="343" t="str">
        <f t="shared" si="1"/>
        <v/>
      </c>
      <c r="D31" s="343"/>
      <c r="E31" s="344"/>
      <c r="F31" s="343"/>
      <c r="G31" s="343" t="str">
        <f t="shared" si="2"/>
        <v/>
      </c>
      <c r="H31" s="343" t="str">
        <f t="shared" si="0"/>
        <v/>
      </c>
    </row>
    <row r="32" spans="1:8" ht="30" hidden="1" customHeight="1" x14ac:dyDescent="0.25">
      <c r="A32" s="341"/>
      <c r="B32" s="342"/>
      <c r="C32" s="343" t="str">
        <f t="shared" si="1"/>
        <v/>
      </c>
      <c r="D32" s="343"/>
      <c r="E32" s="344"/>
      <c r="F32" s="343"/>
      <c r="G32" s="343" t="str">
        <f t="shared" si="2"/>
        <v/>
      </c>
      <c r="H32" s="343" t="str">
        <f t="shared" si="0"/>
        <v/>
      </c>
    </row>
    <row r="33" spans="1:8" ht="30" hidden="1" customHeight="1" x14ac:dyDescent="0.25">
      <c r="A33" s="341"/>
      <c r="B33" s="342"/>
      <c r="C33" s="343" t="str">
        <f t="shared" si="1"/>
        <v/>
      </c>
      <c r="D33" s="343"/>
      <c r="E33" s="344"/>
      <c r="F33" s="343"/>
      <c r="G33" s="343" t="str">
        <f t="shared" si="2"/>
        <v/>
      </c>
      <c r="H33" s="343" t="str">
        <f t="shared" si="0"/>
        <v/>
      </c>
    </row>
    <row r="34" spans="1:8" ht="30" hidden="1" customHeight="1" x14ac:dyDescent="0.25">
      <c r="A34" s="341"/>
      <c r="B34" s="342"/>
      <c r="C34" s="343" t="str">
        <f t="shared" si="1"/>
        <v/>
      </c>
      <c r="D34" s="343"/>
      <c r="E34" s="344"/>
      <c r="F34" s="343"/>
      <c r="G34" s="343" t="str">
        <f t="shared" si="2"/>
        <v/>
      </c>
      <c r="H34" s="343" t="str">
        <f t="shared" si="0"/>
        <v/>
      </c>
    </row>
    <row r="35" spans="1:8" ht="30" hidden="1" customHeight="1" x14ac:dyDescent="0.25">
      <c r="A35" s="341"/>
      <c r="B35" s="342"/>
      <c r="C35" s="343" t="str">
        <f t="shared" si="1"/>
        <v/>
      </c>
      <c r="D35" s="343"/>
      <c r="E35" s="344"/>
      <c r="F35" s="343"/>
      <c r="G35" s="343" t="str">
        <f t="shared" si="2"/>
        <v/>
      </c>
      <c r="H35" s="343" t="str">
        <f t="shared" si="0"/>
        <v/>
      </c>
    </row>
    <row r="36" spans="1:8" ht="30" hidden="1" customHeight="1" x14ac:dyDescent="0.25">
      <c r="A36" s="341"/>
      <c r="B36" s="342"/>
      <c r="C36" s="343" t="str">
        <f t="shared" si="1"/>
        <v/>
      </c>
      <c r="D36" s="343"/>
      <c r="E36" s="344"/>
      <c r="F36" s="343"/>
      <c r="G36" s="343" t="str">
        <f t="shared" si="2"/>
        <v/>
      </c>
      <c r="H36" s="343" t="str">
        <f t="shared" si="0"/>
        <v/>
      </c>
    </row>
    <row r="37" spans="1:8" ht="30" hidden="1" customHeight="1" x14ac:dyDescent="0.25">
      <c r="A37" s="341"/>
      <c r="B37" s="342"/>
      <c r="C37" s="343" t="str">
        <f t="shared" si="1"/>
        <v/>
      </c>
      <c r="D37" s="343"/>
      <c r="E37" s="344"/>
      <c r="F37" s="343"/>
      <c r="G37" s="343" t="str">
        <f t="shared" si="2"/>
        <v/>
      </c>
      <c r="H37" s="343" t="str">
        <f t="shared" si="0"/>
        <v/>
      </c>
    </row>
    <row r="38" spans="1:8" ht="30" hidden="1" customHeight="1" x14ac:dyDescent="0.25">
      <c r="A38" s="341"/>
      <c r="B38" s="342"/>
      <c r="C38" s="343" t="str">
        <f t="shared" si="1"/>
        <v/>
      </c>
      <c r="D38" s="343"/>
      <c r="E38" s="344"/>
      <c r="F38" s="343"/>
      <c r="G38" s="343" t="str">
        <f t="shared" si="2"/>
        <v/>
      </c>
      <c r="H38" s="343" t="str">
        <f t="shared" si="0"/>
        <v/>
      </c>
    </row>
    <row r="39" spans="1:8" ht="30" hidden="1" customHeight="1" x14ac:dyDescent="0.25">
      <c r="A39" s="341"/>
      <c r="B39" s="342"/>
      <c r="C39" s="343" t="str">
        <f t="shared" si="1"/>
        <v/>
      </c>
      <c r="D39" s="343"/>
      <c r="E39" s="344"/>
      <c r="F39" s="343"/>
      <c r="G39" s="343" t="str">
        <f t="shared" si="2"/>
        <v/>
      </c>
      <c r="H39" s="343" t="str">
        <f t="shared" si="0"/>
        <v/>
      </c>
    </row>
    <row r="40" spans="1:8" ht="30" hidden="1" customHeight="1" x14ac:dyDescent="0.25">
      <c r="A40" s="341"/>
      <c r="B40" s="342"/>
      <c r="C40" s="343" t="str">
        <f t="shared" si="1"/>
        <v/>
      </c>
      <c r="D40" s="343"/>
      <c r="E40" s="344"/>
      <c r="F40" s="343"/>
      <c r="G40" s="343" t="str">
        <f t="shared" si="2"/>
        <v/>
      </c>
      <c r="H40" s="343" t="str">
        <f t="shared" si="0"/>
        <v/>
      </c>
    </row>
    <row r="41" spans="1:8" ht="30" hidden="1" customHeight="1" x14ac:dyDescent="0.25">
      <c r="A41" s="341"/>
      <c r="B41" s="342"/>
      <c r="C41" s="343" t="str">
        <f t="shared" si="1"/>
        <v/>
      </c>
      <c r="D41" s="343"/>
      <c r="E41" s="344"/>
      <c r="F41" s="343"/>
      <c r="G41" s="343" t="str">
        <f t="shared" si="2"/>
        <v/>
      </c>
      <c r="H41" s="343" t="str">
        <f t="shared" si="0"/>
        <v/>
      </c>
    </row>
    <row r="42" spans="1:8" ht="30" hidden="1" customHeight="1" x14ac:dyDescent="0.25">
      <c r="A42" s="341"/>
      <c r="B42" s="342"/>
      <c r="C42" s="343" t="str">
        <f t="shared" si="1"/>
        <v/>
      </c>
      <c r="D42" s="343"/>
      <c r="E42" s="344"/>
      <c r="F42" s="343"/>
      <c r="G42" s="343" t="str">
        <f t="shared" si="2"/>
        <v/>
      </c>
      <c r="H42" s="343" t="str">
        <f t="shared" si="0"/>
        <v/>
      </c>
    </row>
    <row r="43" spans="1:8" ht="30" hidden="1" customHeight="1" x14ac:dyDescent="0.25">
      <c r="A43" s="341"/>
      <c r="B43" s="342"/>
      <c r="C43" s="343" t="str">
        <f t="shared" si="1"/>
        <v/>
      </c>
      <c r="D43" s="343"/>
      <c r="E43" s="344"/>
      <c r="F43" s="343"/>
      <c r="G43" s="343" t="str">
        <f t="shared" si="2"/>
        <v/>
      </c>
      <c r="H43" s="343" t="str">
        <f t="shared" si="0"/>
        <v/>
      </c>
    </row>
    <row r="44" spans="1:8" ht="30" hidden="1" customHeight="1" x14ac:dyDescent="0.25">
      <c r="A44" s="341"/>
      <c r="B44" s="342"/>
      <c r="C44" s="343" t="str">
        <f t="shared" si="1"/>
        <v/>
      </c>
      <c r="D44" s="343"/>
      <c r="E44" s="344"/>
      <c r="F44" s="343"/>
      <c r="G44" s="343" t="str">
        <f t="shared" si="2"/>
        <v/>
      </c>
      <c r="H44" s="343" t="str">
        <f t="shared" si="0"/>
        <v/>
      </c>
    </row>
    <row r="45" spans="1:8" ht="30" hidden="1" customHeight="1" x14ac:dyDescent="0.25">
      <c r="A45" s="341"/>
      <c r="B45" s="342"/>
      <c r="C45" s="343" t="str">
        <f t="shared" si="1"/>
        <v/>
      </c>
      <c r="D45" s="343"/>
      <c r="E45" s="344"/>
      <c r="F45" s="343"/>
      <c r="G45" s="343" t="str">
        <f t="shared" si="2"/>
        <v/>
      </c>
      <c r="H45" s="343" t="str">
        <f t="shared" si="0"/>
        <v/>
      </c>
    </row>
    <row r="46" spans="1:8" ht="30" hidden="1" customHeight="1" x14ac:dyDescent="0.25">
      <c r="A46" s="341"/>
      <c r="B46" s="342"/>
      <c r="C46" s="343" t="str">
        <f t="shared" si="1"/>
        <v/>
      </c>
      <c r="D46" s="343"/>
      <c r="E46" s="344"/>
      <c r="F46" s="343"/>
      <c r="G46" s="343" t="str">
        <f t="shared" si="2"/>
        <v/>
      </c>
      <c r="H46" s="343" t="str">
        <f t="shared" si="0"/>
        <v/>
      </c>
    </row>
    <row r="47" spans="1:8" ht="30" hidden="1" customHeight="1" x14ac:dyDescent="0.25">
      <c r="A47" s="341"/>
      <c r="B47" s="342"/>
      <c r="C47" s="343" t="str">
        <f t="shared" si="1"/>
        <v/>
      </c>
      <c r="D47" s="343"/>
      <c r="E47" s="344"/>
      <c r="F47" s="343"/>
      <c r="G47" s="343" t="str">
        <f t="shared" si="2"/>
        <v/>
      </c>
      <c r="H47" s="343" t="str">
        <f t="shared" si="0"/>
        <v/>
      </c>
    </row>
    <row r="48" spans="1:8" ht="30" hidden="1" customHeight="1" x14ac:dyDescent="0.25">
      <c r="A48" s="341"/>
      <c r="B48" s="342"/>
      <c r="C48" s="343" t="str">
        <f t="shared" si="1"/>
        <v/>
      </c>
      <c r="D48" s="343"/>
      <c r="E48" s="344"/>
      <c r="F48" s="343"/>
      <c r="G48" s="343" t="str">
        <f t="shared" si="2"/>
        <v/>
      </c>
      <c r="H48" s="343" t="str">
        <f t="shared" si="0"/>
        <v/>
      </c>
    </row>
    <row r="49" spans="1:8" ht="30" hidden="1" customHeight="1" x14ac:dyDescent="0.25">
      <c r="A49" s="341"/>
      <c r="B49" s="342"/>
      <c r="C49" s="343" t="str">
        <f t="shared" si="1"/>
        <v/>
      </c>
      <c r="D49" s="343"/>
      <c r="E49" s="344"/>
      <c r="F49" s="343"/>
      <c r="G49" s="343" t="str">
        <f t="shared" si="2"/>
        <v/>
      </c>
      <c r="H49" s="343" t="str">
        <f t="shared" si="0"/>
        <v/>
      </c>
    </row>
    <row r="50" spans="1:8" ht="30" hidden="1" customHeight="1" x14ac:dyDescent="0.25">
      <c r="A50" s="341"/>
      <c r="B50" s="342"/>
      <c r="C50" s="343" t="str">
        <f t="shared" si="1"/>
        <v/>
      </c>
      <c r="D50" s="343"/>
      <c r="E50" s="344"/>
      <c r="F50" s="343"/>
      <c r="G50" s="343" t="str">
        <f t="shared" si="2"/>
        <v/>
      </c>
      <c r="H50" s="343" t="str">
        <f t="shared" si="0"/>
        <v/>
      </c>
    </row>
    <row r="51" spans="1:8" ht="30" hidden="1" customHeight="1" x14ac:dyDescent="0.25">
      <c r="A51" s="341"/>
      <c r="B51" s="342"/>
      <c r="C51" s="343" t="str">
        <f t="shared" si="1"/>
        <v/>
      </c>
      <c r="D51" s="343"/>
      <c r="E51" s="344"/>
      <c r="F51" s="343"/>
      <c r="G51" s="343" t="str">
        <f t="shared" si="2"/>
        <v/>
      </c>
      <c r="H51" s="343" t="str">
        <f t="shared" si="0"/>
        <v/>
      </c>
    </row>
    <row r="52" spans="1:8" ht="30" hidden="1" customHeight="1" x14ac:dyDescent="0.25">
      <c r="A52" s="341"/>
      <c r="B52" s="342"/>
      <c r="C52" s="343" t="str">
        <f t="shared" si="1"/>
        <v/>
      </c>
      <c r="D52" s="343"/>
      <c r="E52" s="344"/>
      <c r="F52" s="343"/>
      <c r="G52" s="343" t="str">
        <f t="shared" si="2"/>
        <v/>
      </c>
      <c r="H52" s="343" t="str">
        <f t="shared" si="0"/>
        <v/>
      </c>
    </row>
    <row r="53" spans="1:8" ht="30" hidden="1" customHeight="1" x14ac:dyDescent="0.25">
      <c r="A53" s="341"/>
      <c r="B53" s="342"/>
      <c r="C53" s="343" t="str">
        <f t="shared" si="1"/>
        <v/>
      </c>
      <c r="D53" s="343"/>
      <c r="E53" s="344"/>
      <c r="F53" s="343"/>
      <c r="G53" s="343" t="str">
        <f t="shared" si="2"/>
        <v/>
      </c>
      <c r="H53" s="343" t="str">
        <f t="shared" si="0"/>
        <v/>
      </c>
    </row>
    <row r="54" spans="1:8" ht="30" hidden="1" customHeight="1" x14ac:dyDescent="0.25">
      <c r="A54" s="341"/>
      <c r="B54" s="342"/>
      <c r="C54" s="343" t="str">
        <f t="shared" si="1"/>
        <v/>
      </c>
      <c r="D54" s="343"/>
      <c r="E54" s="344"/>
      <c r="F54" s="343"/>
      <c r="G54" s="343" t="str">
        <f t="shared" si="2"/>
        <v/>
      </c>
      <c r="H54" s="343" t="str">
        <f t="shared" si="0"/>
        <v/>
      </c>
    </row>
    <row r="55" spans="1:8" ht="30" hidden="1" customHeight="1" x14ac:dyDescent="0.25">
      <c r="A55" s="341"/>
      <c r="B55" s="342"/>
      <c r="C55" s="343" t="str">
        <f t="shared" si="1"/>
        <v/>
      </c>
      <c r="D55" s="343"/>
      <c r="E55" s="344"/>
      <c r="F55" s="343"/>
      <c r="G55" s="343" t="str">
        <f t="shared" si="2"/>
        <v/>
      </c>
      <c r="H55" s="343" t="str">
        <f t="shared" si="0"/>
        <v/>
      </c>
    </row>
    <row r="56" spans="1:8" ht="30" hidden="1" customHeight="1" x14ac:dyDescent="0.25">
      <c r="A56" s="341"/>
      <c r="B56" s="342"/>
      <c r="C56" s="343" t="str">
        <f t="shared" si="1"/>
        <v/>
      </c>
      <c r="D56" s="343"/>
      <c r="E56" s="344"/>
      <c r="F56" s="343"/>
      <c r="G56" s="343" t="str">
        <f t="shared" si="2"/>
        <v/>
      </c>
      <c r="H56" s="343" t="str">
        <f t="shared" si="0"/>
        <v/>
      </c>
    </row>
    <row r="57" spans="1:8" ht="30" hidden="1" customHeight="1" x14ac:dyDescent="0.25">
      <c r="A57" s="341"/>
      <c r="B57" s="342"/>
      <c r="C57" s="343" t="str">
        <f t="shared" si="1"/>
        <v/>
      </c>
      <c r="D57" s="343"/>
      <c r="E57" s="344"/>
      <c r="F57" s="343"/>
      <c r="G57" s="343" t="str">
        <f t="shared" si="2"/>
        <v/>
      </c>
      <c r="H57" s="343" t="str">
        <f t="shared" si="0"/>
        <v/>
      </c>
    </row>
    <row r="58" spans="1:8" ht="30" hidden="1" customHeight="1" x14ac:dyDescent="0.25">
      <c r="A58" s="341"/>
      <c r="B58" s="342"/>
      <c r="C58" s="343" t="str">
        <f t="shared" si="1"/>
        <v/>
      </c>
      <c r="D58" s="343"/>
      <c r="E58" s="344"/>
      <c r="F58" s="343"/>
      <c r="G58" s="343" t="str">
        <f t="shared" si="2"/>
        <v/>
      </c>
      <c r="H58" s="343" t="str">
        <f t="shared" si="0"/>
        <v/>
      </c>
    </row>
    <row r="59" spans="1:8" ht="30" hidden="1" customHeight="1" x14ac:dyDescent="0.25">
      <c r="A59" s="341"/>
      <c r="B59" s="342"/>
      <c r="C59" s="343" t="str">
        <f t="shared" si="1"/>
        <v/>
      </c>
      <c r="D59" s="343"/>
      <c r="E59" s="344"/>
      <c r="F59" s="343"/>
      <c r="G59" s="343" t="str">
        <f t="shared" si="2"/>
        <v/>
      </c>
      <c r="H59" s="343" t="str">
        <f t="shared" si="0"/>
        <v/>
      </c>
    </row>
    <row r="60" spans="1:8" ht="30" hidden="1" customHeight="1" x14ac:dyDescent="0.25">
      <c r="A60" s="341"/>
      <c r="B60" s="342"/>
      <c r="C60" s="343" t="str">
        <f t="shared" si="1"/>
        <v/>
      </c>
      <c r="D60" s="343"/>
      <c r="E60" s="344"/>
      <c r="F60" s="343"/>
      <c r="G60" s="343" t="str">
        <f t="shared" si="2"/>
        <v/>
      </c>
      <c r="H60" s="343" t="str">
        <f t="shared" si="0"/>
        <v/>
      </c>
    </row>
    <row r="61" spans="1:8" ht="30" hidden="1" customHeight="1" x14ac:dyDescent="0.25">
      <c r="A61" s="341"/>
      <c r="B61" s="342"/>
      <c r="C61" s="343" t="str">
        <f t="shared" si="1"/>
        <v/>
      </c>
      <c r="D61" s="343"/>
      <c r="E61" s="344"/>
      <c r="F61" s="343"/>
      <c r="G61" s="343" t="str">
        <f t="shared" si="2"/>
        <v/>
      </c>
      <c r="H61" s="343" t="str">
        <f t="shared" si="0"/>
        <v/>
      </c>
    </row>
    <row r="62" spans="1:8" ht="30" hidden="1" customHeight="1" x14ac:dyDescent="0.25">
      <c r="A62" s="341"/>
      <c r="B62" s="342"/>
      <c r="C62" s="343" t="str">
        <f t="shared" si="1"/>
        <v/>
      </c>
      <c r="D62" s="343"/>
      <c r="E62" s="344"/>
      <c r="F62" s="343"/>
      <c r="G62" s="343" t="str">
        <f t="shared" si="2"/>
        <v/>
      </c>
      <c r="H62" s="343" t="str">
        <f t="shared" si="0"/>
        <v/>
      </c>
    </row>
    <row r="63" spans="1:8" ht="30" hidden="1" customHeight="1" x14ac:dyDescent="0.25">
      <c r="A63" s="341"/>
      <c r="B63" s="342"/>
      <c r="C63" s="343" t="str">
        <f t="shared" si="1"/>
        <v/>
      </c>
      <c r="D63" s="343"/>
      <c r="E63" s="344"/>
      <c r="F63" s="343"/>
      <c r="G63" s="343" t="str">
        <f t="shared" si="2"/>
        <v/>
      </c>
      <c r="H63" s="343" t="str">
        <f t="shared" si="0"/>
        <v/>
      </c>
    </row>
    <row r="64" spans="1:8" ht="30" hidden="1" customHeight="1" x14ac:dyDescent="0.25">
      <c r="A64" s="341"/>
      <c r="B64" s="342"/>
      <c r="C64" s="343" t="str">
        <f t="shared" si="1"/>
        <v/>
      </c>
      <c r="D64" s="343"/>
      <c r="E64" s="344"/>
      <c r="F64" s="343"/>
      <c r="G64" s="343" t="str">
        <f t="shared" si="2"/>
        <v/>
      </c>
      <c r="H64" s="343" t="str">
        <f t="shared" si="0"/>
        <v/>
      </c>
    </row>
    <row r="65" spans="1:8" ht="30" hidden="1" customHeight="1" x14ac:dyDescent="0.25">
      <c r="A65" s="341"/>
      <c r="B65" s="342"/>
      <c r="C65" s="343" t="str">
        <f t="shared" si="1"/>
        <v/>
      </c>
      <c r="D65" s="343"/>
      <c r="E65" s="344"/>
      <c r="F65" s="343"/>
      <c r="G65" s="343" t="str">
        <f t="shared" si="2"/>
        <v/>
      </c>
      <c r="H65" s="343" t="str">
        <f t="shared" si="0"/>
        <v/>
      </c>
    </row>
    <row r="66" spans="1:8" ht="30" hidden="1" customHeight="1" x14ac:dyDescent="0.25">
      <c r="A66" s="341"/>
      <c r="B66" s="342"/>
      <c r="C66" s="343" t="str">
        <f t="shared" si="1"/>
        <v/>
      </c>
      <c r="D66" s="343"/>
      <c r="E66" s="344"/>
      <c r="F66" s="343"/>
      <c r="G66" s="343" t="str">
        <f t="shared" si="2"/>
        <v/>
      </c>
      <c r="H66" s="343" t="str">
        <f t="shared" si="0"/>
        <v/>
      </c>
    </row>
    <row r="67" spans="1:8" ht="30" hidden="1" customHeight="1" x14ac:dyDescent="0.25">
      <c r="A67" s="341"/>
      <c r="B67" s="342"/>
      <c r="C67" s="343" t="str">
        <f t="shared" si="1"/>
        <v/>
      </c>
      <c r="D67" s="343"/>
      <c r="E67" s="344"/>
      <c r="F67" s="343"/>
      <c r="G67" s="343" t="str">
        <f t="shared" si="2"/>
        <v/>
      </c>
      <c r="H67" s="343" t="str">
        <f t="shared" si="0"/>
        <v/>
      </c>
    </row>
    <row r="68" spans="1:8" ht="30" hidden="1" customHeight="1" x14ac:dyDescent="0.25">
      <c r="A68" s="341"/>
      <c r="B68" s="342"/>
      <c r="C68" s="343" t="str">
        <f t="shared" si="1"/>
        <v/>
      </c>
      <c r="D68" s="343"/>
      <c r="E68" s="344"/>
      <c r="F68" s="343"/>
      <c r="G68" s="343" t="str">
        <f t="shared" si="2"/>
        <v/>
      </c>
      <c r="H68" s="343" t="str">
        <f t="shared" si="0"/>
        <v/>
      </c>
    </row>
    <row r="69" spans="1:8" ht="30" hidden="1" customHeight="1" x14ac:dyDescent="0.25">
      <c r="A69" s="341"/>
      <c r="B69" s="342"/>
      <c r="C69" s="343" t="str">
        <f t="shared" si="1"/>
        <v/>
      </c>
      <c r="D69" s="343"/>
      <c r="E69" s="344"/>
      <c r="F69" s="343"/>
      <c r="G69" s="343" t="str">
        <f t="shared" si="2"/>
        <v/>
      </c>
      <c r="H69" s="343" t="str">
        <f t="shared" si="0"/>
        <v/>
      </c>
    </row>
    <row r="70" spans="1:8" ht="30" hidden="1" customHeight="1" x14ac:dyDescent="0.25">
      <c r="A70" s="341" t="s">
        <v>119</v>
      </c>
      <c r="B70" s="342"/>
      <c r="C70" s="343"/>
      <c r="D70" s="343"/>
      <c r="E70" s="344"/>
      <c r="F70" s="343"/>
      <c r="G70" s="343"/>
      <c r="H70" s="343">
        <v>0</v>
      </c>
    </row>
    <row r="71" spans="1:8" ht="15" customHeight="1" x14ac:dyDescent="0.25">
      <c r="A71" s="380" t="s">
        <v>60</v>
      </c>
      <c r="B71" s="381"/>
      <c r="C71" s="382"/>
      <c r="D71" s="381"/>
      <c r="E71" s="381"/>
      <c r="F71" s="381"/>
      <c r="G71" s="383" t="s">
        <v>61</v>
      </c>
      <c r="H71" s="356">
        <f>ROUNDDOWN(SUM(H10:H70),0)</f>
        <v>42</v>
      </c>
    </row>
    <row r="72" spans="1:8" ht="15" customHeight="1" x14ac:dyDescent="0.25">
      <c r="A72" s="4"/>
      <c r="B72" s="384">
        <f>ROUND(SUM(C10:C70)/H71*3600,2)</f>
        <v>49.71</v>
      </c>
      <c r="C72" s="4"/>
      <c r="D72" s="4"/>
      <c r="E72" s="4"/>
      <c r="F72" s="386"/>
      <c r="G72" s="387" t="s">
        <v>85</v>
      </c>
      <c r="H72" s="385">
        <f>H71/86400</f>
        <v>4.861111111111111E-4</v>
      </c>
    </row>
  </sheetData>
  <pageMargins left="0.39370078740157483" right="0.39370078740157483" top="0.39370078740157483" bottom="0.39370078740157483" header="0" footer="0"/>
  <pageSetup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J75"/>
  <sheetViews>
    <sheetView view="pageBreakPreview" topLeftCell="A36" zoomScale="70" zoomScaleNormal="100" zoomScaleSheetLayoutView="70" workbookViewId="0">
      <selection activeCell="P50" sqref="P50"/>
    </sheetView>
  </sheetViews>
  <sheetFormatPr defaultRowHeight="15" x14ac:dyDescent="0.25"/>
  <cols>
    <col min="1" max="2" width="5.7109375" style="1" customWidth="1"/>
    <col min="3" max="3" width="14.7109375" style="1" customWidth="1"/>
    <col min="4" max="4" width="15.42578125" style="1" customWidth="1"/>
    <col min="5" max="5" width="15" style="1" customWidth="1"/>
    <col min="6" max="6" width="17.7109375" style="1" customWidth="1"/>
    <col min="7" max="7" width="11.85546875" style="1" customWidth="1"/>
    <col min="8" max="8" width="9" style="1" customWidth="1"/>
    <col min="9" max="166" width="9.140625" style="1"/>
    <col min="167" max="167" width="18.7109375" style="1" customWidth="1"/>
    <col min="168" max="168" width="18.140625" style="1" customWidth="1"/>
    <col min="169" max="169" width="8.7109375" style="1" customWidth="1"/>
    <col min="170" max="170" width="9.140625" style="1"/>
    <col min="171" max="171" width="9.140625" style="1" customWidth="1"/>
    <col min="172" max="172" width="27.28515625" style="1" customWidth="1"/>
    <col min="173" max="208" width="9.140625" style="1" customWidth="1"/>
    <col min="209" max="422" width="9.140625" style="1"/>
    <col min="423" max="423" width="18.7109375" style="1" customWidth="1"/>
    <col min="424" max="424" width="18.140625" style="1" customWidth="1"/>
    <col min="425" max="425" width="8.7109375" style="1" customWidth="1"/>
    <col min="426" max="426" width="9.140625" style="1"/>
    <col min="427" max="427" width="9.140625" style="1" customWidth="1"/>
    <col min="428" max="428" width="27.28515625" style="1" customWidth="1"/>
    <col min="429" max="464" width="9.140625" style="1" customWidth="1"/>
    <col min="465" max="678" width="9.140625" style="1"/>
    <col min="679" max="679" width="18.7109375" style="1" customWidth="1"/>
    <col min="680" max="680" width="18.140625" style="1" customWidth="1"/>
    <col min="681" max="681" width="8.7109375" style="1" customWidth="1"/>
    <col min="682" max="682" width="9.140625" style="1"/>
    <col min="683" max="683" width="9.140625" style="1" customWidth="1"/>
    <col min="684" max="684" width="27.28515625" style="1" customWidth="1"/>
    <col min="685" max="720" width="9.140625" style="1" customWidth="1"/>
    <col min="721" max="934" width="9.140625" style="1"/>
    <col min="935" max="935" width="18.7109375" style="1" customWidth="1"/>
    <col min="936" max="936" width="18.140625" style="1" customWidth="1"/>
    <col min="937" max="937" width="8.7109375" style="1" customWidth="1"/>
    <col min="938" max="938" width="9.140625" style="1"/>
    <col min="939" max="939" width="9.140625" style="1" customWidth="1"/>
    <col min="940" max="940" width="27.28515625" style="1" customWidth="1"/>
    <col min="941" max="976" width="9.140625" style="1" customWidth="1"/>
    <col min="977" max="1190" width="9.140625" style="1"/>
    <col min="1191" max="1191" width="18.7109375" style="1" customWidth="1"/>
    <col min="1192" max="1192" width="18.140625" style="1" customWidth="1"/>
    <col min="1193" max="1193" width="8.7109375" style="1" customWidth="1"/>
    <col min="1194" max="1194" width="9.140625" style="1"/>
    <col min="1195" max="1195" width="9.140625" style="1" customWidth="1"/>
    <col min="1196" max="1196" width="27.28515625" style="1" customWidth="1"/>
    <col min="1197" max="1232" width="9.140625" style="1" customWidth="1"/>
    <col min="1233" max="1446" width="9.140625" style="1"/>
    <col min="1447" max="1447" width="18.7109375" style="1" customWidth="1"/>
    <col min="1448" max="1448" width="18.140625" style="1" customWidth="1"/>
    <col min="1449" max="1449" width="8.7109375" style="1" customWidth="1"/>
    <col min="1450" max="1450" width="9.140625" style="1"/>
    <col min="1451" max="1451" width="9.140625" style="1" customWidth="1"/>
    <col min="1452" max="1452" width="27.28515625" style="1" customWidth="1"/>
    <col min="1453" max="1488" width="9.140625" style="1" customWidth="1"/>
    <col min="1489" max="1702" width="9.140625" style="1"/>
    <col min="1703" max="1703" width="18.7109375" style="1" customWidth="1"/>
    <col min="1704" max="1704" width="18.140625" style="1" customWidth="1"/>
    <col min="1705" max="1705" width="8.7109375" style="1" customWidth="1"/>
    <col min="1706" max="1706" width="9.140625" style="1"/>
    <col min="1707" max="1707" width="9.140625" style="1" customWidth="1"/>
    <col min="1708" max="1708" width="27.28515625" style="1" customWidth="1"/>
    <col min="1709" max="1744" width="9.140625" style="1" customWidth="1"/>
    <col min="1745" max="1958" width="9.140625" style="1"/>
    <col min="1959" max="1959" width="18.7109375" style="1" customWidth="1"/>
    <col min="1960" max="1960" width="18.140625" style="1" customWidth="1"/>
    <col min="1961" max="1961" width="8.7109375" style="1" customWidth="1"/>
    <col min="1962" max="1962" width="9.140625" style="1"/>
    <col min="1963" max="1963" width="9.140625" style="1" customWidth="1"/>
    <col min="1964" max="1964" width="27.28515625" style="1" customWidth="1"/>
    <col min="1965" max="2000" width="9.140625" style="1" customWidth="1"/>
    <col min="2001" max="2214" width="9.140625" style="1"/>
    <col min="2215" max="2215" width="18.7109375" style="1" customWidth="1"/>
    <col min="2216" max="2216" width="18.140625" style="1" customWidth="1"/>
    <col min="2217" max="2217" width="8.7109375" style="1" customWidth="1"/>
    <col min="2218" max="2218" width="9.140625" style="1"/>
    <col min="2219" max="2219" width="9.140625" style="1" customWidth="1"/>
    <col min="2220" max="2220" width="27.28515625" style="1" customWidth="1"/>
    <col min="2221" max="2256" width="9.140625" style="1" customWidth="1"/>
    <col min="2257" max="2470" width="9.140625" style="1"/>
    <col min="2471" max="2471" width="18.7109375" style="1" customWidth="1"/>
    <col min="2472" max="2472" width="18.140625" style="1" customWidth="1"/>
    <col min="2473" max="2473" width="8.7109375" style="1" customWidth="1"/>
    <col min="2474" max="2474" width="9.140625" style="1"/>
    <col min="2475" max="2475" width="9.140625" style="1" customWidth="1"/>
    <col min="2476" max="2476" width="27.28515625" style="1" customWidth="1"/>
    <col min="2477" max="2512" width="9.140625" style="1" customWidth="1"/>
    <col min="2513" max="2726" width="9.140625" style="1"/>
    <col min="2727" max="2727" width="18.7109375" style="1" customWidth="1"/>
    <col min="2728" max="2728" width="18.140625" style="1" customWidth="1"/>
    <col min="2729" max="2729" width="8.7109375" style="1" customWidth="1"/>
    <col min="2730" max="2730" width="9.140625" style="1"/>
    <col min="2731" max="2731" width="9.140625" style="1" customWidth="1"/>
    <col min="2732" max="2732" width="27.28515625" style="1" customWidth="1"/>
    <col min="2733" max="2768" width="9.140625" style="1" customWidth="1"/>
    <col min="2769" max="2982" width="9.140625" style="1"/>
    <col min="2983" max="2983" width="18.7109375" style="1" customWidth="1"/>
    <col min="2984" max="2984" width="18.140625" style="1" customWidth="1"/>
    <col min="2985" max="2985" width="8.7109375" style="1" customWidth="1"/>
    <col min="2986" max="2986" width="9.140625" style="1"/>
    <col min="2987" max="2987" width="9.140625" style="1" customWidth="1"/>
    <col min="2988" max="2988" width="27.28515625" style="1" customWidth="1"/>
    <col min="2989" max="3024" width="9.140625" style="1" customWidth="1"/>
    <col min="3025" max="3238" width="9.140625" style="1"/>
    <col min="3239" max="3239" width="18.7109375" style="1" customWidth="1"/>
    <col min="3240" max="3240" width="18.140625" style="1" customWidth="1"/>
    <col min="3241" max="3241" width="8.7109375" style="1" customWidth="1"/>
    <col min="3242" max="3242" width="9.140625" style="1"/>
    <col min="3243" max="3243" width="9.140625" style="1" customWidth="1"/>
    <col min="3244" max="3244" width="27.28515625" style="1" customWidth="1"/>
    <col min="3245" max="3280" width="9.140625" style="1" customWidth="1"/>
    <col min="3281" max="3494" width="9.140625" style="1"/>
    <col min="3495" max="3495" width="18.7109375" style="1" customWidth="1"/>
    <col min="3496" max="3496" width="18.140625" style="1" customWidth="1"/>
    <col min="3497" max="3497" width="8.7109375" style="1" customWidth="1"/>
    <col min="3498" max="3498" width="9.140625" style="1"/>
    <col min="3499" max="3499" width="9.140625" style="1" customWidth="1"/>
    <col min="3500" max="3500" width="27.28515625" style="1" customWidth="1"/>
    <col min="3501" max="3536" width="9.140625" style="1" customWidth="1"/>
    <col min="3537" max="3750" width="9.140625" style="1"/>
    <col min="3751" max="3751" width="18.7109375" style="1" customWidth="1"/>
    <col min="3752" max="3752" width="18.140625" style="1" customWidth="1"/>
    <col min="3753" max="3753" width="8.7109375" style="1" customWidth="1"/>
    <col min="3754" max="3754" width="9.140625" style="1"/>
    <col min="3755" max="3755" width="9.140625" style="1" customWidth="1"/>
    <col min="3756" max="3756" width="27.28515625" style="1" customWidth="1"/>
    <col min="3757" max="3792" width="9.140625" style="1" customWidth="1"/>
    <col min="3793" max="4006" width="9.140625" style="1"/>
    <col min="4007" max="4007" width="18.7109375" style="1" customWidth="1"/>
    <col min="4008" max="4008" width="18.140625" style="1" customWidth="1"/>
    <col min="4009" max="4009" width="8.7109375" style="1" customWidth="1"/>
    <col min="4010" max="4010" width="9.140625" style="1"/>
    <col min="4011" max="4011" width="9.140625" style="1" customWidth="1"/>
    <col min="4012" max="4012" width="27.28515625" style="1" customWidth="1"/>
    <col min="4013" max="4048" width="9.140625" style="1" customWidth="1"/>
    <col min="4049" max="4262" width="9.140625" style="1"/>
    <col min="4263" max="4263" width="18.7109375" style="1" customWidth="1"/>
    <col min="4264" max="4264" width="18.140625" style="1" customWidth="1"/>
    <col min="4265" max="4265" width="8.7109375" style="1" customWidth="1"/>
    <col min="4266" max="4266" width="9.140625" style="1"/>
    <col min="4267" max="4267" width="9.140625" style="1" customWidth="1"/>
    <col min="4268" max="4268" width="27.28515625" style="1" customWidth="1"/>
    <col min="4269" max="4304" width="9.140625" style="1" customWidth="1"/>
    <col min="4305" max="4518" width="9.140625" style="1"/>
    <col min="4519" max="4519" width="18.7109375" style="1" customWidth="1"/>
    <col min="4520" max="4520" width="18.140625" style="1" customWidth="1"/>
    <col min="4521" max="4521" width="8.7109375" style="1" customWidth="1"/>
    <col min="4522" max="4522" width="9.140625" style="1"/>
    <col min="4523" max="4523" width="9.140625" style="1" customWidth="1"/>
    <col min="4524" max="4524" width="27.28515625" style="1" customWidth="1"/>
    <col min="4525" max="4560" width="9.140625" style="1" customWidth="1"/>
    <col min="4561" max="4774" width="9.140625" style="1"/>
    <col min="4775" max="4775" width="18.7109375" style="1" customWidth="1"/>
    <col min="4776" max="4776" width="18.140625" style="1" customWidth="1"/>
    <col min="4777" max="4777" width="8.7109375" style="1" customWidth="1"/>
    <col min="4778" max="4778" width="9.140625" style="1"/>
    <col min="4779" max="4779" width="9.140625" style="1" customWidth="1"/>
    <col min="4780" max="4780" width="27.28515625" style="1" customWidth="1"/>
    <col min="4781" max="4816" width="9.140625" style="1" customWidth="1"/>
    <col min="4817" max="5030" width="9.140625" style="1"/>
    <col min="5031" max="5031" width="18.7109375" style="1" customWidth="1"/>
    <col min="5032" max="5032" width="18.140625" style="1" customWidth="1"/>
    <col min="5033" max="5033" width="8.7109375" style="1" customWidth="1"/>
    <col min="5034" max="5034" width="9.140625" style="1"/>
    <col min="5035" max="5035" width="9.140625" style="1" customWidth="1"/>
    <col min="5036" max="5036" width="27.28515625" style="1" customWidth="1"/>
    <col min="5037" max="5072" width="9.140625" style="1" customWidth="1"/>
    <col min="5073" max="5286" width="9.140625" style="1"/>
    <col min="5287" max="5287" width="18.7109375" style="1" customWidth="1"/>
    <col min="5288" max="5288" width="18.140625" style="1" customWidth="1"/>
    <col min="5289" max="5289" width="8.7109375" style="1" customWidth="1"/>
    <col min="5290" max="5290" width="9.140625" style="1"/>
    <col min="5291" max="5291" width="9.140625" style="1" customWidth="1"/>
    <col min="5292" max="5292" width="27.28515625" style="1" customWidth="1"/>
    <col min="5293" max="5328" width="9.140625" style="1" customWidth="1"/>
    <col min="5329" max="5542" width="9.140625" style="1"/>
    <col min="5543" max="5543" width="18.7109375" style="1" customWidth="1"/>
    <col min="5544" max="5544" width="18.140625" style="1" customWidth="1"/>
    <col min="5545" max="5545" width="8.7109375" style="1" customWidth="1"/>
    <col min="5546" max="5546" width="9.140625" style="1"/>
    <col min="5547" max="5547" width="9.140625" style="1" customWidth="1"/>
    <col min="5548" max="5548" width="27.28515625" style="1" customWidth="1"/>
    <col min="5549" max="5584" width="9.140625" style="1" customWidth="1"/>
    <col min="5585" max="5798" width="9.140625" style="1"/>
    <col min="5799" max="5799" width="18.7109375" style="1" customWidth="1"/>
    <col min="5800" max="5800" width="18.140625" style="1" customWidth="1"/>
    <col min="5801" max="5801" width="8.7109375" style="1" customWidth="1"/>
    <col min="5802" max="5802" width="9.140625" style="1"/>
    <col min="5803" max="5803" width="9.140625" style="1" customWidth="1"/>
    <col min="5804" max="5804" width="27.28515625" style="1" customWidth="1"/>
    <col min="5805" max="5840" width="9.140625" style="1" customWidth="1"/>
    <col min="5841" max="6054" width="9.140625" style="1"/>
    <col min="6055" max="6055" width="18.7109375" style="1" customWidth="1"/>
    <col min="6056" max="6056" width="18.140625" style="1" customWidth="1"/>
    <col min="6057" max="6057" width="8.7109375" style="1" customWidth="1"/>
    <col min="6058" max="6058" width="9.140625" style="1"/>
    <col min="6059" max="6059" width="9.140625" style="1" customWidth="1"/>
    <col min="6060" max="6060" width="27.28515625" style="1" customWidth="1"/>
    <col min="6061" max="6096" width="9.140625" style="1" customWidth="1"/>
    <col min="6097" max="6310" width="9.140625" style="1"/>
    <col min="6311" max="6311" width="18.7109375" style="1" customWidth="1"/>
    <col min="6312" max="6312" width="18.140625" style="1" customWidth="1"/>
    <col min="6313" max="6313" width="8.7109375" style="1" customWidth="1"/>
    <col min="6314" max="6314" width="9.140625" style="1"/>
    <col min="6315" max="6315" width="9.140625" style="1" customWidth="1"/>
    <col min="6316" max="6316" width="27.28515625" style="1" customWidth="1"/>
    <col min="6317" max="6352" width="9.140625" style="1" customWidth="1"/>
    <col min="6353" max="6566" width="9.140625" style="1"/>
    <col min="6567" max="6567" width="18.7109375" style="1" customWidth="1"/>
    <col min="6568" max="6568" width="18.140625" style="1" customWidth="1"/>
    <col min="6569" max="6569" width="8.7109375" style="1" customWidth="1"/>
    <col min="6570" max="6570" width="9.140625" style="1"/>
    <col min="6571" max="6571" width="9.140625" style="1" customWidth="1"/>
    <col min="6572" max="6572" width="27.28515625" style="1" customWidth="1"/>
    <col min="6573" max="6608" width="9.140625" style="1" customWidth="1"/>
    <col min="6609" max="6822" width="9.140625" style="1"/>
    <col min="6823" max="6823" width="18.7109375" style="1" customWidth="1"/>
    <col min="6824" max="6824" width="18.140625" style="1" customWidth="1"/>
    <col min="6825" max="6825" width="8.7109375" style="1" customWidth="1"/>
    <col min="6826" max="6826" width="9.140625" style="1"/>
    <col min="6827" max="6827" width="9.140625" style="1" customWidth="1"/>
    <col min="6828" max="6828" width="27.28515625" style="1" customWidth="1"/>
    <col min="6829" max="6864" width="9.140625" style="1" customWidth="1"/>
    <col min="6865" max="7078" width="9.140625" style="1"/>
    <col min="7079" max="7079" width="18.7109375" style="1" customWidth="1"/>
    <col min="7080" max="7080" width="18.140625" style="1" customWidth="1"/>
    <col min="7081" max="7081" width="8.7109375" style="1" customWidth="1"/>
    <col min="7082" max="7082" width="9.140625" style="1"/>
    <col min="7083" max="7083" width="9.140625" style="1" customWidth="1"/>
    <col min="7084" max="7084" width="27.28515625" style="1" customWidth="1"/>
    <col min="7085" max="7120" width="9.140625" style="1" customWidth="1"/>
    <col min="7121" max="7334" width="9.140625" style="1"/>
    <col min="7335" max="7335" width="18.7109375" style="1" customWidth="1"/>
    <col min="7336" max="7336" width="18.140625" style="1" customWidth="1"/>
    <col min="7337" max="7337" width="8.7109375" style="1" customWidth="1"/>
    <col min="7338" max="7338" width="9.140625" style="1"/>
    <col min="7339" max="7339" width="9.140625" style="1" customWidth="1"/>
    <col min="7340" max="7340" width="27.28515625" style="1" customWidth="1"/>
    <col min="7341" max="7376" width="9.140625" style="1" customWidth="1"/>
    <col min="7377" max="7590" width="9.140625" style="1"/>
    <col min="7591" max="7591" width="18.7109375" style="1" customWidth="1"/>
    <col min="7592" max="7592" width="18.140625" style="1" customWidth="1"/>
    <col min="7593" max="7593" width="8.7109375" style="1" customWidth="1"/>
    <col min="7594" max="7594" width="9.140625" style="1"/>
    <col min="7595" max="7595" width="9.140625" style="1" customWidth="1"/>
    <col min="7596" max="7596" width="27.28515625" style="1" customWidth="1"/>
    <col min="7597" max="7632" width="9.140625" style="1" customWidth="1"/>
    <col min="7633" max="7846" width="9.140625" style="1"/>
    <col min="7847" max="7847" width="18.7109375" style="1" customWidth="1"/>
    <col min="7848" max="7848" width="18.140625" style="1" customWidth="1"/>
    <col min="7849" max="7849" width="8.7109375" style="1" customWidth="1"/>
    <col min="7850" max="7850" width="9.140625" style="1"/>
    <col min="7851" max="7851" width="9.140625" style="1" customWidth="1"/>
    <col min="7852" max="7852" width="27.28515625" style="1" customWidth="1"/>
    <col min="7853" max="7888" width="9.140625" style="1" customWidth="1"/>
    <col min="7889" max="8102" width="9.140625" style="1"/>
    <col min="8103" max="8103" width="18.7109375" style="1" customWidth="1"/>
    <col min="8104" max="8104" width="18.140625" style="1" customWidth="1"/>
    <col min="8105" max="8105" width="8.7109375" style="1" customWidth="1"/>
    <col min="8106" max="8106" width="9.140625" style="1"/>
    <col min="8107" max="8107" width="9.140625" style="1" customWidth="1"/>
    <col min="8108" max="8108" width="27.28515625" style="1" customWidth="1"/>
    <col min="8109" max="8144" width="9.140625" style="1" customWidth="1"/>
    <col min="8145" max="8358" width="9.140625" style="1"/>
    <col min="8359" max="8359" width="18.7109375" style="1" customWidth="1"/>
    <col min="8360" max="8360" width="18.140625" style="1" customWidth="1"/>
    <col min="8361" max="8361" width="8.7109375" style="1" customWidth="1"/>
    <col min="8362" max="8362" width="9.140625" style="1"/>
    <col min="8363" max="8363" width="9.140625" style="1" customWidth="1"/>
    <col min="8364" max="8364" width="27.28515625" style="1" customWidth="1"/>
    <col min="8365" max="8400" width="9.140625" style="1" customWidth="1"/>
    <col min="8401" max="8614" width="9.140625" style="1"/>
    <col min="8615" max="8615" width="18.7109375" style="1" customWidth="1"/>
    <col min="8616" max="8616" width="18.140625" style="1" customWidth="1"/>
    <col min="8617" max="8617" width="8.7109375" style="1" customWidth="1"/>
    <col min="8618" max="8618" width="9.140625" style="1"/>
    <col min="8619" max="8619" width="9.140625" style="1" customWidth="1"/>
    <col min="8620" max="8620" width="27.28515625" style="1" customWidth="1"/>
    <col min="8621" max="8656" width="9.140625" style="1" customWidth="1"/>
    <col min="8657" max="8870" width="9.140625" style="1"/>
    <col min="8871" max="8871" width="18.7109375" style="1" customWidth="1"/>
    <col min="8872" max="8872" width="18.140625" style="1" customWidth="1"/>
    <col min="8873" max="8873" width="8.7109375" style="1" customWidth="1"/>
    <col min="8874" max="8874" width="9.140625" style="1"/>
    <col min="8875" max="8875" width="9.140625" style="1" customWidth="1"/>
    <col min="8876" max="8876" width="27.28515625" style="1" customWidth="1"/>
    <col min="8877" max="8912" width="9.140625" style="1" customWidth="1"/>
    <col min="8913" max="9126" width="9.140625" style="1"/>
    <col min="9127" max="9127" width="18.7109375" style="1" customWidth="1"/>
    <col min="9128" max="9128" width="18.140625" style="1" customWidth="1"/>
    <col min="9129" max="9129" width="8.7109375" style="1" customWidth="1"/>
    <col min="9130" max="9130" width="9.140625" style="1"/>
    <col min="9131" max="9131" width="9.140625" style="1" customWidth="1"/>
    <col min="9132" max="9132" width="27.28515625" style="1" customWidth="1"/>
    <col min="9133" max="9168" width="9.140625" style="1" customWidth="1"/>
    <col min="9169" max="9382" width="9.140625" style="1"/>
    <col min="9383" max="9383" width="18.7109375" style="1" customWidth="1"/>
    <col min="9384" max="9384" width="18.140625" style="1" customWidth="1"/>
    <col min="9385" max="9385" width="8.7109375" style="1" customWidth="1"/>
    <col min="9386" max="9386" width="9.140625" style="1"/>
    <col min="9387" max="9387" width="9.140625" style="1" customWidth="1"/>
    <col min="9388" max="9388" width="27.28515625" style="1" customWidth="1"/>
    <col min="9389" max="9424" width="9.140625" style="1" customWidth="1"/>
    <col min="9425" max="9638" width="9.140625" style="1"/>
    <col min="9639" max="9639" width="18.7109375" style="1" customWidth="1"/>
    <col min="9640" max="9640" width="18.140625" style="1" customWidth="1"/>
    <col min="9641" max="9641" width="8.7109375" style="1" customWidth="1"/>
    <col min="9642" max="9642" width="9.140625" style="1"/>
    <col min="9643" max="9643" width="9.140625" style="1" customWidth="1"/>
    <col min="9644" max="9644" width="27.28515625" style="1" customWidth="1"/>
    <col min="9645" max="9680" width="9.140625" style="1" customWidth="1"/>
    <col min="9681" max="9894" width="9.140625" style="1"/>
    <col min="9895" max="9895" width="18.7109375" style="1" customWidth="1"/>
    <col min="9896" max="9896" width="18.140625" style="1" customWidth="1"/>
    <col min="9897" max="9897" width="8.7109375" style="1" customWidth="1"/>
    <col min="9898" max="9898" width="9.140625" style="1"/>
    <col min="9899" max="9899" width="9.140625" style="1" customWidth="1"/>
    <col min="9900" max="9900" width="27.28515625" style="1" customWidth="1"/>
    <col min="9901" max="9936" width="9.140625" style="1" customWidth="1"/>
    <col min="9937" max="10150" width="9.140625" style="1"/>
    <col min="10151" max="10151" width="18.7109375" style="1" customWidth="1"/>
    <col min="10152" max="10152" width="18.140625" style="1" customWidth="1"/>
    <col min="10153" max="10153" width="8.7109375" style="1" customWidth="1"/>
    <col min="10154" max="10154" width="9.140625" style="1"/>
    <col min="10155" max="10155" width="9.140625" style="1" customWidth="1"/>
    <col min="10156" max="10156" width="27.28515625" style="1" customWidth="1"/>
    <col min="10157" max="10192" width="9.140625" style="1" customWidth="1"/>
    <col min="10193" max="10406" width="9.140625" style="1"/>
    <col min="10407" max="10407" width="18.7109375" style="1" customWidth="1"/>
    <col min="10408" max="10408" width="18.140625" style="1" customWidth="1"/>
    <col min="10409" max="10409" width="8.7109375" style="1" customWidth="1"/>
    <col min="10410" max="10410" width="9.140625" style="1"/>
    <col min="10411" max="10411" width="9.140625" style="1" customWidth="1"/>
    <col min="10412" max="10412" width="27.28515625" style="1" customWidth="1"/>
    <col min="10413" max="10448" width="9.140625" style="1" customWidth="1"/>
    <col min="10449" max="10662" width="9.140625" style="1"/>
    <col min="10663" max="10663" width="18.7109375" style="1" customWidth="1"/>
    <col min="10664" max="10664" width="18.140625" style="1" customWidth="1"/>
    <col min="10665" max="10665" width="8.7109375" style="1" customWidth="1"/>
    <col min="10666" max="10666" width="9.140625" style="1"/>
    <col min="10667" max="10667" width="9.140625" style="1" customWidth="1"/>
    <col min="10668" max="10668" width="27.28515625" style="1" customWidth="1"/>
    <col min="10669" max="10704" width="9.140625" style="1" customWidth="1"/>
    <col min="10705" max="10918" width="9.140625" style="1"/>
    <col min="10919" max="10919" width="18.7109375" style="1" customWidth="1"/>
    <col min="10920" max="10920" width="18.140625" style="1" customWidth="1"/>
    <col min="10921" max="10921" width="8.7109375" style="1" customWidth="1"/>
    <col min="10922" max="10922" width="9.140625" style="1"/>
    <col min="10923" max="10923" width="9.140625" style="1" customWidth="1"/>
    <col min="10924" max="10924" width="27.28515625" style="1" customWidth="1"/>
    <col min="10925" max="10960" width="9.140625" style="1" customWidth="1"/>
    <col min="10961" max="11174" width="9.140625" style="1"/>
    <col min="11175" max="11175" width="18.7109375" style="1" customWidth="1"/>
    <col min="11176" max="11176" width="18.140625" style="1" customWidth="1"/>
    <col min="11177" max="11177" width="8.7109375" style="1" customWidth="1"/>
    <col min="11178" max="11178" width="9.140625" style="1"/>
    <col min="11179" max="11179" width="9.140625" style="1" customWidth="1"/>
    <col min="11180" max="11180" width="27.28515625" style="1" customWidth="1"/>
    <col min="11181" max="11216" width="9.140625" style="1" customWidth="1"/>
    <col min="11217" max="11430" width="9.140625" style="1"/>
    <col min="11431" max="11431" width="18.7109375" style="1" customWidth="1"/>
    <col min="11432" max="11432" width="18.140625" style="1" customWidth="1"/>
    <col min="11433" max="11433" width="8.7109375" style="1" customWidth="1"/>
    <col min="11434" max="11434" width="9.140625" style="1"/>
    <col min="11435" max="11435" width="9.140625" style="1" customWidth="1"/>
    <col min="11436" max="11436" width="27.28515625" style="1" customWidth="1"/>
    <col min="11437" max="11472" width="9.140625" style="1" customWidth="1"/>
    <col min="11473" max="11686" width="9.140625" style="1"/>
    <col min="11687" max="11687" width="18.7109375" style="1" customWidth="1"/>
    <col min="11688" max="11688" width="18.140625" style="1" customWidth="1"/>
    <col min="11689" max="11689" width="8.7109375" style="1" customWidth="1"/>
    <col min="11690" max="11690" width="9.140625" style="1"/>
    <col min="11691" max="11691" width="9.140625" style="1" customWidth="1"/>
    <col min="11692" max="11692" width="27.28515625" style="1" customWidth="1"/>
    <col min="11693" max="11728" width="9.140625" style="1" customWidth="1"/>
    <col min="11729" max="11942" width="9.140625" style="1"/>
    <col min="11943" max="11943" width="18.7109375" style="1" customWidth="1"/>
    <col min="11944" max="11944" width="18.140625" style="1" customWidth="1"/>
    <col min="11945" max="11945" width="8.7109375" style="1" customWidth="1"/>
    <col min="11946" max="11946" width="9.140625" style="1"/>
    <col min="11947" max="11947" width="9.140625" style="1" customWidth="1"/>
    <col min="11948" max="11948" width="27.28515625" style="1" customWidth="1"/>
    <col min="11949" max="11984" width="9.140625" style="1" customWidth="1"/>
    <col min="11985" max="12198" width="9.140625" style="1"/>
    <col min="12199" max="12199" width="18.7109375" style="1" customWidth="1"/>
    <col min="12200" max="12200" width="18.140625" style="1" customWidth="1"/>
    <col min="12201" max="12201" width="8.7109375" style="1" customWidth="1"/>
    <col min="12202" max="12202" width="9.140625" style="1"/>
    <col min="12203" max="12203" width="9.140625" style="1" customWidth="1"/>
    <col min="12204" max="12204" width="27.28515625" style="1" customWidth="1"/>
    <col min="12205" max="12240" width="9.140625" style="1" customWidth="1"/>
    <col min="12241" max="12454" width="9.140625" style="1"/>
    <col min="12455" max="12455" width="18.7109375" style="1" customWidth="1"/>
    <col min="12456" max="12456" width="18.140625" style="1" customWidth="1"/>
    <col min="12457" max="12457" width="8.7109375" style="1" customWidth="1"/>
    <col min="12458" max="12458" width="9.140625" style="1"/>
    <col min="12459" max="12459" width="9.140625" style="1" customWidth="1"/>
    <col min="12460" max="12460" width="27.28515625" style="1" customWidth="1"/>
    <col min="12461" max="12496" width="9.140625" style="1" customWidth="1"/>
    <col min="12497" max="12710" width="9.140625" style="1"/>
    <col min="12711" max="12711" width="18.7109375" style="1" customWidth="1"/>
    <col min="12712" max="12712" width="18.140625" style="1" customWidth="1"/>
    <col min="12713" max="12713" width="8.7109375" style="1" customWidth="1"/>
    <col min="12714" max="12714" width="9.140625" style="1"/>
    <col min="12715" max="12715" width="9.140625" style="1" customWidth="1"/>
    <col min="12716" max="12716" width="27.28515625" style="1" customWidth="1"/>
    <col min="12717" max="12752" width="9.140625" style="1" customWidth="1"/>
    <col min="12753" max="12966" width="9.140625" style="1"/>
    <col min="12967" max="12967" width="18.7109375" style="1" customWidth="1"/>
    <col min="12968" max="12968" width="18.140625" style="1" customWidth="1"/>
    <col min="12969" max="12969" width="8.7109375" style="1" customWidth="1"/>
    <col min="12970" max="12970" width="9.140625" style="1"/>
    <col min="12971" max="12971" width="9.140625" style="1" customWidth="1"/>
    <col min="12972" max="12972" width="27.28515625" style="1" customWidth="1"/>
    <col min="12973" max="13008" width="9.140625" style="1" customWidth="1"/>
    <col min="13009" max="13222" width="9.140625" style="1"/>
    <col min="13223" max="13223" width="18.7109375" style="1" customWidth="1"/>
    <col min="13224" max="13224" width="18.140625" style="1" customWidth="1"/>
    <col min="13225" max="13225" width="8.7109375" style="1" customWidth="1"/>
    <col min="13226" max="13226" width="9.140625" style="1"/>
    <col min="13227" max="13227" width="9.140625" style="1" customWidth="1"/>
    <col min="13228" max="13228" width="27.28515625" style="1" customWidth="1"/>
    <col min="13229" max="13264" width="9.140625" style="1" customWidth="1"/>
    <col min="13265" max="13478" width="9.140625" style="1"/>
    <col min="13479" max="13479" width="18.7109375" style="1" customWidth="1"/>
    <col min="13480" max="13480" width="18.140625" style="1" customWidth="1"/>
    <col min="13481" max="13481" width="8.7109375" style="1" customWidth="1"/>
    <col min="13482" max="13482" width="9.140625" style="1"/>
    <col min="13483" max="13483" width="9.140625" style="1" customWidth="1"/>
    <col min="13484" max="13484" width="27.28515625" style="1" customWidth="1"/>
    <col min="13485" max="13520" width="9.140625" style="1" customWidth="1"/>
    <col min="13521" max="13734" width="9.140625" style="1"/>
    <col min="13735" max="13735" width="18.7109375" style="1" customWidth="1"/>
    <col min="13736" max="13736" width="18.140625" style="1" customWidth="1"/>
    <col min="13737" max="13737" width="8.7109375" style="1" customWidth="1"/>
    <col min="13738" max="13738" width="9.140625" style="1"/>
    <col min="13739" max="13739" width="9.140625" style="1" customWidth="1"/>
    <col min="13740" max="13740" width="27.28515625" style="1" customWidth="1"/>
    <col min="13741" max="13776" width="9.140625" style="1" customWidth="1"/>
    <col min="13777" max="13990" width="9.140625" style="1"/>
    <col min="13991" max="13991" width="18.7109375" style="1" customWidth="1"/>
    <col min="13992" max="13992" width="18.140625" style="1" customWidth="1"/>
    <col min="13993" max="13993" width="8.7109375" style="1" customWidth="1"/>
    <col min="13994" max="13994" width="9.140625" style="1"/>
    <col min="13995" max="13995" width="9.140625" style="1" customWidth="1"/>
    <col min="13996" max="13996" width="27.28515625" style="1" customWidth="1"/>
    <col min="13997" max="14032" width="9.140625" style="1" customWidth="1"/>
    <col min="14033" max="14246" width="9.140625" style="1"/>
    <col min="14247" max="14247" width="18.7109375" style="1" customWidth="1"/>
    <col min="14248" max="14248" width="18.140625" style="1" customWidth="1"/>
    <col min="14249" max="14249" width="8.7109375" style="1" customWidth="1"/>
    <col min="14250" max="14250" width="9.140625" style="1"/>
    <col min="14251" max="14251" width="9.140625" style="1" customWidth="1"/>
    <col min="14252" max="14252" width="27.28515625" style="1" customWidth="1"/>
    <col min="14253" max="14288" width="9.140625" style="1" customWidth="1"/>
    <col min="14289" max="14502" width="9.140625" style="1"/>
    <col min="14503" max="14503" width="18.7109375" style="1" customWidth="1"/>
    <col min="14504" max="14504" width="18.140625" style="1" customWidth="1"/>
    <col min="14505" max="14505" width="8.7109375" style="1" customWidth="1"/>
    <col min="14506" max="14506" width="9.140625" style="1"/>
    <col min="14507" max="14507" width="9.140625" style="1" customWidth="1"/>
    <col min="14508" max="14508" width="27.28515625" style="1" customWidth="1"/>
    <col min="14509" max="14544" width="9.140625" style="1" customWidth="1"/>
    <col min="14545" max="14758" width="9.140625" style="1"/>
    <col min="14759" max="14759" width="18.7109375" style="1" customWidth="1"/>
    <col min="14760" max="14760" width="18.140625" style="1" customWidth="1"/>
    <col min="14761" max="14761" width="8.7109375" style="1" customWidth="1"/>
    <col min="14762" max="14762" width="9.140625" style="1"/>
    <col min="14763" max="14763" width="9.140625" style="1" customWidth="1"/>
    <col min="14764" max="14764" width="27.28515625" style="1" customWidth="1"/>
    <col min="14765" max="14800" width="9.140625" style="1" customWidth="1"/>
    <col min="14801" max="15014" width="9.140625" style="1"/>
    <col min="15015" max="15015" width="18.7109375" style="1" customWidth="1"/>
    <col min="15016" max="15016" width="18.140625" style="1" customWidth="1"/>
    <col min="15017" max="15017" width="8.7109375" style="1" customWidth="1"/>
    <col min="15018" max="15018" width="9.140625" style="1"/>
    <col min="15019" max="15019" width="9.140625" style="1" customWidth="1"/>
    <col min="15020" max="15020" width="27.28515625" style="1" customWidth="1"/>
    <col min="15021" max="15056" width="9.140625" style="1" customWidth="1"/>
    <col min="15057" max="15270" width="9.140625" style="1"/>
    <col min="15271" max="15271" width="18.7109375" style="1" customWidth="1"/>
    <col min="15272" max="15272" width="18.140625" style="1" customWidth="1"/>
    <col min="15273" max="15273" width="8.7109375" style="1" customWidth="1"/>
    <col min="15274" max="15274" width="9.140625" style="1"/>
    <col min="15275" max="15275" width="9.140625" style="1" customWidth="1"/>
    <col min="15276" max="15276" width="27.28515625" style="1" customWidth="1"/>
    <col min="15277" max="15312" width="9.140625" style="1" customWidth="1"/>
    <col min="15313" max="15526" width="9.140625" style="1"/>
    <col min="15527" max="15527" width="18.7109375" style="1" customWidth="1"/>
    <col min="15528" max="15528" width="18.140625" style="1" customWidth="1"/>
    <col min="15529" max="15529" width="8.7109375" style="1" customWidth="1"/>
    <col min="15530" max="15530" width="9.140625" style="1"/>
    <col min="15531" max="15531" width="9.140625" style="1" customWidth="1"/>
    <col min="15532" max="15532" width="27.28515625" style="1" customWidth="1"/>
    <col min="15533" max="15568" width="9.140625" style="1" customWidth="1"/>
    <col min="15569" max="15782" width="9.140625" style="1"/>
    <col min="15783" max="15783" width="18.7109375" style="1" customWidth="1"/>
    <col min="15784" max="15784" width="18.140625" style="1" customWidth="1"/>
    <col min="15785" max="15785" width="8.7109375" style="1" customWidth="1"/>
    <col min="15786" max="15786" width="9.140625" style="1"/>
    <col min="15787" max="15787" width="9.140625" style="1" customWidth="1"/>
    <col min="15788" max="15788" width="27.28515625" style="1" customWidth="1"/>
    <col min="15789" max="15824" width="9.140625" style="1" customWidth="1"/>
    <col min="15825" max="16038" width="9.140625" style="1"/>
    <col min="16039" max="16039" width="18.7109375" style="1" customWidth="1"/>
    <col min="16040" max="16040" width="18.140625" style="1" customWidth="1"/>
    <col min="16041" max="16041" width="8.7109375" style="1" customWidth="1"/>
    <col min="16042" max="16042" width="9.140625" style="1"/>
    <col min="16043" max="16043" width="9.140625" style="1" customWidth="1"/>
    <col min="16044" max="16044" width="27.28515625" style="1" customWidth="1"/>
    <col min="16045" max="16080" width="9.140625" style="1" customWidth="1"/>
    <col min="16081" max="16384" width="9.140625" style="1"/>
  </cols>
  <sheetData>
    <row r="1" spans="1:10" s="2" customFormat="1" ht="50.1" customHeight="1" x14ac:dyDescent="0.25">
      <c r="A1" s="16" t="str">
        <f>"Стартовая ведомость "&amp;название</f>
        <v>Стартовая ведомость Ралли "Skoda - 2019"</v>
      </c>
      <c r="B1" s="15"/>
      <c r="C1" s="14"/>
      <c r="D1" s="14"/>
      <c r="E1" s="14"/>
      <c r="F1" s="14"/>
      <c r="G1" s="17"/>
    </row>
    <row r="2" spans="1:10" s="2" customFormat="1" ht="3" customHeight="1" x14ac:dyDescent="0.25"/>
    <row r="3" spans="1:10" hidden="1" x14ac:dyDescent="0.25"/>
    <row r="4" spans="1:10" hidden="1" x14ac:dyDescent="0.25"/>
    <row r="5" spans="1:10" hidden="1" x14ac:dyDescent="0.25"/>
    <row r="6" spans="1:10" hidden="1" x14ac:dyDescent="0.25"/>
    <row r="7" spans="1:10" hidden="1" x14ac:dyDescent="0.25"/>
    <row r="8" spans="1:10" hidden="1" x14ac:dyDescent="0.25"/>
    <row r="9" spans="1:10" ht="51" x14ac:dyDescent="0.25">
      <c r="A9" s="357" t="s">
        <v>35</v>
      </c>
      <c r="B9" s="216" t="s">
        <v>9</v>
      </c>
      <c r="C9" s="216" t="s">
        <v>10</v>
      </c>
      <c r="D9" s="216" t="s">
        <v>367</v>
      </c>
      <c r="E9" s="216" t="s">
        <v>368</v>
      </c>
      <c r="F9" s="216" t="s">
        <v>31</v>
      </c>
      <c r="G9" s="216" t="s">
        <v>241</v>
      </c>
      <c r="H9" s="358" t="s">
        <v>25</v>
      </c>
    </row>
    <row r="10" spans="1:10" ht="30" customHeight="1" x14ac:dyDescent="0.25">
      <c r="A10" s="359">
        <v>1</v>
      </c>
      <c r="B10" s="360">
        <f>IF(LEN(заявки[Ст. №])&gt;0,заявки[Ст. №],"")</f>
        <v>1</v>
      </c>
      <c r="C10" s="404" t="str">
        <f>VLOOKUP($A10,заявки[],4)</f>
        <v>BMW 420i xDrive</v>
      </c>
      <c r="D10" s="404" t="str">
        <f>VLOOKUP($A10,заявки[],6)</f>
        <v>Мозговая Светлана</v>
      </c>
      <c r="E10" s="404" t="str">
        <f>VLOOKUP($A10,заявки[],10)</f>
        <v>Сальников Евгений</v>
      </c>
      <c r="F10" s="404" t="str">
        <f>VLOOKUP($A10,заявки[],14)</f>
        <v>Москва</v>
      </c>
      <c r="G10" s="198" t="str">
        <f>VLOOKUP($A10,заявки[],3)</f>
        <v>Pro, Кубок</v>
      </c>
      <c r="H10" s="361">
        <f>старт</f>
        <v>0.41736111111111113</v>
      </c>
      <c r="J10" s="1" t="s">
        <v>249</v>
      </c>
    </row>
    <row r="11" spans="1:10" ht="30" customHeight="1" x14ac:dyDescent="0.25">
      <c r="A11" s="359">
        <f>1+A10</f>
        <v>2</v>
      </c>
      <c r="B11" s="360">
        <f>IF(LEN(заявки[Ст. №])&gt;0,заявки[Ст. №],"")</f>
        <v>2</v>
      </c>
      <c r="C11" s="404" t="str">
        <f>VLOOKUP($A11,заявки[],4)</f>
        <v>Renault Sandero</v>
      </c>
      <c r="D11" s="404" t="str">
        <f>VLOOKUP($A11,заявки[],6)</f>
        <v>Працкова Яна</v>
      </c>
      <c r="E11" s="404" t="str">
        <f>VLOOKUP($A11,заявки[],10)</f>
        <v>Левинский Борис</v>
      </c>
      <c r="F11" s="404" t="str">
        <f>VLOOKUP($A11,заявки[],14)</f>
        <v>Смоленск / Москва</v>
      </c>
      <c r="G11" s="198" t="str">
        <f>VLOOKUP($A11,заявки[],3)</f>
        <v>Pro</v>
      </c>
      <c r="H11" s="361">
        <f t="shared" ref="H11:H69" si="0">H10+TIME(0,1,0)</f>
        <v>0.41805555555555557</v>
      </c>
      <c r="J11" s="1" t="s">
        <v>255</v>
      </c>
    </row>
    <row r="12" spans="1:10" ht="30" customHeight="1" x14ac:dyDescent="0.25">
      <c r="A12" s="359">
        <f t="shared" ref="A12:A69" si="1">1+A11</f>
        <v>3</v>
      </c>
      <c r="B12" s="360">
        <f>IF(LEN(заявки[Ст. №])&gt;0,заявки[Ст. №],"")</f>
        <v>3</v>
      </c>
      <c r="C12" s="404" t="str">
        <f>VLOOKUP($A12,заявки[],4)</f>
        <v>DAEWOO NEXIA</v>
      </c>
      <c r="D12" s="404" t="str">
        <f>VLOOKUP($A12,заявки[],6)</f>
        <v>Шеянов Олег</v>
      </c>
      <c r="E12" s="404" t="str">
        <f>VLOOKUP($A12,заявки[],10)</f>
        <v>Воронцова Людмила</v>
      </c>
      <c r="F12" s="404" t="str">
        <f>VLOOKUP($A12,заявки[],14)</f>
        <v>Москва</v>
      </c>
      <c r="G12" s="198" t="str">
        <f>VLOOKUP($A12,заявки[],3)</f>
        <v>Pro</v>
      </c>
      <c r="H12" s="361">
        <f t="shared" si="0"/>
        <v>0.41875000000000001</v>
      </c>
    </row>
    <row r="13" spans="1:10" ht="30" customHeight="1" x14ac:dyDescent="0.25">
      <c r="A13" s="359">
        <f t="shared" si="1"/>
        <v>4</v>
      </c>
      <c r="B13" s="360">
        <f>IF(LEN(заявки[Ст. №])&gt;0,заявки[Ст. №],"")</f>
        <v>4</v>
      </c>
      <c r="C13" s="404" t="str">
        <f>VLOOKUP($A13,заявки[],4)</f>
        <v>Skoda Rapid</v>
      </c>
      <c r="D13" s="404" t="str">
        <f>VLOOKUP($A13,заявки[],6)</f>
        <v>Лучкин Андрей</v>
      </c>
      <c r="E13" s="404" t="str">
        <f>VLOOKUP($A13,заявки[],10)</f>
        <v>Лучкин Роман</v>
      </c>
      <c r="F13" s="404" t="str">
        <f>VLOOKUP($A13,заявки[],14)</f>
        <v>Смоленск</v>
      </c>
      <c r="G13" s="198" t="str">
        <f>VLOOKUP($A13,заявки[],3)</f>
        <v>Pro, Кубок</v>
      </c>
      <c r="H13" s="361">
        <f t="shared" si="0"/>
        <v>0.41944444444444445</v>
      </c>
    </row>
    <row r="14" spans="1:10" ht="30" customHeight="1" x14ac:dyDescent="0.25">
      <c r="A14" s="359">
        <f t="shared" si="1"/>
        <v>5</v>
      </c>
      <c r="B14" s="360">
        <f>IF(LEN(заявки[Ст. №])&gt;0,заявки[Ст. №],"")</f>
        <v>5</v>
      </c>
      <c r="C14" s="404" t="str">
        <f>VLOOKUP($A14,заявки[],4)</f>
        <v>Volga Siber</v>
      </c>
      <c r="D14" s="404" t="str">
        <f>VLOOKUP($A14,заявки[],6)</f>
        <v>Гудков Никита</v>
      </c>
      <c r="E14" s="404" t="str">
        <f>VLOOKUP($A14,заявки[],10)</f>
        <v>Гусева Александра</v>
      </c>
      <c r="F14" s="404" t="str">
        <f>VLOOKUP($A14,заявки[],14)</f>
        <v>Москва</v>
      </c>
      <c r="G14" s="198" t="str">
        <f>VLOOKUP($A14,заявки[],3)</f>
        <v>Pro</v>
      </c>
      <c r="H14" s="361">
        <f t="shared" si="0"/>
        <v>0.4201388888888889</v>
      </c>
    </row>
    <row r="15" spans="1:10" ht="30" customHeight="1" x14ac:dyDescent="0.25">
      <c r="A15" s="359">
        <f t="shared" si="1"/>
        <v>6</v>
      </c>
      <c r="B15" s="360">
        <f>IF(LEN(заявки[Ст. №])&gt;0,заявки[Ст. №],"")</f>
        <v>6</v>
      </c>
      <c r="C15" s="404" t="str">
        <f>VLOOKUP($A15,заявки[],4)</f>
        <v>Opel Corsa</v>
      </c>
      <c r="D15" s="404" t="str">
        <f>VLOOKUP($A15,заявки[],6)</f>
        <v>Дубасова Анжелика</v>
      </c>
      <c r="E15" s="404" t="str">
        <f>VLOOKUP($A15,заявки[],10)</f>
        <v>Моисеева Ирина</v>
      </c>
      <c r="F15" s="404" t="str">
        <f>VLOOKUP($A15,заявки[],14)</f>
        <v>Минск</v>
      </c>
      <c r="G15" s="198" t="str">
        <f>VLOOKUP($A15,заявки[],3)</f>
        <v>Light, Кубок</v>
      </c>
      <c r="H15" s="361">
        <f t="shared" si="0"/>
        <v>0.42083333333333334</v>
      </c>
    </row>
    <row r="16" spans="1:10" ht="30" customHeight="1" x14ac:dyDescent="0.25">
      <c r="A16" s="359">
        <f t="shared" si="1"/>
        <v>7</v>
      </c>
      <c r="B16" s="360">
        <f>IF(LEN(заявки[Ст. №])&gt;0,заявки[Ст. №],"")</f>
        <v>7</v>
      </c>
      <c r="C16" s="404" t="str">
        <f>VLOOKUP($A16,заявки[],4)</f>
        <v>Skoda Kodiag</v>
      </c>
      <c r="D16" s="404" t="str">
        <f>VLOOKUP($A16,заявки[],6)</f>
        <v>Юзвик Ольга</v>
      </c>
      <c r="E16" s="404" t="str">
        <f>VLOOKUP($A16,заявки[],10)</f>
        <v>Грушина Елена</v>
      </c>
      <c r="F16" s="404" t="str">
        <f>VLOOKUP($A16,заявки[],14)</f>
        <v>Смоленск</v>
      </c>
      <c r="G16" s="198" t="str">
        <f>VLOOKUP($A16,заявки[],3)</f>
        <v>Pro, Кубок</v>
      </c>
      <c r="H16" s="361">
        <f t="shared" si="0"/>
        <v>0.42152777777777778</v>
      </c>
    </row>
    <row r="17" spans="1:8" ht="30" customHeight="1" x14ac:dyDescent="0.25">
      <c r="A17" s="359">
        <f t="shared" si="1"/>
        <v>8</v>
      </c>
      <c r="B17" s="360">
        <f>IF(LEN(заявки[Ст. №])&gt;0,заявки[Ст. №],"")</f>
        <v>8</v>
      </c>
      <c r="C17" s="404" t="str">
        <f>VLOOKUP($A17,заявки[],4)</f>
        <v xml:space="preserve">Фольцваген джетта </v>
      </c>
      <c r="D17" s="404" t="str">
        <f>VLOOKUP($A17,заявки[],6)</f>
        <v>Курносов Алексей</v>
      </c>
      <c r="E17" s="404" t="str">
        <f>VLOOKUP($A17,заявки[],10)</f>
        <v>Гниленкова Анастасия</v>
      </c>
      <c r="F17" s="404" t="str">
        <f>VLOOKUP($A17,заявки[],14)</f>
        <v>Смоленск</v>
      </c>
      <c r="G17" s="198" t="str">
        <f>VLOOKUP($A17,заявки[],3)</f>
        <v>Light, Кубок</v>
      </c>
      <c r="H17" s="361">
        <f t="shared" si="0"/>
        <v>0.42222222222222222</v>
      </c>
    </row>
    <row r="18" spans="1:8" ht="30" customHeight="1" x14ac:dyDescent="0.25">
      <c r="A18" s="359">
        <f t="shared" si="1"/>
        <v>9</v>
      </c>
      <c r="B18" s="360">
        <f>IF(LEN(заявки[Ст. №])&gt;0,заявки[Ст. №],"")</f>
        <v>9</v>
      </c>
      <c r="C18" s="404" t="str">
        <f>VLOOKUP($A18,заявки[],4)</f>
        <v>Chevrolet Aveo</v>
      </c>
      <c r="D18" s="404" t="str">
        <f>VLOOKUP($A18,заявки[],6)</f>
        <v>Шкредов Артём</v>
      </c>
      <c r="E18" s="404" t="str">
        <f>VLOOKUP($A18,заявки[],10)</f>
        <v>Шкапин Павел</v>
      </c>
      <c r="F18" s="404" t="str">
        <f>VLOOKUP($A18,заявки[],14)</f>
        <v>Смоленск</v>
      </c>
      <c r="G18" s="198" t="str">
        <f>VLOOKUP($A18,заявки[],3)</f>
        <v>Light, Аэропорт</v>
      </c>
      <c r="H18" s="361">
        <f t="shared" si="0"/>
        <v>0.42291666666666666</v>
      </c>
    </row>
    <row r="19" spans="1:8" ht="30" customHeight="1" x14ac:dyDescent="0.25">
      <c r="A19" s="359">
        <f t="shared" si="1"/>
        <v>10</v>
      </c>
      <c r="B19" s="360">
        <f>IF(LEN(заявки[Ст. №])&gt;0,заявки[Ст. №],"")</f>
        <v>10</v>
      </c>
      <c r="C19" s="404" t="str">
        <f>VLOOKUP($A19,заявки[],4)</f>
        <v>MAZDA6</v>
      </c>
      <c r="D19" s="404" t="str">
        <f>VLOOKUP($A19,заявки[],6)</f>
        <v>Иванов Кирилл</v>
      </c>
      <c r="E19" s="404" t="str">
        <f>VLOOKUP($A19,заявки[],10)</f>
        <v xml:space="preserve">Афанасьев Никита </v>
      </c>
      <c r="F19" s="404" t="str">
        <f>VLOOKUP($A19,заявки[],14)</f>
        <v>Смоленск</v>
      </c>
      <c r="G19" s="198" t="str">
        <f>VLOOKUP($A19,заявки[],3)</f>
        <v>Pro, Аэропорт</v>
      </c>
      <c r="H19" s="361">
        <f t="shared" si="0"/>
        <v>0.4236111111111111</v>
      </c>
    </row>
    <row r="20" spans="1:8" ht="30" customHeight="1" x14ac:dyDescent="0.25">
      <c r="A20" s="359">
        <f t="shared" si="1"/>
        <v>11</v>
      </c>
      <c r="B20" s="360">
        <f>IF(LEN(заявки[Ст. №])&gt;0,заявки[Ст. №],"")</f>
        <v>11</v>
      </c>
      <c r="C20" s="404" t="str">
        <f>VLOOKUP($A20,заявки[],4)</f>
        <v>Москвич 2140</v>
      </c>
      <c r="D20" s="404" t="str">
        <f>VLOOKUP($A20,заявки[],6)</f>
        <v>Гайлит Сергей</v>
      </c>
      <c r="E20" s="404" t="str">
        <f>VLOOKUP($A20,заявки[],10)</f>
        <v>Ивахненко Алексей</v>
      </c>
      <c r="F20" s="404" t="str">
        <f>VLOOKUP($A20,заявки[],14)</f>
        <v>Ярцево / Смоленск</v>
      </c>
      <c r="G20" s="198" t="str">
        <f>VLOOKUP($A20,заявки[],3)</f>
        <v>Light, Кубок</v>
      </c>
      <c r="H20" s="361">
        <f t="shared" si="0"/>
        <v>0.42430555555555555</v>
      </c>
    </row>
    <row r="21" spans="1:8" ht="30" customHeight="1" x14ac:dyDescent="0.25">
      <c r="A21" s="359">
        <f t="shared" si="1"/>
        <v>12</v>
      </c>
      <c r="B21" s="360">
        <f>IF(LEN(заявки[Ст. №])&gt;0,заявки[Ст. №],"")</f>
        <v>12</v>
      </c>
      <c r="C21" s="404" t="str">
        <f>VLOOKUP($A21,заявки[],4)</f>
        <v>Renault Symbol</v>
      </c>
      <c r="D21" s="404" t="str">
        <f>VLOOKUP($A21,заявки[],6)</f>
        <v>Карамелли Кристиан</v>
      </c>
      <c r="E21" s="404" t="str">
        <f>VLOOKUP($A21,заявки[],10)</f>
        <v>Мельникова Яна</v>
      </c>
      <c r="F21" s="404" t="str">
        <f>VLOOKUP($A21,заявки[],14)</f>
        <v>Москва</v>
      </c>
      <c r="G21" s="198" t="str">
        <f>VLOOKUP($A21,заявки[],3)</f>
        <v>Light</v>
      </c>
      <c r="H21" s="361">
        <f t="shared" si="0"/>
        <v>0.42499999999999999</v>
      </c>
    </row>
    <row r="22" spans="1:8" ht="30" customHeight="1" x14ac:dyDescent="0.25">
      <c r="A22" s="359">
        <f t="shared" si="1"/>
        <v>13</v>
      </c>
      <c r="B22" s="360">
        <f>IF(LEN(заявки[Ст. №])&gt;0,заявки[Ст. №],"")</f>
        <v>13</v>
      </c>
      <c r="C22" s="404" t="str">
        <f>VLOOKUP($A22,заявки[],4)</f>
        <v xml:space="preserve">Kia ceed </v>
      </c>
      <c r="D22" s="404" t="str">
        <f>VLOOKUP($A22,заявки[],6)</f>
        <v xml:space="preserve">Семченкова Екатерина </v>
      </c>
      <c r="E22" s="404" t="str">
        <f>VLOOKUP($A22,заявки[],10)</f>
        <v xml:space="preserve">Курилина Ольга </v>
      </c>
      <c r="F22" s="404" t="str">
        <f>VLOOKUP($A22,заявки[],14)</f>
        <v>Смоленск</v>
      </c>
      <c r="G22" s="198" t="str">
        <f>VLOOKUP($A22,заявки[],3)</f>
        <v>Light, Аэропорт</v>
      </c>
      <c r="H22" s="361">
        <f t="shared" si="0"/>
        <v>0.42569444444444443</v>
      </c>
    </row>
    <row r="23" spans="1:8" ht="30" customHeight="1" x14ac:dyDescent="0.25">
      <c r="A23" s="359">
        <f t="shared" si="1"/>
        <v>14</v>
      </c>
      <c r="B23" s="360">
        <f>IF(LEN(заявки[Ст. №])&gt;0,заявки[Ст. №],"")</f>
        <v>14</v>
      </c>
      <c r="C23" s="404" t="str">
        <f>VLOOKUP($A23,заявки[],4)</f>
        <v xml:space="preserve">Ford Explorer </v>
      </c>
      <c r="D23" s="404" t="str">
        <f>VLOOKUP($A23,заявки[],6)</f>
        <v xml:space="preserve">Доценко Роман </v>
      </c>
      <c r="E23" s="404" t="str">
        <f>VLOOKUP($A23,заявки[],10)</f>
        <v>Доценко Ярослав</v>
      </c>
      <c r="F23" s="404" t="str">
        <f>VLOOKUP($A23,заявки[],14)</f>
        <v>Смоленск</v>
      </c>
      <c r="G23" s="198" t="str">
        <f>VLOOKUP($A23,заявки[],3)</f>
        <v>Light, Аэропорт</v>
      </c>
      <c r="H23" s="361">
        <f t="shared" si="0"/>
        <v>0.42638888888888887</v>
      </c>
    </row>
    <row r="24" spans="1:8" ht="30" customHeight="1" x14ac:dyDescent="0.25">
      <c r="A24" s="359">
        <f t="shared" si="1"/>
        <v>15</v>
      </c>
      <c r="B24" s="360">
        <f>IF(LEN(заявки[Ст. №])&gt;0,заявки[Ст. №],"")</f>
        <v>16</v>
      </c>
      <c r="C24" s="404" t="str">
        <f>VLOOKUP($A24,заявки[],4)</f>
        <v>Porsche Cayenne S</v>
      </c>
      <c r="D24" s="404" t="str">
        <f>VLOOKUP($A24,заявки[],6)</f>
        <v>Новиков Максим</v>
      </c>
      <c r="E24" s="404" t="str">
        <f>VLOOKUP($A24,заявки[],10)</f>
        <v>Грушина Екатерина</v>
      </c>
      <c r="F24" s="404" t="str">
        <f>VLOOKUP($A24,заявки[],14)</f>
        <v>Смоленск</v>
      </c>
      <c r="G24" s="198" t="str">
        <f>VLOOKUP($A24,заявки[],3)</f>
        <v>Pro, Аэропорт</v>
      </c>
      <c r="H24" s="361">
        <f t="shared" si="0"/>
        <v>0.42708333333333331</v>
      </c>
    </row>
    <row r="25" spans="1:8" ht="30" customHeight="1" x14ac:dyDescent="0.25">
      <c r="A25" s="359">
        <f t="shared" si="1"/>
        <v>16</v>
      </c>
      <c r="B25" s="360">
        <f>IF(LEN(заявки[Ст. №])&gt;0,заявки[Ст. №],"")</f>
        <v>17</v>
      </c>
      <c r="C25" s="404" t="str">
        <f>VLOOKUP($A25,заявки[],4)</f>
        <v>SUZUKI JIMNY</v>
      </c>
      <c r="D25" s="404" t="str">
        <f>VLOOKUP($A25,заявки[],6)</f>
        <v>Подгаева Александра</v>
      </c>
      <c r="E25" s="404" t="str">
        <f>VLOOKUP($A25,заявки[],10)</f>
        <v>Сергей Иванов</v>
      </c>
      <c r="F25" s="404" t="str">
        <f>VLOOKUP($A25,заявки[],14)</f>
        <v>Смоленск</v>
      </c>
      <c r="G25" s="198" t="str">
        <f>VLOOKUP($A25,заявки[],3)</f>
        <v>Light, Аэропорт</v>
      </c>
      <c r="H25" s="361">
        <f t="shared" si="0"/>
        <v>0.42777777777777776</v>
      </c>
    </row>
    <row r="26" spans="1:8" ht="30" customHeight="1" x14ac:dyDescent="0.25">
      <c r="A26" s="359">
        <f t="shared" si="1"/>
        <v>17</v>
      </c>
      <c r="B26" s="360">
        <f>IF(LEN(заявки[Ст. №])&gt;0,заявки[Ст. №],"")</f>
        <v>18</v>
      </c>
      <c r="C26" s="404" t="str">
        <f>VLOOKUP($A26,заявки[],4)</f>
        <v>Мицубиси Паджеро</v>
      </c>
      <c r="D26" s="404" t="str">
        <f>VLOOKUP($A26,заявки[],6)</f>
        <v>Куприянов Александр</v>
      </c>
      <c r="E26" s="404" t="str">
        <f>VLOOKUP($A26,заявки[],10)</f>
        <v>Шамшина Светлана</v>
      </c>
      <c r="F26" s="404" t="str">
        <f>VLOOKUP($A26,заявки[],14)</f>
        <v>Вязьма / Королев</v>
      </c>
      <c r="G26" s="198" t="str">
        <f>VLOOKUP($A26,заявки[],3)</f>
        <v>Light, Кубок</v>
      </c>
      <c r="H26" s="361">
        <f t="shared" si="0"/>
        <v>0.4284722222222222</v>
      </c>
    </row>
    <row r="27" spans="1:8" ht="30" customHeight="1" x14ac:dyDescent="0.25">
      <c r="A27" s="359">
        <f t="shared" si="1"/>
        <v>18</v>
      </c>
      <c r="B27" s="360">
        <f>IF(LEN(заявки[Ст. №])&gt;0,заявки[Ст. №],"")</f>
        <v>20</v>
      </c>
      <c r="C27" s="404" t="str">
        <f>VLOOKUP($A27,заявки[],4)</f>
        <v>Ford Fiesta</v>
      </c>
      <c r="D27" s="404" t="str">
        <f>VLOOKUP($A27,заявки[],6)</f>
        <v>Кроман Ольга</v>
      </c>
      <c r="E27" s="404" t="str">
        <f>VLOOKUP($A27,заявки[],10)</f>
        <v>Прусова Наталья</v>
      </c>
      <c r="F27" s="404" t="str">
        <f>VLOOKUP($A27,заявки[],14)</f>
        <v>Смоленск</v>
      </c>
      <c r="G27" s="198" t="str">
        <f>VLOOKUP($A27,заявки[],3)</f>
        <v>Pro, Аэропорт</v>
      </c>
      <c r="H27" s="361">
        <f t="shared" si="0"/>
        <v>0.42916666666666664</v>
      </c>
    </row>
    <row r="28" spans="1:8" ht="30" customHeight="1" x14ac:dyDescent="0.25">
      <c r="A28" s="359">
        <f t="shared" si="1"/>
        <v>19</v>
      </c>
      <c r="B28" s="360">
        <f>IF(LEN(заявки[Ст. №])&gt;0,заявки[Ст. №],"")</f>
        <v>21</v>
      </c>
      <c r="C28" s="404" t="str">
        <f>VLOOKUP($A28,заявки[],4)</f>
        <v>Volkswgen Golf</v>
      </c>
      <c r="D28" s="404" t="str">
        <f>VLOOKUP($A28,заявки[],6)</f>
        <v>Родин Клим</v>
      </c>
      <c r="E28" s="404" t="str">
        <f>VLOOKUP($A28,заявки[],10)</f>
        <v>Работин Антон</v>
      </c>
      <c r="F28" s="404" t="str">
        <f>VLOOKUP($A28,заявки[],14)</f>
        <v xml:space="preserve">Смоленск </v>
      </c>
      <c r="G28" s="198" t="str">
        <f>VLOOKUP($A28,заявки[],3)</f>
        <v>Light, Кубок</v>
      </c>
      <c r="H28" s="361">
        <f t="shared" si="0"/>
        <v>0.42986111111111108</v>
      </c>
    </row>
    <row r="29" spans="1:8" ht="30" customHeight="1" x14ac:dyDescent="0.25">
      <c r="A29" s="359">
        <f t="shared" si="1"/>
        <v>20</v>
      </c>
      <c r="B29" s="360">
        <f>IF(LEN(заявки[Ст. №])&gt;0,заявки[Ст. №],"")</f>
        <v>22</v>
      </c>
      <c r="C29" s="404" t="str">
        <f>VLOOKUP($A29,заявки[],4)</f>
        <v>Лада Калина</v>
      </c>
      <c r="D29" s="404" t="str">
        <f>VLOOKUP($A29,заявки[],6)</f>
        <v>Круглов Олег</v>
      </c>
      <c r="E29" s="404" t="str">
        <f>VLOOKUP($A29,заявки[],10)</f>
        <v xml:space="preserve">Власенков Кирилл </v>
      </c>
      <c r="F29" s="404" t="str">
        <f>VLOOKUP($A29,заявки[],14)</f>
        <v xml:space="preserve">Смоленск </v>
      </c>
      <c r="G29" s="198" t="str">
        <f>VLOOKUP($A29,заявки[],3)</f>
        <v>Pro, Кубок</v>
      </c>
      <c r="H29" s="361">
        <f t="shared" si="0"/>
        <v>0.43055555555555552</v>
      </c>
    </row>
    <row r="30" spans="1:8" ht="30" customHeight="1" x14ac:dyDescent="0.25">
      <c r="A30" s="359">
        <f t="shared" si="1"/>
        <v>21</v>
      </c>
      <c r="B30" s="360">
        <f>IF(LEN(заявки[Ст. №])&gt;0,заявки[Ст. №],"")</f>
        <v>23</v>
      </c>
      <c r="C30" s="404" t="str">
        <f>VLOOKUP($A30,заявки[],4)</f>
        <v>Опель астра</v>
      </c>
      <c r="D30" s="404" t="str">
        <f>VLOOKUP($A30,заявки[],6)</f>
        <v>Сеньков Александр</v>
      </c>
      <c r="E30" s="404" t="str">
        <f>VLOOKUP($A30,заявки[],10)</f>
        <v>Курохта Роман</v>
      </c>
      <c r="F30" s="404" t="str">
        <f>VLOOKUP($A30,заявки[],14)</f>
        <v>Брянск</v>
      </c>
      <c r="G30" s="198" t="str">
        <f>VLOOKUP($A30,заявки[],3)</f>
        <v>Light, Кубок</v>
      </c>
      <c r="H30" s="361">
        <f t="shared" si="0"/>
        <v>0.43124999999999997</v>
      </c>
    </row>
    <row r="31" spans="1:8" ht="30" customHeight="1" x14ac:dyDescent="0.25">
      <c r="A31" s="359">
        <f t="shared" si="1"/>
        <v>22</v>
      </c>
      <c r="B31" s="360">
        <f>IF(LEN(заявки[Ст. №])&gt;0,заявки[Ст. №],"")</f>
        <v>24</v>
      </c>
      <c r="C31" s="404" t="str">
        <f>VLOOKUP($A31,заявки[],4)</f>
        <v>Volkswagen polo</v>
      </c>
      <c r="D31" s="404" t="str">
        <f>VLOOKUP($A31,заявки[],6)</f>
        <v>Романов Виктор</v>
      </c>
      <c r="E31" s="404" t="str">
        <f>VLOOKUP($A31,заявки[],10)</f>
        <v>Романова Ксения</v>
      </c>
      <c r="F31" s="404" t="str">
        <f>VLOOKUP($A31,заявки[],14)</f>
        <v>Смоленск</v>
      </c>
      <c r="G31" s="198" t="str">
        <f>VLOOKUP($A31,заявки[],3)</f>
        <v>Light, Аэропорт</v>
      </c>
      <c r="H31" s="361">
        <f t="shared" si="0"/>
        <v>0.43194444444444441</v>
      </c>
    </row>
    <row r="32" spans="1:8" ht="30" customHeight="1" x14ac:dyDescent="0.25">
      <c r="A32" s="359">
        <f t="shared" si="1"/>
        <v>23</v>
      </c>
      <c r="B32" s="360">
        <f>IF(LEN(заявки[Ст. №])&gt;0,заявки[Ст. №],"")</f>
        <v>25</v>
      </c>
      <c r="C32" s="404" t="str">
        <f>VLOOKUP($A32,заявки[],4)</f>
        <v>Renault Duster</v>
      </c>
      <c r="D32" s="404" t="str">
        <f>VLOOKUP($A32,заявки[],6)</f>
        <v>Шавырин Андрей</v>
      </c>
      <c r="E32" s="404" t="str">
        <f>VLOOKUP($A32,заявки[],10)</f>
        <v>Шавырин Егор</v>
      </c>
      <c r="F32" s="404" t="str">
        <f>VLOOKUP($A32,заявки[],14)</f>
        <v>Сафоново</v>
      </c>
      <c r="G32" s="198" t="str">
        <f>VLOOKUP($A32,заявки[],3)</f>
        <v>Light, Аэропорт</v>
      </c>
      <c r="H32" s="361">
        <f t="shared" si="0"/>
        <v>0.43263888888888885</v>
      </c>
    </row>
    <row r="33" spans="1:8" ht="30" customHeight="1" x14ac:dyDescent="0.25">
      <c r="A33" s="359">
        <f t="shared" si="1"/>
        <v>24</v>
      </c>
      <c r="B33" s="360">
        <f>IF(LEN(заявки[Ст. №])&gt;0,заявки[Ст. №],"")</f>
        <v>26</v>
      </c>
      <c r="C33" s="404" t="str">
        <f>VLOOKUP($A33,заявки[],4)</f>
        <v>Volkswagen Passat</v>
      </c>
      <c r="D33" s="404" t="str">
        <f>VLOOKUP($A33,заявки[],6)</f>
        <v xml:space="preserve">Давыдов Николай </v>
      </c>
      <c r="E33" s="404" t="str">
        <f>VLOOKUP($A33,заявки[],10)</f>
        <v xml:space="preserve">Мезенин Валентин </v>
      </c>
      <c r="F33" s="404" t="str">
        <f>VLOOKUP($A33,заявки[],14)</f>
        <v xml:space="preserve">Смоленск </v>
      </c>
      <c r="G33" s="198" t="str">
        <f>VLOOKUP($A33,заявки[],3)</f>
        <v>Light, Аэропорт</v>
      </c>
      <c r="H33" s="361">
        <f t="shared" si="0"/>
        <v>0.43333333333333329</v>
      </c>
    </row>
    <row r="34" spans="1:8" ht="30" customHeight="1" x14ac:dyDescent="0.25">
      <c r="A34" s="359">
        <f t="shared" si="1"/>
        <v>25</v>
      </c>
      <c r="B34" s="360">
        <f>IF(LEN(заявки[Ст. №])&gt;0,заявки[Ст. №],"")</f>
        <v>29</v>
      </c>
      <c r="C34" s="404" t="str">
        <f>VLOOKUP($A34,заявки[],4)</f>
        <v>Chevrolet Camaro</v>
      </c>
      <c r="D34" s="404" t="str">
        <f>VLOOKUP($A34,заявки[],6)</f>
        <v>Филоненко Николай</v>
      </c>
      <c r="E34" s="404" t="str">
        <f>VLOOKUP($A34,заявки[],10)</f>
        <v>Сорока Евгений</v>
      </c>
      <c r="F34" s="404" t="str">
        <f>VLOOKUP($A34,заявки[],14)</f>
        <v>Смоленск / Москва</v>
      </c>
      <c r="G34" s="198" t="str">
        <f>VLOOKUP($A34,заявки[],3)</f>
        <v>Pro, Кубок</v>
      </c>
      <c r="H34" s="361">
        <f t="shared" si="0"/>
        <v>0.43402777777777773</v>
      </c>
    </row>
    <row r="35" spans="1:8" ht="30" customHeight="1" x14ac:dyDescent="0.25">
      <c r="A35" s="359">
        <f t="shared" si="1"/>
        <v>26</v>
      </c>
      <c r="B35" s="360">
        <f>IF(LEN(заявки[Ст. №])&gt;0,заявки[Ст. №],"")</f>
        <v>30</v>
      </c>
      <c r="C35" s="404" t="str">
        <f>VLOOKUP($A35,заявки[],4)</f>
        <v>Hyundai Solaris</v>
      </c>
      <c r="D35" s="404" t="str">
        <f>VLOOKUP($A35,заявки[],6)</f>
        <v>Рудаков Александр</v>
      </c>
      <c r="E35" s="404" t="str">
        <f>VLOOKUP($A35,заявки[],10)</f>
        <v>Мирошниченко Игорь</v>
      </c>
      <c r="F35" s="404" t="str">
        <f>VLOOKUP($A35,заявки[],14)</f>
        <v>Рославль</v>
      </c>
      <c r="G35" s="198" t="str">
        <f>VLOOKUP($A35,заявки[],3)</f>
        <v>Light, Кубок</v>
      </c>
      <c r="H35" s="361">
        <f t="shared" si="0"/>
        <v>0.43472222222222218</v>
      </c>
    </row>
    <row r="36" spans="1:8" ht="30" customHeight="1" x14ac:dyDescent="0.25">
      <c r="A36" s="359">
        <f t="shared" si="1"/>
        <v>27</v>
      </c>
      <c r="B36" s="360">
        <f>IF(LEN(заявки[Ст. №])&gt;0,заявки[Ст. №],"")</f>
        <v>31</v>
      </c>
      <c r="C36" s="404" t="str">
        <f>VLOOKUP($A36,заявки[],4)</f>
        <v>Toyota Yaris</v>
      </c>
      <c r="D36" s="404" t="str">
        <f>VLOOKUP($A36,заявки[],6)</f>
        <v>Мозгунова Юлия</v>
      </c>
      <c r="E36" s="404" t="str">
        <f>VLOOKUP($A36,заявки[],10)</f>
        <v>Пименова Наталья</v>
      </c>
      <c r="F36" s="404" t="str">
        <f>VLOOKUP($A36,заявки[],14)</f>
        <v>Вязьма</v>
      </c>
      <c r="G36" s="198" t="str">
        <f>VLOOKUP($A36,заявки[],3)</f>
        <v>Light, Кубок</v>
      </c>
      <c r="H36" s="361">
        <f t="shared" si="0"/>
        <v>0.43541666666666662</v>
      </c>
    </row>
    <row r="37" spans="1:8" ht="30" customHeight="1" x14ac:dyDescent="0.25">
      <c r="A37" s="359">
        <f t="shared" si="1"/>
        <v>28</v>
      </c>
      <c r="B37" s="360">
        <f>IF(LEN(заявки[Ст. №])&gt;0,заявки[Ст. №],"")</f>
        <v>32</v>
      </c>
      <c r="C37" s="404" t="str">
        <f>VLOOKUP($A37,заявки[],4)</f>
        <v>Toyota GAIA</v>
      </c>
      <c r="D37" s="404" t="str">
        <f>VLOOKUP($A37,заявки[],6)</f>
        <v>Попов Степан</v>
      </c>
      <c r="E37" s="404" t="str">
        <f>VLOOKUP($A37,заявки[],10)</f>
        <v>Луковцев Прохор</v>
      </c>
      <c r="F37" s="404" t="str">
        <f>VLOOKUP($A37,заявки[],14)</f>
        <v>Смоленск</v>
      </c>
      <c r="G37" s="198" t="str">
        <f>VLOOKUP($A37,заявки[],3)</f>
        <v>Light, Аэропорт</v>
      </c>
      <c r="H37" s="361">
        <f t="shared" si="0"/>
        <v>0.43611111111111106</v>
      </c>
    </row>
    <row r="38" spans="1:8" ht="30" customHeight="1" x14ac:dyDescent="0.25">
      <c r="A38" s="359">
        <f t="shared" si="1"/>
        <v>29</v>
      </c>
      <c r="B38" s="360">
        <f>IF(LEN(заявки[Ст. №])&gt;0,заявки[Ст. №],"")</f>
        <v>33</v>
      </c>
      <c r="C38" s="404" t="str">
        <f>VLOOKUP($A38,заявки[],4)</f>
        <v>Renault Duster</v>
      </c>
      <c r="D38" s="404" t="str">
        <f>VLOOKUP($A38,заявки[],6)</f>
        <v>Синявский Александр</v>
      </c>
      <c r="E38" s="404" t="str">
        <f>VLOOKUP($A38,заявки[],10)</f>
        <v>Попов Вадим</v>
      </c>
      <c r="F38" s="404" t="str">
        <f>VLOOKUP($A38,заявки[],14)</f>
        <v>МОСКВА</v>
      </c>
      <c r="G38" s="198" t="str">
        <f>VLOOKUP($A38,заявки[],3)</f>
        <v>Pro, Кубок</v>
      </c>
      <c r="H38" s="361">
        <f t="shared" si="0"/>
        <v>0.4368055555555555</v>
      </c>
    </row>
    <row r="39" spans="1:8" ht="30" customHeight="1" x14ac:dyDescent="0.25">
      <c r="A39" s="359">
        <f t="shared" si="1"/>
        <v>30</v>
      </c>
      <c r="B39" s="360">
        <f>IF(LEN(заявки[Ст. №])&gt;0,заявки[Ст. №],"")</f>
        <v>34</v>
      </c>
      <c r="C39" s="404" t="str">
        <f>VLOOKUP($A39,заявки[],4)</f>
        <v>Skoda Octavia</v>
      </c>
      <c r="D39" s="404" t="str">
        <f>VLOOKUP($A39,заявки[],6)</f>
        <v>Андрейченков Станислав</v>
      </c>
      <c r="E39" s="404" t="str">
        <f>VLOOKUP($A39,заявки[],10)</f>
        <v>Андрейченкова Мария</v>
      </c>
      <c r="F39" s="404" t="str">
        <f>VLOOKUP($A39,заявки[],14)</f>
        <v>Смоленск</v>
      </c>
      <c r="G39" s="198" t="str">
        <f>VLOOKUP($A39,заявки[],3)</f>
        <v>Light, Аэропорт</v>
      </c>
      <c r="H39" s="361">
        <f t="shared" si="0"/>
        <v>0.43749999999999994</v>
      </c>
    </row>
    <row r="40" spans="1:8" ht="30" customHeight="1" x14ac:dyDescent="0.25">
      <c r="A40" s="359">
        <f t="shared" si="1"/>
        <v>31</v>
      </c>
      <c r="B40" s="360">
        <f>IF(LEN(заявки[Ст. №])&gt;0,заявки[Ст. №],"")</f>
        <v>35</v>
      </c>
      <c r="C40" s="404" t="str">
        <f>VLOOKUP($A40,заявки[],4)</f>
        <v>Mitsubishi Lancer</v>
      </c>
      <c r="D40" s="404" t="str">
        <f>VLOOKUP($A40,заявки[],6)</f>
        <v>Воробьев никита</v>
      </c>
      <c r="E40" s="404" t="str">
        <f>VLOOKUP($A40,заявки[],10)</f>
        <v>Масленников Дмитрий</v>
      </c>
      <c r="F40" s="404" t="str">
        <f>VLOOKUP($A40,заявки[],14)</f>
        <v>Смоленск</v>
      </c>
      <c r="G40" s="198" t="str">
        <f>VLOOKUP($A40,заявки[],3)</f>
        <v>Light, Аэропорт</v>
      </c>
      <c r="H40" s="361">
        <f t="shared" si="0"/>
        <v>0.43819444444444439</v>
      </c>
    </row>
    <row r="41" spans="1:8" ht="30" customHeight="1" x14ac:dyDescent="0.25">
      <c r="A41" s="359">
        <f t="shared" si="1"/>
        <v>32</v>
      </c>
      <c r="B41" s="360">
        <f>IF(LEN(заявки[Ст. №])&gt;0,заявки[Ст. №],"")</f>
        <v>37</v>
      </c>
      <c r="C41" s="404" t="str">
        <f>VLOOKUP($A41,заявки[],4)</f>
        <v>Skoda Rapid</v>
      </c>
      <c r="D41" s="404" t="str">
        <f>VLOOKUP($A41,заявки[],6)</f>
        <v xml:space="preserve">Пасенков Тимур </v>
      </c>
      <c r="E41" s="404" t="str">
        <f>VLOOKUP($A41,заявки[],10)</f>
        <v xml:space="preserve">Баранов максим </v>
      </c>
      <c r="F41" s="404" t="str">
        <f>VLOOKUP($A41,заявки[],14)</f>
        <v>Смоленск</v>
      </c>
      <c r="G41" s="198" t="str">
        <f>VLOOKUP($A41,заявки[],3)</f>
        <v>Light, Кубок</v>
      </c>
      <c r="H41" s="361">
        <f t="shared" si="0"/>
        <v>0.43888888888888883</v>
      </c>
    </row>
    <row r="42" spans="1:8" ht="30" customHeight="1" x14ac:dyDescent="0.25">
      <c r="A42" s="359">
        <f t="shared" si="1"/>
        <v>33</v>
      </c>
      <c r="B42" s="360">
        <f>IF(LEN(заявки[Ст. №])&gt;0,заявки[Ст. №],"")</f>
        <v>38</v>
      </c>
      <c r="C42" s="404" t="str">
        <f>VLOOKUP($A42,заявки[],4)</f>
        <v>Peugeot 308</v>
      </c>
      <c r="D42" s="404" t="str">
        <f>VLOOKUP($A42,заявки[],6)</f>
        <v>Семочкина Оксана</v>
      </c>
      <c r="E42" s="404" t="str">
        <f>VLOOKUP($A42,заявки[],10)</f>
        <v>Кащеев Сергей</v>
      </c>
      <c r="F42" s="404" t="str">
        <f>VLOOKUP($A42,заявки[],14)</f>
        <v>Смоленск</v>
      </c>
      <c r="G42" s="198" t="str">
        <f>VLOOKUP($A42,заявки[],3)</f>
        <v>Light, Аэропорт</v>
      </c>
      <c r="H42" s="361">
        <f t="shared" si="0"/>
        <v>0.43958333333333327</v>
      </c>
    </row>
    <row r="43" spans="1:8" ht="30" customHeight="1" x14ac:dyDescent="0.25">
      <c r="A43" s="359">
        <f t="shared" si="1"/>
        <v>34</v>
      </c>
      <c r="B43" s="360">
        <f>IF(LEN(заявки[Ст. №])&gt;0,заявки[Ст. №],"")</f>
        <v>39</v>
      </c>
      <c r="C43" s="404" t="str">
        <f>VLOOKUP($A43,заявки[],4)</f>
        <v>Ford Focus 2</v>
      </c>
      <c r="D43" s="404" t="str">
        <f>VLOOKUP($A43,заявки[],6)</f>
        <v xml:space="preserve">Черненков Иван </v>
      </c>
      <c r="E43" s="404" t="str">
        <f>VLOOKUP($A43,заявки[],10)</f>
        <v xml:space="preserve">Голешов Александр </v>
      </c>
      <c r="F43" s="404" t="str">
        <f>VLOOKUP($A43,заявки[],14)</f>
        <v xml:space="preserve">Смоленск </v>
      </c>
      <c r="G43" s="198" t="str">
        <f>VLOOKUP($A43,заявки[],3)</f>
        <v>Light, Аэропорт</v>
      </c>
      <c r="H43" s="361">
        <f t="shared" si="0"/>
        <v>0.44027777777777771</v>
      </c>
    </row>
    <row r="44" spans="1:8" ht="30" customHeight="1" x14ac:dyDescent="0.25">
      <c r="A44" s="359">
        <f t="shared" si="1"/>
        <v>35</v>
      </c>
      <c r="B44" s="360">
        <f>IF(LEN(заявки[Ст. №])&gt;0,заявки[Ст. №],"")</f>
        <v>40</v>
      </c>
      <c r="C44" s="404" t="str">
        <f>VLOOKUP($A44,заявки[],4)</f>
        <v>Toyota Avensis</v>
      </c>
      <c r="D44" s="404" t="str">
        <f>VLOOKUP($A44,заявки[],6)</f>
        <v>Иванова Татьяна</v>
      </c>
      <c r="E44" s="404" t="str">
        <f>VLOOKUP($A44,заявки[],10)</f>
        <v>Кучерявенкова Олеся</v>
      </c>
      <c r="F44" s="404" t="str">
        <f>VLOOKUP($A44,заявки[],14)</f>
        <v>Смоленск</v>
      </c>
      <c r="G44" s="198" t="str">
        <f>VLOOKUP($A44,заявки[],3)</f>
        <v>Light, Аэропорт</v>
      </c>
      <c r="H44" s="361">
        <f t="shared" si="0"/>
        <v>0.44097222222222215</v>
      </c>
    </row>
    <row r="45" spans="1:8" ht="30" customHeight="1" x14ac:dyDescent="0.25">
      <c r="A45" s="359">
        <f t="shared" si="1"/>
        <v>36</v>
      </c>
      <c r="B45" s="360">
        <f>IF(LEN(заявки[Ст. №])&gt;0,заявки[Ст. №],"")</f>
        <v>41</v>
      </c>
      <c r="C45" s="404" t="str">
        <f>VLOOKUP($A45,заявки[],4)</f>
        <v>Шевроле Тахо</v>
      </c>
      <c r="D45" s="404" t="str">
        <f>VLOOKUP($A45,заявки[],6)</f>
        <v>Разуваев Олег</v>
      </c>
      <c r="E45" s="404" t="str">
        <f>VLOOKUP($A45,заявки[],10)</f>
        <v>Жаров Евгений</v>
      </c>
      <c r="F45" s="404" t="str">
        <f>VLOOKUP($A45,заявки[],14)</f>
        <v>Смоленск</v>
      </c>
      <c r="G45" s="198" t="str">
        <f>VLOOKUP($A45,заявки[],3)</f>
        <v>Light, Кубок</v>
      </c>
      <c r="H45" s="361">
        <f t="shared" si="0"/>
        <v>0.4416666666666666</v>
      </c>
    </row>
    <row r="46" spans="1:8" ht="30" customHeight="1" x14ac:dyDescent="0.25">
      <c r="A46" s="359">
        <f t="shared" si="1"/>
        <v>37</v>
      </c>
      <c r="B46" s="360">
        <f>IF(LEN(заявки[Ст. №])&gt;0,заявки[Ст. №],"")</f>
        <v>42</v>
      </c>
      <c r="C46" s="404" t="str">
        <f>VLOOKUP($A46,заявки[],4)</f>
        <v>Volkswagen Bora</v>
      </c>
      <c r="D46" s="404" t="str">
        <f>VLOOKUP($A46,заявки[],6)</f>
        <v>Жуласов Владимир</v>
      </c>
      <c r="E46" s="404" t="str">
        <f>VLOOKUP($A46,заявки[],10)</f>
        <v>Сивков Артём</v>
      </c>
      <c r="F46" s="404" t="str">
        <f>VLOOKUP($A46,заявки[],14)</f>
        <v>Смоленск</v>
      </c>
      <c r="G46" s="198" t="str">
        <f>VLOOKUP($A46,заявки[],3)</f>
        <v>Light, Аэропорт</v>
      </c>
      <c r="H46" s="361">
        <f t="shared" si="0"/>
        <v>0.44236111111111104</v>
      </c>
    </row>
    <row r="47" spans="1:8" ht="30" customHeight="1" x14ac:dyDescent="0.25">
      <c r="A47" s="359">
        <f t="shared" si="1"/>
        <v>38</v>
      </c>
      <c r="B47" s="360">
        <f>IF(LEN(заявки[Ст. №])&gt;0,заявки[Ст. №],"")</f>
        <v>43</v>
      </c>
      <c r="C47" s="404" t="str">
        <f>VLOOKUP($A47,заявки[],4)</f>
        <v>Skoda Yeti</v>
      </c>
      <c r="D47" s="404" t="str">
        <f>VLOOKUP($A47,заявки[],6)</f>
        <v>Жуков Андрей</v>
      </c>
      <c r="E47" s="404" t="str">
        <f>VLOOKUP($A47,заявки[],10)</f>
        <v>Слабков Максим</v>
      </c>
      <c r="F47" s="404" t="str">
        <f>VLOOKUP($A47,заявки[],14)</f>
        <v>Смоленск</v>
      </c>
      <c r="G47" s="198" t="str">
        <f>VLOOKUP($A47,заявки[],3)</f>
        <v>Light, Аэропорт</v>
      </c>
      <c r="H47" s="361">
        <f t="shared" si="0"/>
        <v>0.44305555555555548</v>
      </c>
    </row>
    <row r="48" spans="1:8" ht="30" customHeight="1" x14ac:dyDescent="0.25">
      <c r="A48" s="359">
        <f t="shared" si="1"/>
        <v>39</v>
      </c>
      <c r="B48" s="360">
        <f>IF(LEN(заявки[Ст. №])&gt;0,заявки[Ст. №],"")</f>
        <v>44</v>
      </c>
      <c r="C48" s="404" t="str">
        <f>VLOOKUP($A48,заявки[],4)</f>
        <v>chevrolet aveo</v>
      </c>
      <c r="D48" s="404" t="str">
        <f>VLOOKUP($A48,заявки[],6)</f>
        <v>Юлия Морозова</v>
      </c>
      <c r="E48" s="404" t="str">
        <f>VLOOKUP($A48,заявки[],10)</f>
        <v>Арсений Хасанов</v>
      </c>
      <c r="F48" s="404" t="str">
        <f>VLOOKUP($A48,заявки[],14)</f>
        <v>Смоленск</v>
      </c>
      <c r="G48" s="198" t="str">
        <f>VLOOKUP($A48,заявки[],3)</f>
        <v>Light, Аэропорт</v>
      </c>
      <c r="H48" s="361">
        <f t="shared" si="0"/>
        <v>0.44374999999999992</v>
      </c>
    </row>
    <row r="49" spans="1:8" ht="30" customHeight="1" x14ac:dyDescent="0.25">
      <c r="A49" s="359">
        <f t="shared" si="1"/>
        <v>40</v>
      </c>
      <c r="B49" s="360">
        <f>IF(LEN(заявки[Ст. №])&gt;0,заявки[Ст. №],"")</f>
        <v>45</v>
      </c>
      <c r="C49" s="404" t="str">
        <f>VLOOKUP($A49,заявки[],4)</f>
        <v>Тагаз Тагер</v>
      </c>
      <c r="D49" s="404" t="str">
        <f>VLOOKUP($A49,заявки[],6)</f>
        <v>Комаров Станислав Олегович</v>
      </c>
      <c r="E49" s="404" t="str">
        <f>VLOOKUP($A49,заявки[],10)</f>
        <v>Комаров Данила Олегович</v>
      </c>
      <c r="F49" s="404" t="str">
        <f>VLOOKUP($A49,заявки[],14)</f>
        <v>Дорогобуж</v>
      </c>
      <c r="G49" s="198" t="str">
        <f>VLOOKUP($A49,заявки[],3)</f>
        <v>Light, Кубок</v>
      </c>
      <c r="H49" s="361">
        <f t="shared" si="0"/>
        <v>0.44444444444444436</v>
      </c>
    </row>
    <row r="50" spans="1:8" ht="30" customHeight="1" x14ac:dyDescent="0.25">
      <c r="A50" s="359">
        <f t="shared" si="1"/>
        <v>41</v>
      </c>
      <c r="B50" s="360">
        <f>IF(LEN(заявки[Ст. №])&gt;0,заявки[Ст. №],"")</f>
        <v>47</v>
      </c>
      <c r="C50" s="404" t="str">
        <f>VLOOKUP($A50,заявки[],4)</f>
        <v>Toyota RAV4</v>
      </c>
      <c r="D50" s="404" t="str">
        <f>VLOOKUP($A50,заявки[],6)</f>
        <v>Кананадзе Сергей</v>
      </c>
      <c r="E50" s="404" t="str">
        <f>VLOOKUP($A50,заявки[],10)</f>
        <v>Подшивалов Александр</v>
      </c>
      <c r="F50" s="404" t="str">
        <f>VLOOKUP($A50,заявки[],14)</f>
        <v>Москва / Люберцы</v>
      </c>
      <c r="G50" s="198" t="str">
        <f>VLOOKUP($A50,заявки[],3)</f>
        <v>Pro, Кубок</v>
      </c>
      <c r="H50" s="361">
        <f t="shared" si="0"/>
        <v>0.44513888888888881</v>
      </c>
    </row>
    <row r="51" spans="1:8" ht="30" hidden="1" customHeight="1" x14ac:dyDescent="0.25">
      <c r="A51" s="359">
        <f t="shared" si="1"/>
        <v>42</v>
      </c>
      <c r="B51" s="360">
        <f>IF(LEN(заявки[Ст. №])&gt;0,заявки[Ст. №],"")</f>
        <v>36</v>
      </c>
      <c r="C51" s="404" t="str">
        <f>VLOOKUP($A51,заявки[],4)</f>
        <v>Lada Vesta</v>
      </c>
      <c r="D51" s="404" t="str">
        <f>VLOOKUP($A51,заявки[],6)</f>
        <v>Шибковская Наталья</v>
      </c>
      <c r="E51" s="404" t="str">
        <f>VLOOKUP($A51,заявки[],10)</f>
        <v>Александров Михаил</v>
      </c>
      <c r="F51" s="404" t="str">
        <f>VLOOKUP($A51,заявки[],14)</f>
        <v>Смоленск</v>
      </c>
      <c r="G51" s="198" t="str">
        <f>VLOOKUP($A51,заявки[],3)</f>
        <v>Light, Аэропорт</v>
      </c>
      <c r="H51" s="361">
        <f t="shared" si="0"/>
        <v>0.44583333333333325</v>
      </c>
    </row>
    <row r="52" spans="1:8" ht="30" hidden="1" customHeight="1" x14ac:dyDescent="0.25">
      <c r="A52" s="359">
        <f t="shared" si="1"/>
        <v>43</v>
      </c>
      <c r="B52" s="360" t="str">
        <f>IF(LEN(заявки[Ст. №])&gt;0,заявки[Ст. №],"")</f>
        <v/>
      </c>
      <c r="C52" s="404">
        <f>VLOOKUP($A52,заявки[],4)</f>
        <v>0</v>
      </c>
      <c r="D52" s="404">
        <f>VLOOKUP($A52,заявки[],6)</f>
        <v>0</v>
      </c>
      <c r="E52" s="404">
        <f>VLOOKUP($A52,заявки[],10)</f>
        <v>0</v>
      </c>
      <c r="F52" s="404">
        <f>VLOOKUP($A52,заявки[],14)</f>
        <v>0</v>
      </c>
      <c r="G52" s="198">
        <f>VLOOKUP($A52,заявки[],3)</f>
        <v>0</v>
      </c>
      <c r="H52" s="361">
        <f t="shared" si="0"/>
        <v>0.44652777777777769</v>
      </c>
    </row>
    <row r="53" spans="1:8" ht="30" hidden="1" customHeight="1" x14ac:dyDescent="0.25">
      <c r="A53" s="359">
        <f t="shared" si="1"/>
        <v>44</v>
      </c>
      <c r="B53" s="360" t="str">
        <f>IF(LEN(заявки[Ст. №])&gt;0,заявки[Ст. №],"")</f>
        <v/>
      </c>
      <c r="C53" s="404">
        <f>VLOOKUP($A53,заявки[],4)</f>
        <v>0</v>
      </c>
      <c r="D53" s="404">
        <f>VLOOKUP($A53,заявки[],6)</f>
        <v>0</v>
      </c>
      <c r="E53" s="404">
        <f>VLOOKUP($A53,заявки[],10)</f>
        <v>0</v>
      </c>
      <c r="F53" s="404">
        <f>VLOOKUP($A53,заявки[],14)</f>
        <v>0</v>
      </c>
      <c r="G53" s="198">
        <f>VLOOKUP($A53,заявки[],3)</f>
        <v>0</v>
      </c>
      <c r="H53" s="361">
        <f t="shared" si="0"/>
        <v>0.44722222222222213</v>
      </c>
    </row>
    <row r="54" spans="1:8" ht="30" hidden="1" customHeight="1" x14ac:dyDescent="0.25">
      <c r="A54" s="359">
        <f t="shared" si="1"/>
        <v>45</v>
      </c>
      <c r="B54" s="360" t="str">
        <f>IF(LEN(заявки[Ст. №])&gt;0,заявки[Ст. №],"")</f>
        <v/>
      </c>
      <c r="C54" s="404">
        <f>VLOOKUP($A54,заявки[],4)</f>
        <v>0</v>
      </c>
      <c r="D54" s="404">
        <f>VLOOKUP($A54,заявки[],6)</f>
        <v>0</v>
      </c>
      <c r="E54" s="404">
        <f>VLOOKUP($A54,заявки[],10)</f>
        <v>0</v>
      </c>
      <c r="F54" s="404">
        <f>VLOOKUP($A54,заявки[],14)</f>
        <v>0</v>
      </c>
      <c r="G54" s="198">
        <f>VLOOKUP($A54,заявки[],3)</f>
        <v>0</v>
      </c>
      <c r="H54" s="361">
        <f t="shared" si="0"/>
        <v>0.44791666666666657</v>
      </c>
    </row>
    <row r="55" spans="1:8" ht="30" hidden="1" customHeight="1" x14ac:dyDescent="0.25">
      <c r="A55" s="359">
        <f t="shared" si="1"/>
        <v>46</v>
      </c>
      <c r="B55" s="360" t="str">
        <f>IF(LEN(заявки[Ст. №])&gt;0,заявки[Ст. №],"")</f>
        <v/>
      </c>
      <c r="C55" s="404">
        <f>VLOOKUP($A55,заявки[],4)</f>
        <v>0</v>
      </c>
      <c r="D55" s="404">
        <f>VLOOKUP($A55,заявки[],6)</f>
        <v>0</v>
      </c>
      <c r="E55" s="404">
        <f>VLOOKUP($A55,заявки[],10)</f>
        <v>0</v>
      </c>
      <c r="F55" s="404">
        <f>VLOOKUP($A55,заявки[],14)</f>
        <v>0</v>
      </c>
      <c r="G55" s="198">
        <f>VLOOKUP($A55,заявки[],3)</f>
        <v>0</v>
      </c>
      <c r="H55" s="361">
        <f t="shared" si="0"/>
        <v>0.44861111111111102</v>
      </c>
    </row>
    <row r="56" spans="1:8" ht="30" hidden="1" customHeight="1" x14ac:dyDescent="0.25">
      <c r="A56" s="359">
        <f t="shared" si="1"/>
        <v>47</v>
      </c>
      <c r="B56" s="360" t="str">
        <f>IF(LEN(заявки[Ст. №])&gt;0,заявки[Ст. №],"")</f>
        <v/>
      </c>
      <c r="C56" s="404">
        <f>VLOOKUP($A56,заявки[],4)</f>
        <v>0</v>
      </c>
      <c r="D56" s="404">
        <f>VLOOKUP($A56,заявки[],6)</f>
        <v>0</v>
      </c>
      <c r="E56" s="404">
        <f>VLOOKUP($A56,заявки[],10)</f>
        <v>0</v>
      </c>
      <c r="F56" s="404">
        <f>VLOOKUP($A56,заявки[],14)</f>
        <v>0</v>
      </c>
      <c r="G56" s="198">
        <f>VLOOKUP($A56,заявки[],3)</f>
        <v>0</v>
      </c>
      <c r="H56" s="361">
        <f t="shared" si="0"/>
        <v>0.44930555555555546</v>
      </c>
    </row>
    <row r="57" spans="1:8" ht="30" hidden="1" customHeight="1" x14ac:dyDescent="0.25">
      <c r="A57" s="359">
        <f t="shared" si="1"/>
        <v>48</v>
      </c>
      <c r="B57" s="360" t="str">
        <f>IF(LEN(заявки[Ст. №])&gt;0,заявки[Ст. №],"")</f>
        <v/>
      </c>
      <c r="C57" s="404">
        <f>VLOOKUP($A57,заявки[],4)</f>
        <v>0</v>
      </c>
      <c r="D57" s="404">
        <f>VLOOKUP($A57,заявки[],6)</f>
        <v>0</v>
      </c>
      <c r="E57" s="404">
        <f>VLOOKUP($A57,заявки[],10)</f>
        <v>0</v>
      </c>
      <c r="F57" s="404">
        <f>VLOOKUP($A57,заявки[],14)</f>
        <v>0</v>
      </c>
      <c r="G57" s="198">
        <f>VLOOKUP($A57,заявки[],3)</f>
        <v>0</v>
      </c>
      <c r="H57" s="361">
        <f t="shared" si="0"/>
        <v>0.4499999999999999</v>
      </c>
    </row>
    <row r="58" spans="1:8" ht="30" hidden="1" customHeight="1" x14ac:dyDescent="0.25">
      <c r="A58" s="359">
        <f t="shared" si="1"/>
        <v>49</v>
      </c>
      <c r="B58" s="360" t="str">
        <f>IF(LEN(заявки[Ст. №])&gt;0,заявки[Ст. №],"")</f>
        <v/>
      </c>
      <c r="C58" s="404">
        <f>VLOOKUP($A58,заявки[],4)</f>
        <v>0</v>
      </c>
      <c r="D58" s="404">
        <f>VLOOKUP($A58,заявки[],6)</f>
        <v>0</v>
      </c>
      <c r="E58" s="404">
        <f>VLOOKUP($A58,заявки[],10)</f>
        <v>0</v>
      </c>
      <c r="F58" s="404">
        <f>VLOOKUP($A58,заявки[],14)</f>
        <v>0</v>
      </c>
      <c r="G58" s="198">
        <f>VLOOKUP($A58,заявки[],3)</f>
        <v>0</v>
      </c>
      <c r="H58" s="361">
        <f t="shared" si="0"/>
        <v>0.45069444444444434</v>
      </c>
    </row>
    <row r="59" spans="1:8" ht="30" hidden="1" customHeight="1" x14ac:dyDescent="0.25">
      <c r="A59" s="359">
        <f t="shared" si="1"/>
        <v>50</v>
      </c>
      <c r="B59" s="360" t="str">
        <f>IF(LEN(заявки[Ст. №])&gt;0,заявки[Ст. №],"")</f>
        <v/>
      </c>
      <c r="C59" s="404">
        <f>VLOOKUP($A59,заявки[],4)</f>
        <v>0</v>
      </c>
      <c r="D59" s="404">
        <f>VLOOKUP($A59,заявки[],6)</f>
        <v>0</v>
      </c>
      <c r="E59" s="404">
        <f>VLOOKUP($A59,заявки[],10)</f>
        <v>0</v>
      </c>
      <c r="F59" s="404">
        <f>VLOOKUP($A59,заявки[],14)</f>
        <v>0</v>
      </c>
      <c r="G59" s="198">
        <f>VLOOKUP($A59,заявки[],3)</f>
        <v>0</v>
      </c>
      <c r="H59" s="361">
        <f t="shared" si="0"/>
        <v>0.45138888888888878</v>
      </c>
    </row>
    <row r="60" spans="1:8" ht="30" hidden="1" customHeight="1" x14ac:dyDescent="0.25">
      <c r="A60" s="359">
        <f t="shared" si="1"/>
        <v>51</v>
      </c>
      <c r="B60" s="360" t="str">
        <f>IF(LEN(заявки[Ст. №])&gt;0,заявки[Ст. №],"")</f>
        <v/>
      </c>
      <c r="C60" s="404">
        <f>VLOOKUP($A60,заявки[],4)</f>
        <v>0</v>
      </c>
      <c r="D60" s="404">
        <f>VLOOKUP($A60,заявки[],6)</f>
        <v>0</v>
      </c>
      <c r="E60" s="404">
        <f>VLOOKUP($A60,заявки[],10)</f>
        <v>0</v>
      </c>
      <c r="F60" s="404">
        <f>VLOOKUP($A60,заявки[],14)</f>
        <v>0</v>
      </c>
      <c r="G60" s="198">
        <f>VLOOKUP($A60,заявки[],3)</f>
        <v>0</v>
      </c>
      <c r="H60" s="361">
        <f t="shared" si="0"/>
        <v>0.45208333333333323</v>
      </c>
    </row>
    <row r="61" spans="1:8" ht="30" hidden="1" customHeight="1" x14ac:dyDescent="0.25">
      <c r="A61" s="359">
        <f t="shared" si="1"/>
        <v>52</v>
      </c>
      <c r="B61" s="360" t="str">
        <f>IF(LEN(заявки[Ст. №])&gt;0,заявки[Ст. №],"")</f>
        <v/>
      </c>
      <c r="C61" s="404">
        <f>VLOOKUP($A61,заявки[],4)</f>
        <v>0</v>
      </c>
      <c r="D61" s="404">
        <f>VLOOKUP($A61,заявки[],6)</f>
        <v>0</v>
      </c>
      <c r="E61" s="404">
        <f>VLOOKUP($A61,заявки[],10)</f>
        <v>0</v>
      </c>
      <c r="F61" s="404">
        <f>VLOOKUP($A61,заявки[],14)</f>
        <v>0</v>
      </c>
      <c r="G61" s="198">
        <f>VLOOKUP($A61,заявки[],3)</f>
        <v>0</v>
      </c>
      <c r="H61" s="361">
        <f t="shared" si="0"/>
        <v>0.45277777777777767</v>
      </c>
    </row>
    <row r="62" spans="1:8" ht="30" hidden="1" customHeight="1" x14ac:dyDescent="0.25">
      <c r="A62" s="359">
        <f t="shared" si="1"/>
        <v>53</v>
      </c>
      <c r="B62" s="360" t="str">
        <f>IF(LEN(заявки[Ст. №])&gt;0,заявки[Ст. №],"")</f>
        <v/>
      </c>
      <c r="C62" s="404" t="str">
        <f>VLOOKUP($A62,заявки[],4)</f>
        <v>ВАЗ 2104</v>
      </c>
      <c r="D62" s="404" t="str">
        <f>VLOOKUP($A62,заявки[],6)</f>
        <v>Дмитрий Шубин</v>
      </c>
      <c r="E62" s="404" t="str">
        <f>VLOOKUP($A62,заявки[],10)</f>
        <v>Мальцев Кирилл</v>
      </c>
      <c r="F62" s="404" t="str">
        <f>VLOOKUP($A62,заявки[],14)</f>
        <v>Смоленск</v>
      </c>
      <c r="G62" s="198" t="str">
        <f>VLOOKUP($A62,заявки[],3)</f>
        <v>Light, Аэропорт</v>
      </c>
      <c r="H62" s="361">
        <f t="shared" si="0"/>
        <v>0.45347222222222211</v>
      </c>
    </row>
    <row r="63" spans="1:8" ht="30" hidden="1" customHeight="1" x14ac:dyDescent="0.25">
      <c r="A63" s="359">
        <f t="shared" si="1"/>
        <v>54</v>
      </c>
      <c r="B63" s="360" t="str">
        <f>IF(LEN(заявки[Ст. №])&gt;0,заявки[Ст. №],"")</f>
        <v/>
      </c>
      <c r="C63" s="404" t="str">
        <f>VLOOKUP($A63,заявки[],4)</f>
        <v>Skoda Kodiaq</v>
      </c>
      <c r="D63" s="404" t="str">
        <f>VLOOKUP($A63,заявки[],6)</f>
        <v xml:space="preserve">Жуков Илья </v>
      </c>
      <c r="E63" s="404" t="str">
        <f>VLOOKUP($A63,заявки[],10)</f>
        <v>Жукова Елена</v>
      </c>
      <c r="F63" s="404" t="str">
        <f>VLOOKUP($A63,заявки[],14)</f>
        <v>Смоленск</v>
      </c>
      <c r="G63" s="198" t="str">
        <f>VLOOKUP($A63,заявки[],3)</f>
        <v>Light, Аэропорт</v>
      </c>
      <c r="H63" s="361">
        <f t="shared" si="0"/>
        <v>0.45416666666666655</v>
      </c>
    </row>
    <row r="64" spans="1:8" ht="30" hidden="1" customHeight="1" x14ac:dyDescent="0.25">
      <c r="A64" s="359">
        <f t="shared" si="1"/>
        <v>55</v>
      </c>
      <c r="B64" s="360" t="str">
        <f>IF(LEN(заявки[Ст. №])&gt;0,заявки[Ст. №],"")</f>
        <v/>
      </c>
      <c r="C64" s="404" t="str">
        <f>VLOOKUP($A64,заявки[],4)</f>
        <v>Opel Omega B</v>
      </c>
      <c r="D64" s="404" t="str">
        <f>VLOOKUP($A64,заявки[],6)</f>
        <v>максимова олеся</v>
      </c>
      <c r="E64" s="404" t="str">
        <f>VLOOKUP($A64,заявки[],10)</f>
        <v>фролов алексей</v>
      </c>
      <c r="F64" s="404" t="str">
        <f>VLOOKUP($A64,заявки[],14)</f>
        <v>Смоленск</v>
      </c>
      <c r="G64" s="198" t="str">
        <f>VLOOKUP($A64,заявки[],3)</f>
        <v>Light, Аэропорт</v>
      </c>
      <c r="H64" s="361">
        <f t="shared" si="0"/>
        <v>0.45486111111111099</v>
      </c>
    </row>
    <row r="65" spans="1:8" ht="30" hidden="1" customHeight="1" x14ac:dyDescent="0.25">
      <c r="A65" s="359">
        <f t="shared" si="1"/>
        <v>56</v>
      </c>
      <c r="B65" s="360" t="str">
        <f>IF(LEN(заявки[Ст. №])&gt;0,заявки[Ст. №],"")</f>
        <v/>
      </c>
      <c r="C65" s="404">
        <f>VLOOKUP($A65,заявки[],4)</f>
        <v>0</v>
      </c>
      <c r="D65" s="404">
        <f>VLOOKUP($A65,заявки[],6)</f>
        <v>0</v>
      </c>
      <c r="E65" s="404">
        <f>VLOOKUP($A65,заявки[],10)</f>
        <v>0</v>
      </c>
      <c r="F65" s="404">
        <f>VLOOKUP($A65,заявки[],14)</f>
        <v>0</v>
      </c>
      <c r="G65" s="198">
        <f>VLOOKUP($A65,заявки[],3)</f>
        <v>0</v>
      </c>
      <c r="H65" s="361">
        <f t="shared" si="0"/>
        <v>0.45555555555555544</v>
      </c>
    </row>
    <row r="66" spans="1:8" ht="30" hidden="1" customHeight="1" x14ac:dyDescent="0.25">
      <c r="A66" s="359">
        <f t="shared" si="1"/>
        <v>57</v>
      </c>
      <c r="B66" s="360" t="str">
        <f>IF(LEN(заявки[Ст. №])&gt;0,заявки[Ст. №],"")</f>
        <v/>
      </c>
      <c r="C66" s="404">
        <f>VLOOKUP($A66,заявки[],4)</f>
        <v>0</v>
      </c>
      <c r="D66" s="404">
        <f>VLOOKUP($A66,заявки[],6)</f>
        <v>0</v>
      </c>
      <c r="E66" s="404">
        <f>VLOOKUP($A66,заявки[],10)</f>
        <v>0</v>
      </c>
      <c r="F66" s="404">
        <f>VLOOKUP($A66,заявки[],14)</f>
        <v>0</v>
      </c>
      <c r="G66" s="198">
        <f>VLOOKUP($A66,заявки[],3)</f>
        <v>0</v>
      </c>
      <c r="H66" s="361">
        <f t="shared" si="0"/>
        <v>0.45624999999999988</v>
      </c>
    </row>
    <row r="67" spans="1:8" ht="30" hidden="1" customHeight="1" x14ac:dyDescent="0.25">
      <c r="A67" s="359">
        <f t="shared" si="1"/>
        <v>58</v>
      </c>
      <c r="B67" s="360" t="str">
        <f>IF(LEN(заявки[Ст. №])&gt;0,заявки[Ст. №],"")</f>
        <v/>
      </c>
      <c r="C67" s="404">
        <f>VLOOKUP($A67,заявки[],4)</f>
        <v>0</v>
      </c>
      <c r="D67" s="404">
        <f>VLOOKUP($A67,заявки[],6)</f>
        <v>0</v>
      </c>
      <c r="E67" s="404">
        <f>VLOOKUP($A67,заявки[],10)</f>
        <v>0</v>
      </c>
      <c r="F67" s="404">
        <f>VLOOKUP($A67,заявки[],14)</f>
        <v>0</v>
      </c>
      <c r="G67" s="198">
        <f>VLOOKUP($A67,заявки[],3)</f>
        <v>0</v>
      </c>
      <c r="H67" s="361">
        <f t="shared" si="0"/>
        <v>0.45694444444444432</v>
      </c>
    </row>
    <row r="68" spans="1:8" ht="30" hidden="1" customHeight="1" x14ac:dyDescent="0.25">
      <c r="A68" s="359">
        <f t="shared" si="1"/>
        <v>59</v>
      </c>
      <c r="B68" s="360" t="str">
        <f>IF(LEN(заявки[Ст. №])&gt;0,заявки[Ст. №],"")</f>
        <v/>
      </c>
      <c r="C68" s="404">
        <f>VLOOKUP($A68,заявки[],4)</f>
        <v>0</v>
      </c>
      <c r="D68" s="404">
        <f>VLOOKUP($A68,заявки[],6)</f>
        <v>0</v>
      </c>
      <c r="E68" s="404">
        <f>VLOOKUP($A68,заявки[],10)</f>
        <v>0</v>
      </c>
      <c r="F68" s="404">
        <f>VLOOKUP($A68,заявки[],14)</f>
        <v>0</v>
      </c>
      <c r="G68" s="198">
        <f>VLOOKUP($A68,заявки[],3)</f>
        <v>0</v>
      </c>
      <c r="H68" s="361">
        <f t="shared" si="0"/>
        <v>0.45763888888888876</v>
      </c>
    </row>
    <row r="69" spans="1:8" ht="30" hidden="1" customHeight="1" x14ac:dyDescent="0.25">
      <c r="A69" s="359">
        <f t="shared" si="1"/>
        <v>60</v>
      </c>
      <c r="B69" s="360" t="str">
        <f>IF(LEN(заявки[Ст. №])&gt;0,заявки[Ст. №],"")</f>
        <v/>
      </c>
      <c r="C69" s="404">
        <f>VLOOKUP($A69,заявки[],4)</f>
        <v>0</v>
      </c>
      <c r="D69" s="404">
        <f>VLOOKUP($A69,заявки[],6)</f>
        <v>0</v>
      </c>
      <c r="E69" s="404">
        <f>VLOOKUP($A69,заявки[],10)</f>
        <v>0</v>
      </c>
      <c r="F69" s="404">
        <f>VLOOKUP($A69,заявки[],14)</f>
        <v>0</v>
      </c>
      <c r="G69" s="198">
        <f>VLOOKUP($A69,заявки[],3)</f>
        <v>0</v>
      </c>
      <c r="H69" s="361">
        <f t="shared" si="0"/>
        <v>0.4583333333333332</v>
      </c>
    </row>
    <row r="70" spans="1:8" x14ac:dyDescent="0.25">
      <c r="A70" s="362" t="s">
        <v>60</v>
      </c>
      <c r="B70" s="363">
        <f>заявки[[#Totals],[Ст. №]]</f>
        <v>42</v>
      </c>
      <c r="C70" s="364"/>
      <c r="D70" s="364"/>
      <c r="E70" s="364"/>
      <c r="F70" s="364"/>
      <c r="G70" s="363"/>
      <c r="H70" s="365"/>
    </row>
    <row r="72" spans="1:8" ht="15.75" x14ac:dyDescent="0.25">
      <c r="B72" s="225" t="s">
        <v>237</v>
      </c>
      <c r="C72" s="2"/>
      <c r="D72" s="317" t="str">
        <f>номЛицГлСуд</f>
        <v>В19-1032 1К</v>
      </c>
      <c r="E72" s="318" t="str">
        <f>фиоГлСуд</f>
        <v>А. Курилин</v>
      </c>
      <c r="F72" s="318"/>
      <c r="G72" s="2"/>
    </row>
    <row r="73" spans="1:8" x14ac:dyDescent="0.25">
      <c r="B73" s="33"/>
      <c r="C73" s="2"/>
      <c r="D73" s="130" t="s">
        <v>234</v>
      </c>
      <c r="E73" s="130" t="s">
        <v>235</v>
      </c>
      <c r="F73" s="130" t="s">
        <v>385</v>
      </c>
      <c r="G73" s="2"/>
    </row>
    <row r="74" spans="1:8" ht="15.75" x14ac:dyDescent="0.25">
      <c r="B74" s="225" t="s">
        <v>238</v>
      </c>
      <c r="C74" s="2"/>
      <c r="D74" s="318" t="str">
        <f>номЛицГлСек</f>
        <v>В19-0000 1К</v>
      </c>
      <c r="E74" s="318" t="str">
        <f>фиоГлСек</f>
        <v>М. Хасанова</v>
      </c>
      <c r="F74" s="318"/>
      <c r="G74" s="2"/>
    </row>
    <row r="75" spans="1:8" x14ac:dyDescent="0.25">
      <c r="B75" s="33"/>
      <c r="C75" s="2"/>
      <c r="D75" s="130" t="s">
        <v>234</v>
      </c>
      <c r="E75" s="130" t="s">
        <v>235</v>
      </c>
      <c r="F75" s="130" t="s">
        <v>385</v>
      </c>
      <c r="G75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headerFooter>
    <oddFooter>Страница  &amp;P из &amp;N</oddFoot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H154"/>
  <sheetViews>
    <sheetView view="pageBreakPreview" zoomScaleNormal="100" zoomScaleSheetLayoutView="100" workbookViewId="0">
      <selection activeCell="C11" sqref="C11"/>
    </sheetView>
  </sheetViews>
  <sheetFormatPr defaultRowHeight="15" x14ac:dyDescent="0.25"/>
  <cols>
    <col min="1" max="2" width="6.7109375" style="1" customWidth="1"/>
    <col min="3" max="5" width="22.7109375" style="1" customWidth="1"/>
    <col min="6" max="6" width="6.7109375" style="1" customWidth="1"/>
    <col min="7" max="164" width="9.140625" style="1"/>
    <col min="165" max="165" width="18.7109375" style="1" customWidth="1"/>
    <col min="166" max="166" width="18.140625" style="1" customWidth="1"/>
    <col min="167" max="167" width="8.7109375" style="1" customWidth="1"/>
    <col min="168" max="168" width="9.140625" style="1"/>
    <col min="169" max="169" width="9.140625" style="1" customWidth="1"/>
    <col min="170" max="170" width="27.28515625" style="1" customWidth="1"/>
    <col min="171" max="206" width="9.140625" style="1" customWidth="1"/>
    <col min="207" max="420" width="9.140625" style="1"/>
    <col min="421" max="421" width="18.7109375" style="1" customWidth="1"/>
    <col min="422" max="422" width="18.140625" style="1" customWidth="1"/>
    <col min="423" max="423" width="8.7109375" style="1" customWidth="1"/>
    <col min="424" max="424" width="9.140625" style="1"/>
    <col min="425" max="425" width="9.140625" style="1" customWidth="1"/>
    <col min="426" max="426" width="27.28515625" style="1" customWidth="1"/>
    <col min="427" max="462" width="9.140625" style="1" customWidth="1"/>
    <col min="463" max="676" width="9.140625" style="1"/>
    <col min="677" max="677" width="18.7109375" style="1" customWidth="1"/>
    <col min="678" max="678" width="18.140625" style="1" customWidth="1"/>
    <col min="679" max="679" width="8.7109375" style="1" customWidth="1"/>
    <col min="680" max="680" width="9.140625" style="1"/>
    <col min="681" max="681" width="9.140625" style="1" customWidth="1"/>
    <col min="682" max="682" width="27.28515625" style="1" customWidth="1"/>
    <col min="683" max="718" width="9.140625" style="1" customWidth="1"/>
    <col min="719" max="932" width="9.140625" style="1"/>
    <col min="933" max="933" width="18.7109375" style="1" customWidth="1"/>
    <col min="934" max="934" width="18.140625" style="1" customWidth="1"/>
    <col min="935" max="935" width="8.7109375" style="1" customWidth="1"/>
    <col min="936" max="936" width="9.140625" style="1"/>
    <col min="937" max="937" width="9.140625" style="1" customWidth="1"/>
    <col min="938" max="938" width="27.28515625" style="1" customWidth="1"/>
    <col min="939" max="974" width="9.140625" style="1" customWidth="1"/>
    <col min="975" max="1188" width="9.140625" style="1"/>
    <col min="1189" max="1189" width="18.7109375" style="1" customWidth="1"/>
    <col min="1190" max="1190" width="18.140625" style="1" customWidth="1"/>
    <col min="1191" max="1191" width="8.7109375" style="1" customWidth="1"/>
    <col min="1192" max="1192" width="9.140625" style="1"/>
    <col min="1193" max="1193" width="9.140625" style="1" customWidth="1"/>
    <col min="1194" max="1194" width="27.28515625" style="1" customWidth="1"/>
    <col min="1195" max="1230" width="9.140625" style="1" customWidth="1"/>
    <col min="1231" max="1444" width="9.140625" style="1"/>
    <col min="1445" max="1445" width="18.7109375" style="1" customWidth="1"/>
    <col min="1446" max="1446" width="18.140625" style="1" customWidth="1"/>
    <col min="1447" max="1447" width="8.7109375" style="1" customWidth="1"/>
    <col min="1448" max="1448" width="9.140625" style="1"/>
    <col min="1449" max="1449" width="9.140625" style="1" customWidth="1"/>
    <col min="1450" max="1450" width="27.28515625" style="1" customWidth="1"/>
    <col min="1451" max="1486" width="9.140625" style="1" customWidth="1"/>
    <col min="1487" max="1700" width="9.140625" style="1"/>
    <col min="1701" max="1701" width="18.7109375" style="1" customWidth="1"/>
    <col min="1702" max="1702" width="18.140625" style="1" customWidth="1"/>
    <col min="1703" max="1703" width="8.7109375" style="1" customWidth="1"/>
    <col min="1704" max="1704" width="9.140625" style="1"/>
    <col min="1705" max="1705" width="9.140625" style="1" customWidth="1"/>
    <col min="1706" max="1706" width="27.28515625" style="1" customWidth="1"/>
    <col min="1707" max="1742" width="9.140625" style="1" customWidth="1"/>
    <col min="1743" max="1956" width="9.140625" style="1"/>
    <col min="1957" max="1957" width="18.7109375" style="1" customWidth="1"/>
    <col min="1958" max="1958" width="18.140625" style="1" customWidth="1"/>
    <col min="1959" max="1959" width="8.7109375" style="1" customWidth="1"/>
    <col min="1960" max="1960" width="9.140625" style="1"/>
    <col min="1961" max="1961" width="9.140625" style="1" customWidth="1"/>
    <col min="1962" max="1962" width="27.28515625" style="1" customWidth="1"/>
    <col min="1963" max="1998" width="9.140625" style="1" customWidth="1"/>
    <col min="1999" max="2212" width="9.140625" style="1"/>
    <col min="2213" max="2213" width="18.7109375" style="1" customWidth="1"/>
    <col min="2214" max="2214" width="18.140625" style="1" customWidth="1"/>
    <col min="2215" max="2215" width="8.7109375" style="1" customWidth="1"/>
    <col min="2216" max="2216" width="9.140625" style="1"/>
    <col min="2217" max="2217" width="9.140625" style="1" customWidth="1"/>
    <col min="2218" max="2218" width="27.28515625" style="1" customWidth="1"/>
    <col min="2219" max="2254" width="9.140625" style="1" customWidth="1"/>
    <col min="2255" max="2468" width="9.140625" style="1"/>
    <col min="2469" max="2469" width="18.7109375" style="1" customWidth="1"/>
    <col min="2470" max="2470" width="18.140625" style="1" customWidth="1"/>
    <col min="2471" max="2471" width="8.7109375" style="1" customWidth="1"/>
    <col min="2472" max="2472" width="9.140625" style="1"/>
    <col min="2473" max="2473" width="9.140625" style="1" customWidth="1"/>
    <col min="2474" max="2474" width="27.28515625" style="1" customWidth="1"/>
    <col min="2475" max="2510" width="9.140625" style="1" customWidth="1"/>
    <col min="2511" max="2724" width="9.140625" style="1"/>
    <col min="2725" max="2725" width="18.7109375" style="1" customWidth="1"/>
    <col min="2726" max="2726" width="18.140625" style="1" customWidth="1"/>
    <col min="2727" max="2727" width="8.7109375" style="1" customWidth="1"/>
    <col min="2728" max="2728" width="9.140625" style="1"/>
    <col min="2729" max="2729" width="9.140625" style="1" customWidth="1"/>
    <col min="2730" max="2730" width="27.28515625" style="1" customWidth="1"/>
    <col min="2731" max="2766" width="9.140625" style="1" customWidth="1"/>
    <col min="2767" max="2980" width="9.140625" style="1"/>
    <col min="2981" max="2981" width="18.7109375" style="1" customWidth="1"/>
    <col min="2982" max="2982" width="18.140625" style="1" customWidth="1"/>
    <col min="2983" max="2983" width="8.7109375" style="1" customWidth="1"/>
    <col min="2984" max="2984" width="9.140625" style="1"/>
    <col min="2985" max="2985" width="9.140625" style="1" customWidth="1"/>
    <col min="2986" max="2986" width="27.28515625" style="1" customWidth="1"/>
    <col min="2987" max="3022" width="9.140625" style="1" customWidth="1"/>
    <col min="3023" max="3236" width="9.140625" style="1"/>
    <col min="3237" max="3237" width="18.7109375" style="1" customWidth="1"/>
    <col min="3238" max="3238" width="18.140625" style="1" customWidth="1"/>
    <col min="3239" max="3239" width="8.7109375" style="1" customWidth="1"/>
    <col min="3240" max="3240" width="9.140625" style="1"/>
    <col min="3241" max="3241" width="9.140625" style="1" customWidth="1"/>
    <col min="3242" max="3242" width="27.28515625" style="1" customWidth="1"/>
    <col min="3243" max="3278" width="9.140625" style="1" customWidth="1"/>
    <col min="3279" max="3492" width="9.140625" style="1"/>
    <col min="3493" max="3493" width="18.7109375" style="1" customWidth="1"/>
    <col min="3494" max="3494" width="18.140625" style="1" customWidth="1"/>
    <col min="3495" max="3495" width="8.7109375" style="1" customWidth="1"/>
    <col min="3496" max="3496" width="9.140625" style="1"/>
    <col min="3497" max="3497" width="9.140625" style="1" customWidth="1"/>
    <col min="3498" max="3498" width="27.28515625" style="1" customWidth="1"/>
    <col min="3499" max="3534" width="9.140625" style="1" customWidth="1"/>
    <col min="3535" max="3748" width="9.140625" style="1"/>
    <col min="3749" max="3749" width="18.7109375" style="1" customWidth="1"/>
    <col min="3750" max="3750" width="18.140625" style="1" customWidth="1"/>
    <col min="3751" max="3751" width="8.7109375" style="1" customWidth="1"/>
    <col min="3752" max="3752" width="9.140625" style="1"/>
    <col min="3753" max="3753" width="9.140625" style="1" customWidth="1"/>
    <col min="3754" max="3754" width="27.28515625" style="1" customWidth="1"/>
    <col min="3755" max="3790" width="9.140625" style="1" customWidth="1"/>
    <col min="3791" max="4004" width="9.140625" style="1"/>
    <col min="4005" max="4005" width="18.7109375" style="1" customWidth="1"/>
    <col min="4006" max="4006" width="18.140625" style="1" customWidth="1"/>
    <col min="4007" max="4007" width="8.7109375" style="1" customWidth="1"/>
    <col min="4008" max="4008" width="9.140625" style="1"/>
    <col min="4009" max="4009" width="9.140625" style="1" customWidth="1"/>
    <col min="4010" max="4010" width="27.28515625" style="1" customWidth="1"/>
    <col min="4011" max="4046" width="9.140625" style="1" customWidth="1"/>
    <col min="4047" max="4260" width="9.140625" style="1"/>
    <col min="4261" max="4261" width="18.7109375" style="1" customWidth="1"/>
    <col min="4262" max="4262" width="18.140625" style="1" customWidth="1"/>
    <col min="4263" max="4263" width="8.7109375" style="1" customWidth="1"/>
    <col min="4264" max="4264" width="9.140625" style="1"/>
    <col min="4265" max="4265" width="9.140625" style="1" customWidth="1"/>
    <col min="4266" max="4266" width="27.28515625" style="1" customWidth="1"/>
    <col min="4267" max="4302" width="9.140625" style="1" customWidth="1"/>
    <col min="4303" max="4516" width="9.140625" style="1"/>
    <col min="4517" max="4517" width="18.7109375" style="1" customWidth="1"/>
    <col min="4518" max="4518" width="18.140625" style="1" customWidth="1"/>
    <col min="4519" max="4519" width="8.7109375" style="1" customWidth="1"/>
    <col min="4520" max="4520" width="9.140625" style="1"/>
    <col min="4521" max="4521" width="9.140625" style="1" customWidth="1"/>
    <col min="4522" max="4522" width="27.28515625" style="1" customWidth="1"/>
    <col min="4523" max="4558" width="9.140625" style="1" customWidth="1"/>
    <col min="4559" max="4772" width="9.140625" style="1"/>
    <col min="4773" max="4773" width="18.7109375" style="1" customWidth="1"/>
    <col min="4774" max="4774" width="18.140625" style="1" customWidth="1"/>
    <col min="4775" max="4775" width="8.7109375" style="1" customWidth="1"/>
    <col min="4776" max="4776" width="9.140625" style="1"/>
    <col min="4777" max="4777" width="9.140625" style="1" customWidth="1"/>
    <col min="4778" max="4778" width="27.28515625" style="1" customWidth="1"/>
    <col min="4779" max="4814" width="9.140625" style="1" customWidth="1"/>
    <col min="4815" max="5028" width="9.140625" style="1"/>
    <col min="5029" max="5029" width="18.7109375" style="1" customWidth="1"/>
    <col min="5030" max="5030" width="18.140625" style="1" customWidth="1"/>
    <col min="5031" max="5031" width="8.7109375" style="1" customWidth="1"/>
    <col min="5032" max="5032" width="9.140625" style="1"/>
    <col min="5033" max="5033" width="9.140625" style="1" customWidth="1"/>
    <col min="5034" max="5034" width="27.28515625" style="1" customWidth="1"/>
    <col min="5035" max="5070" width="9.140625" style="1" customWidth="1"/>
    <col min="5071" max="5284" width="9.140625" style="1"/>
    <col min="5285" max="5285" width="18.7109375" style="1" customWidth="1"/>
    <col min="5286" max="5286" width="18.140625" style="1" customWidth="1"/>
    <col min="5287" max="5287" width="8.7109375" style="1" customWidth="1"/>
    <col min="5288" max="5288" width="9.140625" style="1"/>
    <col min="5289" max="5289" width="9.140625" style="1" customWidth="1"/>
    <col min="5290" max="5290" width="27.28515625" style="1" customWidth="1"/>
    <col min="5291" max="5326" width="9.140625" style="1" customWidth="1"/>
    <col min="5327" max="5540" width="9.140625" style="1"/>
    <col min="5541" max="5541" width="18.7109375" style="1" customWidth="1"/>
    <col min="5542" max="5542" width="18.140625" style="1" customWidth="1"/>
    <col min="5543" max="5543" width="8.7109375" style="1" customWidth="1"/>
    <col min="5544" max="5544" width="9.140625" style="1"/>
    <col min="5545" max="5545" width="9.140625" style="1" customWidth="1"/>
    <col min="5546" max="5546" width="27.28515625" style="1" customWidth="1"/>
    <col min="5547" max="5582" width="9.140625" style="1" customWidth="1"/>
    <col min="5583" max="5796" width="9.140625" style="1"/>
    <col min="5797" max="5797" width="18.7109375" style="1" customWidth="1"/>
    <col min="5798" max="5798" width="18.140625" style="1" customWidth="1"/>
    <col min="5799" max="5799" width="8.7109375" style="1" customWidth="1"/>
    <col min="5800" max="5800" width="9.140625" style="1"/>
    <col min="5801" max="5801" width="9.140625" style="1" customWidth="1"/>
    <col min="5802" max="5802" width="27.28515625" style="1" customWidth="1"/>
    <col min="5803" max="5838" width="9.140625" style="1" customWidth="1"/>
    <col min="5839" max="6052" width="9.140625" style="1"/>
    <col min="6053" max="6053" width="18.7109375" style="1" customWidth="1"/>
    <col min="6054" max="6054" width="18.140625" style="1" customWidth="1"/>
    <col min="6055" max="6055" width="8.7109375" style="1" customWidth="1"/>
    <col min="6056" max="6056" width="9.140625" style="1"/>
    <col min="6057" max="6057" width="9.140625" style="1" customWidth="1"/>
    <col min="6058" max="6058" width="27.28515625" style="1" customWidth="1"/>
    <col min="6059" max="6094" width="9.140625" style="1" customWidth="1"/>
    <col min="6095" max="6308" width="9.140625" style="1"/>
    <col min="6309" max="6309" width="18.7109375" style="1" customWidth="1"/>
    <col min="6310" max="6310" width="18.140625" style="1" customWidth="1"/>
    <col min="6311" max="6311" width="8.7109375" style="1" customWidth="1"/>
    <col min="6312" max="6312" width="9.140625" style="1"/>
    <col min="6313" max="6313" width="9.140625" style="1" customWidth="1"/>
    <col min="6314" max="6314" width="27.28515625" style="1" customWidth="1"/>
    <col min="6315" max="6350" width="9.140625" style="1" customWidth="1"/>
    <col min="6351" max="6564" width="9.140625" style="1"/>
    <col min="6565" max="6565" width="18.7109375" style="1" customWidth="1"/>
    <col min="6566" max="6566" width="18.140625" style="1" customWidth="1"/>
    <col min="6567" max="6567" width="8.7109375" style="1" customWidth="1"/>
    <col min="6568" max="6568" width="9.140625" style="1"/>
    <col min="6569" max="6569" width="9.140625" style="1" customWidth="1"/>
    <col min="6570" max="6570" width="27.28515625" style="1" customWidth="1"/>
    <col min="6571" max="6606" width="9.140625" style="1" customWidth="1"/>
    <col min="6607" max="6820" width="9.140625" style="1"/>
    <col min="6821" max="6821" width="18.7109375" style="1" customWidth="1"/>
    <col min="6822" max="6822" width="18.140625" style="1" customWidth="1"/>
    <col min="6823" max="6823" width="8.7109375" style="1" customWidth="1"/>
    <col min="6824" max="6824" width="9.140625" style="1"/>
    <col min="6825" max="6825" width="9.140625" style="1" customWidth="1"/>
    <col min="6826" max="6826" width="27.28515625" style="1" customWidth="1"/>
    <col min="6827" max="6862" width="9.140625" style="1" customWidth="1"/>
    <col min="6863" max="7076" width="9.140625" style="1"/>
    <col min="7077" max="7077" width="18.7109375" style="1" customWidth="1"/>
    <col min="7078" max="7078" width="18.140625" style="1" customWidth="1"/>
    <col min="7079" max="7079" width="8.7109375" style="1" customWidth="1"/>
    <col min="7080" max="7080" width="9.140625" style="1"/>
    <col min="7081" max="7081" width="9.140625" style="1" customWidth="1"/>
    <col min="7082" max="7082" width="27.28515625" style="1" customWidth="1"/>
    <col min="7083" max="7118" width="9.140625" style="1" customWidth="1"/>
    <col min="7119" max="7332" width="9.140625" style="1"/>
    <col min="7333" max="7333" width="18.7109375" style="1" customWidth="1"/>
    <col min="7334" max="7334" width="18.140625" style="1" customWidth="1"/>
    <col min="7335" max="7335" width="8.7109375" style="1" customWidth="1"/>
    <col min="7336" max="7336" width="9.140625" style="1"/>
    <col min="7337" max="7337" width="9.140625" style="1" customWidth="1"/>
    <col min="7338" max="7338" width="27.28515625" style="1" customWidth="1"/>
    <col min="7339" max="7374" width="9.140625" style="1" customWidth="1"/>
    <col min="7375" max="7588" width="9.140625" style="1"/>
    <col min="7589" max="7589" width="18.7109375" style="1" customWidth="1"/>
    <col min="7590" max="7590" width="18.140625" style="1" customWidth="1"/>
    <col min="7591" max="7591" width="8.7109375" style="1" customWidth="1"/>
    <col min="7592" max="7592" width="9.140625" style="1"/>
    <col min="7593" max="7593" width="9.140625" style="1" customWidth="1"/>
    <col min="7594" max="7594" width="27.28515625" style="1" customWidth="1"/>
    <col min="7595" max="7630" width="9.140625" style="1" customWidth="1"/>
    <col min="7631" max="7844" width="9.140625" style="1"/>
    <col min="7845" max="7845" width="18.7109375" style="1" customWidth="1"/>
    <col min="7846" max="7846" width="18.140625" style="1" customWidth="1"/>
    <col min="7847" max="7847" width="8.7109375" style="1" customWidth="1"/>
    <col min="7848" max="7848" width="9.140625" style="1"/>
    <col min="7849" max="7849" width="9.140625" style="1" customWidth="1"/>
    <col min="7850" max="7850" width="27.28515625" style="1" customWidth="1"/>
    <col min="7851" max="7886" width="9.140625" style="1" customWidth="1"/>
    <col min="7887" max="8100" width="9.140625" style="1"/>
    <col min="8101" max="8101" width="18.7109375" style="1" customWidth="1"/>
    <col min="8102" max="8102" width="18.140625" style="1" customWidth="1"/>
    <col min="8103" max="8103" width="8.7109375" style="1" customWidth="1"/>
    <col min="8104" max="8104" width="9.140625" style="1"/>
    <col min="8105" max="8105" width="9.140625" style="1" customWidth="1"/>
    <col min="8106" max="8106" width="27.28515625" style="1" customWidth="1"/>
    <col min="8107" max="8142" width="9.140625" style="1" customWidth="1"/>
    <col min="8143" max="8356" width="9.140625" style="1"/>
    <col min="8357" max="8357" width="18.7109375" style="1" customWidth="1"/>
    <col min="8358" max="8358" width="18.140625" style="1" customWidth="1"/>
    <col min="8359" max="8359" width="8.7109375" style="1" customWidth="1"/>
    <col min="8360" max="8360" width="9.140625" style="1"/>
    <col min="8361" max="8361" width="9.140625" style="1" customWidth="1"/>
    <col min="8362" max="8362" width="27.28515625" style="1" customWidth="1"/>
    <col min="8363" max="8398" width="9.140625" style="1" customWidth="1"/>
    <col min="8399" max="8612" width="9.140625" style="1"/>
    <col min="8613" max="8613" width="18.7109375" style="1" customWidth="1"/>
    <col min="8614" max="8614" width="18.140625" style="1" customWidth="1"/>
    <col min="8615" max="8615" width="8.7109375" style="1" customWidth="1"/>
    <col min="8616" max="8616" width="9.140625" style="1"/>
    <col min="8617" max="8617" width="9.140625" style="1" customWidth="1"/>
    <col min="8618" max="8618" width="27.28515625" style="1" customWidth="1"/>
    <col min="8619" max="8654" width="9.140625" style="1" customWidth="1"/>
    <col min="8655" max="8868" width="9.140625" style="1"/>
    <col min="8869" max="8869" width="18.7109375" style="1" customWidth="1"/>
    <col min="8870" max="8870" width="18.140625" style="1" customWidth="1"/>
    <col min="8871" max="8871" width="8.7109375" style="1" customWidth="1"/>
    <col min="8872" max="8872" width="9.140625" style="1"/>
    <col min="8873" max="8873" width="9.140625" style="1" customWidth="1"/>
    <col min="8874" max="8874" width="27.28515625" style="1" customWidth="1"/>
    <col min="8875" max="8910" width="9.140625" style="1" customWidth="1"/>
    <col min="8911" max="9124" width="9.140625" style="1"/>
    <col min="9125" max="9125" width="18.7109375" style="1" customWidth="1"/>
    <col min="9126" max="9126" width="18.140625" style="1" customWidth="1"/>
    <col min="9127" max="9127" width="8.7109375" style="1" customWidth="1"/>
    <col min="9128" max="9128" width="9.140625" style="1"/>
    <col min="9129" max="9129" width="9.140625" style="1" customWidth="1"/>
    <col min="9130" max="9130" width="27.28515625" style="1" customWidth="1"/>
    <col min="9131" max="9166" width="9.140625" style="1" customWidth="1"/>
    <col min="9167" max="9380" width="9.140625" style="1"/>
    <col min="9381" max="9381" width="18.7109375" style="1" customWidth="1"/>
    <col min="9382" max="9382" width="18.140625" style="1" customWidth="1"/>
    <col min="9383" max="9383" width="8.7109375" style="1" customWidth="1"/>
    <col min="9384" max="9384" width="9.140625" style="1"/>
    <col min="9385" max="9385" width="9.140625" style="1" customWidth="1"/>
    <col min="9386" max="9386" width="27.28515625" style="1" customWidth="1"/>
    <col min="9387" max="9422" width="9.140625" style="1" customWidth="1"/>
    <col min="9423" max="9636" width="9.140625" style="1"/>
    <col min="9637" max="9637" width="18.7109375" style="1" customWidth="1"/>
    <col min="9638" max="9638" width="18.140625" style="1" customWidth="1"/>
    <col min="9639" max="9639" width="8.7109375" style="1" customWidth="1"/>
    <col min="9640" max="9640" width="9.140625" style="1"/>
    <col min="9641" max="9641" width="9.140625" style="1" customWidth="1"/>
    <col min="9642" max="9642" width="27.28515625" style="1" customWidth="1"/>
    <col min="9643" max="9678" width="9.140625" style="1" customWidth="1"/>
    <col min="9679" max="9892" width="9.140625" style="1"/>
    <col min="9893" max="9893" width="18.7109375" style="1" customWidth="1"/>
    <col min="9894" max="9894" width="18.140625" style="1" customWidth="1"/>
    <col min="9895" max="9895" width="8.7109375" style="1" customWidth="1"/>
    <col min="9896" max="9896" width="9.140625" style="1"/>
    <col min="9897" max="9897" width="9.140625" style="1" customWidth="1"/>
    <col min="9898" max="9898" width="27.28515625" style="1" customWidth="1"/>
    <col min="9899" max="9934" width="9.140625" style="1" customWidth="1"/>
    <col min="9935" max="10148" width="9.140625" style="1"/>
    <col min="10149" max="10149" width="18.7109375" style="1" customWidth="1"/>
    <col min="10150" max="10150" width="18.140625" style="1" customWidth="1"/>
    <col min="10151" max="10151" width="8.7109375" style="1" customWidth="1"/>
    <col min="10152" max="10152" width="9.140625" style="1"/>
    <col min="10153" max="10153" width="9.140625" style="1" customWidth="1"/>
    <col min="10154" max="10154" width="27.28515625" style="1" customWidth="1"/>
    <col min="10155" max="10190" width="9.140625" style="1" customWidth="1"/>
    <col min="10191" max="10404" width="9.140625" style="1"/>
    <col min="10405" max="10405" width="18.7109375" style="1" customWidth="1"/>
    <col min="10406" max="10406" width="18.140625" style="1" customWidth="1"/>
    <col min="10407" max="10407" width="8.7109375" style="1" customWidth="1"/>
    <col min="10408" max="10408" width="9.140625" style="1"/>
    <col min="10409" max="10409" width="9.140625" style="1" customWidth="1"/>
    <col min="10410" max="10410" width="27.28515625" style="1" customWidth="1"/>
    <col min="10411" max="10446" width="9.140625" style="1" customWidth="1"/>
    <col min="10447" max="10660" width="9.140625" style="1"/>
    <col min="10661" max="10661" width="18.7109375" style="1" customWidth="1"/>
    <col min="10662" max="10662" width="18.140625" style="1" customWidth="1"/>
    <col min="10663" max="10663" width="8.7109375" style="1" customWidth="1"/>
    <col min="10664" max="10664" width="9.140625" style="1"/>
    <col min="10665" max="10665" width="9.140625" style="1" customWidth="1"/>
    <col min="10666" max="10666" width="27.28515625" style="1" customWidth="1"/>
    <col min="10667" max="10702" width="9.140625" style="1" customWidth="1"/>
    <col min="10703" max="10916" width="9.140625" style="1"/>
    <col min="10917" max="10917" width="18.7109375" style="1" customWidth="1"/>
    <col min="10918" max="10918" width="18.140625" style="1" customWidth="1"/>
    <col min="10919" max="10919" width="8.7109375" style="1" customWidth="1"/>
    <col min="10920" max="10920" width="9.140625" style="1"/>
    <col min="10921" max="10921" width="9.140625" style="1" customWidth="1"/>
    <col min="10922" max="10922" width="27.28515625" style="1" customWidth="1"/>
    <col min="10923" max="10958" width="9.140625" style="1" customWidth="1"/>
    <col min="10959" max="11172" width="9.140625" style="1"/>
    <col min="11173" max="11173" width="18.7109375" style="1" customWidth="1"/>
    <col min="11174" max="11174" width="18.140625" style="1" customWidth="1"/>
    <col min="11175" max="11175" width="8.7109375" style="1" customWidth="1"/>
    <col min="11176" max="11176" width="9.140625" style="1"/>
    <col min="11177" max="11177" width="9.140625" style="1" customWidth="1"/>
    <col min="11178" max="11178" width="27.28515625" style="1" customWidth="1"/>
    <col min="11179" max="11214" width="9.140625" style="1" customWidth="1"/>
    <col min="11215" max="11428" width="9.140625" style="1"/>
    <col min="11429" max="11429" width="18.7109375" style="1" customWidth="1"/>
    <col min="11430" max="11430" width="18.140625" style="1" customWidth="1"/>
    <col min="11431" max="11431" width="8.7109375" style="1" customWidth="1"/>
    <col min="11432" max="11432" width="9.140625" style="1"/>
    <col min="11433" max="11433" width="9.140625" style="1" customWidth="1"/>
    <col min="11434" max="11434" width="27.28515625" style="1" customWidth="1"/>
    <col min="11435" max="11470" width="9.140625" style="1" customWidth="1"/>
    <col min="11471" max="11684" width="9.140625" style="1"/>
    <col min="11685" max="11685" width="18.7109375" style="1" customWidth="1"/>
    <col min="11686" max="11686" width="18.140625" style="1" customWidth="1"/>
    <col min="11687" max="11687" width="8.7109375" style="1" customWidth="1"/>
    <col min="11688" max="11688" width="9.140625" style="1"/>
    <col min="11689" max="11689" width="9.140625" style="1" customWidth="1"/>
    <col min="11690" max="11690" width="27.28515625" style="1" customWidth="1"/>
    <col min="11691" max="11726" width="9.140625" style="1" customWidth="1"/>
    <col min="11727" max="11940" width="9.140625" style="1"/>
    <col min="11941" max="11941" width="18.7109375" style="1" customWidth="1"/>
    <col min="11942" max="11942" width="18.140625" style="1" customWidth="1"/>
    <col min="11943" max="11943" width="8.7109375" style="1" customWidth="1"/>
    <col min="11944" max="11944" width="9.140625" style="1"/>
    <col min="11945" max="11945" width="9.140625" style="1" customWidth="1"/>
    <col min="11946" max="11946" width="27.28515625" style="1" customWidth="1"/>
    <col min="11947" max="11982" width="9.140625" style="1" customWidth="1"/>
    <col min="11983" max="12196" width="9.140625" style="1"/>
    <col min="12197" max="12197" width="18.7109375" style="1" customWidth="1"/>
    <col min="12198" max="12198" width="18.140625" style="1" customWidth="1"/>
    <col min="12199" max="12199" width="8.7109375" style="1" customWidth="1"/>
    <col min="12200" max="12200" width="9.140625" style="1"/>
    <col min="12201" max="12201" width="9.140625" style="1" customWidth="1"/>
    <col min="12202" max="12202" width="27.28515625" style="1" customWidth="1"/>
    <col min="12203" max="12238" width="9.140625" style="1" customWidth="1"/>
    <col min="12239" max="12452" width="9.140625" style="1"/>
    <col min="12453" max="12453" width="18.7109375" style="1" customWidth="1"/>
    <col min="12454" max="12454" width="18.140625" style="1" customWidth="1"/>
    <col min="12455" max="12455" width="8.7109375" style="1" customWidth="1"/>
    <col min="12456" max="12456" width="9.140625" style="1"/>
    <col min="12457" max="12457" width="9.140625" style="1" customWidth="1"/>
    <col min="12458" max="12458" width="27.28515625" style="1" customWidth="1"/>
    <col min="12459" max="12494" width="9.140625" style="1" customWidth="1"/>
    <col min="12495" max="12708" width="9.140625" style="1"/>
    <col min="12709" max="12709" width="18.7109375" style="1" customWidth="1"/>
    <col min="12710" max="12710" width="18.140625" style="1" customWidth="1"/>
    <col min="12711" max="12711" width="8.7109375" style="1" customWidth="1"/>
    <col min="12712" max="12712" width="9.140625" style="1"/>
    <col min="12713" max="12713" width="9.140625" style="1" customWidth="1"/>
    <col min="12714" max="12714" width="27.28515625" style="1" customWidth="1"/>
    <col min="12715" max="12750" width="9.140625" style="1" customWidth="1"/>
    <col min="12751" max="12964" width="9.140625" style="1"/>
    <col min="12965" max="12965" width="18.7109375" style="1" customWidth="1"/>
    <col min="12966" max="12966" width="18.140625" style="1" customWidth="1"/>
    <col min="12967" max="12967" width="8.7109375" style="1" customWidth="1"/>
    <col min="12968" max="12968" width="9.140625" style="1"/>
    <col min="12969" max="12969" width="9.140625" style="1" customWidth="1"/>
    <col min="12970" max="12970" width="27.28515625" style="1" customWidth="1"/>
    <col min="12971" max="13006" width="9.140625" style="1" customWidth="1"/>
    <col min="13007" max="13220" width="9.140625" style="1"/>
    <col min="13221" max="13221" width="18.7109375" style="1" customWidth="1"/>
    <col min="13222" max="13222" width="18.140625" style="1" customWidth="1"/>
    <col min="13223" max="13223" width="8.7109375" style="1" customWidth="1"/>
    <col min="13224" max="13224" width="9.140625" style="1"/>
    <col min="13225" max="13225" width="9.140625" style="1" customWidth="1"/>
    <col min="13226" max="13226" width="27.28515625" style="1" customWidth="1"/>
    <col min="13227" max="13262" width="9.140625" style="1" customWidth="1"/>
    <col min="13263" max="13476" width="9.140625" style="1"/>
    <col min="13477" max="13477" width="18.7109375" style="1" customWidth="1"/>
    <col min="13478" max="13478" width="18.140625" style="1" customWidth="1"/>
    <col min="13479" max="13479" width="8.7109375" style="1" customWidth="1"/>
    <col min="13480" max="13480" width="9.140625" style="1"/>
    <col min="13481" max="13481" width="9.140625" style="1" customWidth="1"/>
    <col min="13482" max="13482" width="27.28515625" style="1" customWidth="1"/>
    <col min="13483" max="13518" width="9.140625" style="1" customWidth="1"/>
    <col min="13519" max="13732" width="9.140625" style="1"/>
    <col min="13733" max="13733" width="18.7109375" style="1" customWidth="1"/>
    <col min="13734" max="13734" width="18.140625" style="1" customWidth="1"/>
    <col min="13735" max="13735" width="8.7109375" style="1" customWidth="1"/>
    <col min="13736" max="13736" width="9.140625" style="1"/>
    <col min="13737" max="13737" width="9.140625" style="1" customWidth="1"/>
    <col min="13738" max="13738" width="27.28515625" style="1" customWidth="1"/>
    <col min="13739" max="13774" width="9.140625" style="1" customWidth="1"/>
    <col min="13775" max="13988" width="9.140625" style="1"/>
    <col min="13989" max="13989" width="18.7109375" style="1" customWidth="1"/>
    <col min="13990" max="13990" width="18.140625" style="1" customWidth="1"/>
    <col min="13991" max="13991" width="8.7109375" style="1" customWidth="1"/>
    <col min="13992" max="13992" width="9.140625" style="1"/>
    <col min="13993" max="13993" width="9.140625" style="1" customWidth="1"/>
    <col min="13994" max="13994" width="27.28515625" style="1" customWidth="1"/>
    <col min="13995" max="14030" width="9.140625" style="1" customWidth="1"/>
    <col min="14031" max="14244" width="9.140625" style="1"/>
    <col min="14245" max="14245" width="18.7109375" style="1" customWidth="1"/>
    <col min="14246" max="14246" width="18.140625" style="1" customWidth="1"/>
    <col min="14247" max="14247" width="8.7109375" style="1" customWidth="1"/>
    <col min="14248" max="14248" width="9.140625" style="1"/>
    <col min="14249" max="14249" width="9.140625" style="1" customWidth="1"/>
    <col min="14250" max="14250" width="27.28515625" style="1" customWidth="1"/>
    <col min="14251" max="14286" width="9.140625" style="1" customWidth="1"/>
    <col min="14287" max="14500" width="9.140625" style="1"/>
    <col min="14501" max="14501" width="18.7109375" style="1" customWidth="1"/>
    <col min="14502" max="14502" width="18.140625" style="1" customWidth="1"/>
    <col min="14503" max="14503" width="8.7109375" style="1" customWidth="1"/>
    <col min="14504" max="14504" width="9.140625" style="1"/>
    <col min="14505" max="14505" width="9.140625" style="1" customWidth="1"/>
    <col min="14506" max="14506" width="27.28515625" style="1" customWidth="1"/>
    <col min="14507" max="14542" width="9.140625" style="1" customWidth="1"/>
    <col min="14543" max="14756" width="9.140625" style="1"/>
    <col min="14757" max="14757" width="18.7109375" style="1" customWidth="1"/>
    <col min="14758" max="14758" width="18.140625" style="1" customWidth="1"/>
    <col min="14759" max="14759" width="8.7109375" style="1" customWidth="1"/>
    <col min="14760" max="14760" width="9.140625" style="1"/>
    <col min="14761" max="14761" width="9.140625" style="1" customWidth="1"/>
    <col min="14762" max="14762" width="27.28515625" style="1" customWidth="1"/>
    <col min="14763" max="14798" width="9.140625" style="1" customWidth="1"/>
    <col min="14799" max="15012" width="9.140625" style="1"/>
    <col min="15013" max="15013" width="18.7109375" style="1" customWidth="1"/>
    <col min="15014" max="15014" width="18.140625" style="1" customWidth="1"/>
    <col min="15015" max="15015" width="8.7109375" style="1" customWidth="1"/>
    <col min="15016" max="15016" width="9.140625" style="1"/>
    <col min="15017" max="15017" width="9.140625" style="1" customWidth="1"/>
    <col min="15018" max="15018" width="27.28515625" style="1" customWidth="1"/>
    <col min="15019" max="15054" width="9.140625" style="1" customWidth="1"/>
    <col min="15055" max="15268" width="9.140625" style="1"/>
    <col min="15269" max="15269" width="18.7109375" style="1" customWidth="1"/>
    <col min="15270" max="15270" width="18.140625" style="1" customWidth="1"/>
    <col min="15271" max="15271" width="8.7109375" style="1" customWidth="1"/>
    <col min="15272" max="15272" width="9.140625" style="1"/>
    <col min="15273" max="15273" width="9.140625" style="1" customWidth="1"/>
    <col min="15274" max="15274" width="27.28515625" style="1" customWidth="1"/>
    <col min="15275" max="15310" width="9.140625" style="1" customWidth="1"/>
    <col min="15311" max="15524" width="9.140625" style="1"/>
    <col min="15525" max="15525" width="18.7109375" style="1" customWidth="1"/>
    <col min="15526" max="15526" width="18.140625" style="1" customWidth="1"/>
    <col min="15527" max="15527" width="8.7109375" style="1" customWidth="1"/>
    <col min="15528" max="15528" width="9.140625" style="1"/>
    <col min="15529" max="15529" width="9.140625" style="1" customWidth="1"/>
    <col min="15530" max="15530" width="27.28515625" style="1" customWidth="1"/>
    <col min="15531" max="15566" width="9.140625" style="1" customWidth="1"/>
    <col min="15567" max="15780" width="9.140625" style="1"/>
    <col min="15781" max="15781" width="18.7109375" style="1" customWidth="1"/>
    <col min="15782" max="15782" width="18.140625" style="1" customWidth="1"/>
    <col min="15783" max="15783" width="8.7109375" style="1" customWidth="1"/>
    <col min="15784" max="15784" width="9.140625" style="1"/>
    <col min="15785" max="15785" width="9.140625" style="1" customWidth="1"/>
    <col min="15786" max="15786" width="27.28515625" style="1" customWidth="1"/>
    <col min="15787" max="15822" width="9.140625" style="1" customWidth="1"/>
    <col min="15823" max="16036" width="9.140625" style="1"/>
    <col min="16037" max="16037" width="18.7109375" style="1" customWidth="1"/>
    <col min="16038" max="16038" width="18.140625" style="1" customWidth="1"/>
    <col min="16039" max="16039" width="8.7109375" style="1" customWidth="1"/>
    <col min="16040" max="16040" width="9.140625" style="1"/>
    <col min="16041" max="16041" width="9.140625" style="1" customWidth="1"/>
    <col min="16042" max="16042" width="27.28515625" style="1" customWidth="1"/>
    <col min="16043" max="16078" width="9.140625" style="1" customWidth="1"/>
    <col min="16079" max="16384" width="9.140625" style="1"/>
  </cols>
  <sheetData>
    <row r="1" spans="1:8" s="2" customFormat="1" ht="24.95" customHeight="1" x14ac:dyDescent="0.25">
      <c r="A1" s="16" t="str">
        <f>"Итоговая классификация "&amp;название</f>
        <v>Итоговая классификация Ралли "Skoda - 2019"</v>
      </c>
      <c r="B1" s="15"/>
      <c r="C1" s="14"/>
      <c r="D1" s="14"/>
      <c r="E1" s="14"/>
      <c r="F1" s="14"/>
    </row>
    <row r="2" spans="1:8" s="2" customFormat="1" ht="24.95" customHeight="1" x14ac:dyDescent="0.25">
      <c r="A2" s="376" t="str">
        <f>датаРалли</f>
        <v>21 декабря 2019 г.</v>
      </c>
      <c r="B2" s="15"/>
      <c r="C2" s="14"/>
      <c r="D2" s="14"/>
      <c r="E2" s="14"/>
      <c r="F2" s="14"/>
    </row>
    <row r="3" spans="1:8" s="2" customFormat="1" ht="3" customHeight="1" x14ac:dyDescent="0.25"/>
    <row r="4" spans="1:8" s="2" customFormat="1" ht="24.95" customHeight="1" x14ac:dyDescent="0.25">
      <c r="A4" s="409" t="str">
        <f>"Зачет Лайт, стартовало " &amp; итоговыеЛайт[[#Totals],[Старт. номер]] &amp; ", финишировало " &amp; итоговыеЛайт[[#Totals],[Старт. номер]]-итоговыеЛайт[[#Totals],[Пенализация, итого]]</f>
        <v>Зачет Лайт, стартовало 0, финишировало 0</v>
      </c>
    </row>
    <row r="5" spans="1:8" s="2" customFormat="1" ht="3" customHeight="1" x14ac:dyDescent="0.25"/>
    <row r="6" spans="1:8" hidden="1" x14ac:dyDescent="0.25"/>
    <row r="7" spans="1:8" hidden="1" x14ac:dyDescent="0.25"/>
    <row r="8" spans="1:8" hidden="1" x14ac:dyDescent="0.25"/>
    <row r="9" spans="1:8" ht="38.25" x14ac:dyDescent="0.25">
      <c r="A9" s="198" t="s">
        <v>272</v>
      </c>
      <c r="B9" s="198" t="s">
        <v>9</v>
      </c>
      <c r="C9" s="198" t="s">
        <v>367</v>
      </c>
      <c r="D9" s="198" t="s">
        <v>368</v>
      </c>
      <c r="E9" s="198" t="s">
        <v>31</v>
      </c>
      <c r="F9" s="198" t="s">
        <v>271</v>
      </c>
    </row>
    <row r="10" spans="1:8" ht="30" customHeight="1" x14ac:dyDescent="0.25">
      <c r="A10" s="355">
        <v>1</v>
      </c>
      <c r="B10" s="405"/>
      <c r="C10" s="406"/>
      <c r="D10" s="406"/>
      <c r="E10" s="406"/>
      <c r="F10" s="407"/>
    </row>
    <row r="11" spans="1:8" ht="30" customHeight="1" x14ac:dyDescent="0.25">
      <c r="A11" s="355">
        <f>1+A10</f>
        <v>2</v>
      </c>
      <c r="B11" s="405"/>
      <c r="C11" s="406"/>
      <c r="D11" s="406"/>
      <c r="E11" s="406"/>
      <c r="F11" s="407"/>
      <c r="H11" s="1" t="s">
        <v>274</v>
      </c>
    </row>
    <row r="12" spans="1:8" ht="30" customHeight="1" x14ac:dyDescent="0.25">
      <c r="A12" s="355">
        <f t="shared" ref="A12:A69" si="0">1+A11</f>
        <v>3</v>
      </c>
      <c r="B12" s="405"/>
      <c r="C12" s="406"/>
      <c r="D12" s="406"/>
      <c r="E12" s="406"/>
      <c r="F12" s="407"/>
    </row>
    <row r="13" spans="1:8" ht="30" customHeight="1" x14ac:dyDescent="0.25">
      <c r="A13" s="355">
        <f t="shared" si="0"/>
        <v>4</v>
      </c>
      <c r="B13" s="405"/>
      <c r="C13" s="406"/>
      <c r="D13" s="406"/>
      <c r="E13" s="406"/>
      <c r="F13" s="407"/>
    </row>
    <row r="14" spans="1:8" ht="30" customHeight="1" x14ac:dyDescent="0.25">
      <c r="A14" s="355">
        <f t="shared" si="0"/>
        <v>5</v>
      </c>
      <c r="B14" s="405"/>
      <c r="C14" s="406"/>
      <c r="D14" s="406"/>
      <c r="E14" s="406"/>
      <c r="F14" s="407"/>
    </row>
    <row r="15" spans="1:8" ht="30" customHeight="1" x14ac:dyDescent="0.25">
      <c r="A15" s="355">
        <f t="shared" si="0"/>
        <v>6</v>
      </c>
      <c r="B15" s="405"/>
      <c r="C15" s="406"/>
      <c r="D15" s="406"/>
      <c r="E15" s="406"/>
      <c r="F15" s="407"/>
    </row>
    <row r="16" spans="1:8" ht="30" customHeight="1" x14ac:dyDescent="0.25">
      <c r="A16" s="355">
        <f t="shared" si="0"/>
        <v>7</v>
      </c>
      <c r="B16" s="405"/>
      <c r="C16" s="406"/>
      <c r="D16" s="406"/>
      <c r="E16" s="406"/>
      <c r="F16" s="407"/>
    </row>
    <row r="17" spans="1:6" ht="30" customHeight="1" x14ac:dyDescent="0.25">
      <c r="A17" s="355">
        <f t="shared" si="0"/>
        <v>8</v>
      </c>
      <c r="B17" s="405"/>
      <c r="C17" s="406"/>
      <c r="D17" s="406"/>
      <c r="E17" s="406"/>
      <c r="F17" s="407"/>
    </row>
    <row r="18" spans="1:6" ht="30" customHeight="1" x14ac:dyDescent="0.25">
      <c r="A18" s="355">
        <f t="shared" si="0"/>
        <v>9</v>
      </c>
      <c r="B18" s="405"/>
      <c r="C18" s="406"/>
      <c r="D18" s="406"/>
      <c r="E18" s="406"/>
      <c r="F18" s="407"/>
    </row>
    <row r="19" spans="1:6" ht="30" customHeight="1" x14ac:dyDescent="0.25">
      <c r="A19" s="355">
        <f t="shared" si="0"/>
        <v>10</v>
      </c>
      <c r="B19" s="405"/>
      <c r="C19" s="406"/>
      <c r="D19" s="406"/>
      <c r="E19" s="406"/>
      <c r="F19" s="407"/>
    </row>
    <row r="20" spans="1:6" ht="30" customHeight="1" x14ac:dyDescent="0.25">
      <c r="A20" s="355">
        <f t="shared" si="0"/>
        <v>11</v>
      </c>
      <c r="B20" s="405"/>
      <c r="C20" s="406"/>
      <c r="D20" s="406"/>
      <c r="E20" s="406"/>
      <c r="F20" s="407"/>
    </row>
    <row r="21" spans="1:6" ht="30" customHeight="1" x14ac:dyDescent="0.25">
      <c r="A21" s="355">
        <f t="shared" si="0"/>
        <v>12</v>
      </c>
      <c r="B21" s="405"/>
      <c r="C21" s="406"/>
      <c r="D21" s="406"/>
      <c r="E21" s="406"/>
      <c r="F21" s="407"/>
    </row>
    <row r="22" spans="1:6" ht="30" customHeight="1" x14ac:dyDescent="0.25">
      <c r="A22" s="355">
        <f t="shared" si="0"/>
        <v>13</v>
      </c>
      <c r="B22" s="405"/>
      <c r="C22" s="406"/>
      <c r="D22" s="406"/>
      <c r="E22" s="406"/>
      <c r="F22" s="407"/>
    </row>
    <row r="23" spans="1:6" ht="30" customHeight="1" x14ac:dyDescent="0.25">
      <c r="A23" s="355">
        <f t="shared" si="0"/>
        <v>14</v>
      </c>
      <c r="B23" s="405"/>
      <c r="C23" s="406"/>
      <c r="D23" s="406"/>
      <c r="E23" s="406"/>
      <c r="F23" s="407"/>
    </row>
    <row r="24" spans="1:6" ht="30" customHeight="1" x14ac:dyDescent="0.25">
      <c r="A24" s="355">
        <f t="shared" si="0"/>
        <v>15</v>
      </c>
      <c r="B24" s="405"/>
      <c r="C24" s="406"/>
      <c r="D24" s="406"/>
      <c r="E24" s="406"/>
      <c r="F24" s="407"/>
    </row>
    <row r="25" spans="1:6" ht="30" customHeight="1" x14ac:dyDescent="0.25">
      <c r="A25" s="355">
        <f t="shared" si="0"/>
        <v>16</v>
      </c>
      <c r="B25" s="405"/>
      <c r="C25" s="406"/>
      <c r="D25" s="406"/>
      <c r="E25" s="406"/>
      <c r="F25" s="407"/>
    </row>
    <row r="26" spans="1:6" ht="30" customHeight="1" x14ac:dyDescent="0.25">
      <c r="A26" s="355">
        <f t="shared" si="0"/>
        <v>17</v>
      </c>
      <c r="B26" s="405"/>
      <c r="C26" s="406"/>
      <c r="D26" s="406"/>
      <c r="E26" s="406"/>
      <c r="F26" s="407"/>
    </row>
    <row r="27" spans="1:6" ht="30" customHeight="1" x14ac:dyDescent="0.25">
      <c r="A27" s="355">
        <f t="shared" si="0"/>
        <v>18</v>
      </c>
      <c r="B27" s="405"/>
      <c r="C27" s="406"/>
      <c r="D27" s="406"/>
      <c r="E27" s="406"/>
      <c r="F27" s="407"/>
    </row>
    <row r="28" spans="1:6" ht="30" customHeight="1" x14ac:dyDescent="0.25">
      <c r="A28" s="355">
        <f t="shared" si="0"/>
        <v>19</v>
      </c>
      <c r="B28" s="405"/>
      <c r="C28" s="406"/>
      <c r="D28" s="406"/>
      <c r="E28" s="406"/>
      <c r="F28" s="407"/>
    </row>
    <row r="29" spans="1:6" ht="30" customHeight="1" x14ac:dyDescent="0.25">
      <c r="A29" s="355">
        <f t="shared" si="0"/>
        <v>20</v>
      </c>
      <c r="B29" s="405"/>
      <c r="C29" s="406"/>
      <c r="D29" s="406"/>
      <c r="E29" s="406"/>
      <c r="F29" s="407"/>
    </row>
    <row r="30" spans="1:6" ht="30" customHeight="1" x14ac:dyDescent="0.25">
      <c r="A30" s="355">
        <f t="shared" si="0"/>
        <v>21</v>
      </c>
      <c r="B30" s="405"/>
      <c r="C30" s="406"/>
      <c r="D30" s="406"/>
      <c r="E30" s="406"/>
      <c r="F30" s="407"/>
    </row>
    <row r="31" spans="1:6" ht="30" customHeight="1" x14ac:dyDescent="0.25">
      <c r="A31" s="355">
        <f t="shared" si="0"/>
        <v>22</v>
      </c>
      <c r="B31" s="405"/>
      <c r="C31" s="406"/>
      <c r="D31" s="406"/>
      <c r="E31" s="406"/>
      <c r="F31" s="407"/>
    </row>
    <row r="32" spans="1:6" ht="30" customHeight="1" x14ac:dyDescent="0.25">
      <c r="A32" s="355">
        <f t="shared" si="0"/>
        <v>23</v>
      </c>
      <c r="B32" s="405"/>
      <c r="C32" s="406"/>
      <c r="D32" s="406"/>
      <c r="E32" s="406"/>
      <c r="F32" s="407"/>
    </row>
    <row r="33" spans="1:6" ht="30" customHeight="1" x14ac:dyDescent="0.25">
      <c r="A33" s="355">
        <f t="shared" si="0"/>
        <v>24</v>
      </c>
      <c r="B33" s="405"/>
      <c r="C33" s="406"/>
      <c r="D33" s="406"/>
      <c r="E33" s="406"/>
      <c r="F33" s="407"/>
    </row>
    <row r="34" spans="1:6" ht="30" customHeight="1" x14ac:dyDescent="0.25">
      <c r="A34" s="355">
        <f t="shared" si="0"/>
        <v>25</v>
      </c>
      <c r="B34" s="405"/>
      <c r="C34" s="406"/>
      <c r="D34" s="406"/>
      <c r="E34" s="406"/>
      <c r="F34" s="407"/>
    </row>
    <row r="35" spans="1:6" ht="30" customHeight="1" x14ac:dyDescent="0.25">
      <c r="A35" s="355">
        <f t="shared" si="0"/>
        <v>26</v>
      </c>
      <c r="B35" s="405"/>
      <c r="C35" s="406"/>
      <c r="D35" s="406"/>
      <c r="E35" s="406"/>
      <c r="F35" s="407"/>
    </row>
    <row r="36" spans="1:6" ht="30" customHeight="1" x14ac:dyDescent="0.25">
      <c r="A36" s="355">
        <f t="shared" si="0"/>
        <v>27</v>
      </c>
      <c r="B36" s="405"/>
      <c r="C36" s="406"/>
      <c r="D36" s="406"/>
      <c r="E36" s="406"/>
      <c r="F36" s="407"/>
    </row>
    <row r="37" spans="1:6" ht="30" customHeight="1" x14ac:dyDescent="0.25">
      <c r="A37" s="355">
        <f t="shared" si="0"/>
        <v>28</v>
      </c>
      <c r="B37" s="405"/>
      <c r="C37" s="406"/>
      <c r="D37" s="406"/>
      <c r="E37" s="406"/>
      <c r="F37" s="407"/>
    </row>
    <row r="38" spans="1:6" ht="30" customHeight="1" x14ac:dyDescent="0.25">
      <c r="A38" s="355">
        <f t="shared" si="0"/>
        <v>29</v>
      </c>
      <c r="B38" s="405"/>
      <c r="C38" s="406"/>
      <c r="D38" s="406"/>
      <c r="E38" s="406"/>
      <c r="F38" s="407"/>
    </row>
    <row r="39" spans="1:6" ht="30" customHeight="1" x14ac:dyDescent="0.25">
      <c r="A39" s="355">
        <f t="shared" si="0"/>
        <v>30</v>
      </c>
      <c r="B39" s="405"/>
      <c r="C39" s="406"/>
      <c r="D39" s="406"/>
      <c r="E39" s="406"/>
      <c r="F39" s="407"/>
    </row>
    <row r="40" spans="1:6" ht="30" customHeight="1" x14ac:dyDescent="0.25">
      <c r="A40" s="355">
        <f t="shared" si="0"/>
        <v>31</v>
      </c>
      <c r="B40" s="405"/>
      <c r="C40" s="406"/>
      <c r="D40" s="406"/>
      <c r="E40" s="406"/>
      <c r="F40" s="407"/>
    </row>
    <row r="41" spans="1:6" ht="30" customHeight="1" x14ac:dyDescent="0.25">
      <c r="A41" s="355">
        <f t="shared" si="0"/>
        <v>32</v>
      </c>
      <c r="B41" s="405"/>
      <c r="C41" s="406"/>
      <c r="D41" s="406"/>
      <c r="E41" s="406"/>
      <c r="F41" s="407"/>
    </row>
    <row r="42" spans="1:6" ht="30" customHeight="1" x14ac:dyDescent="0.25">
      <c r="A42" s="355">
        <f t="shared" si="0"/>
        <v>33</v>
      </c>
      <c r="B42" s="405"/>
      <c r="C42" s="406"/>
      <c r="D42" s="406"/>
      <c r="E42" s="406"/>
      <c r="F42" s="407"/>
    </row>
    <row r="43" spans="1:6" ht="30" customHeight="1" x14ac:dyDescent="0.25">
      <c r="A43" s="355">
        <f t="shared" si="0"/>
        <v>34</v>
      </c>
      <c r="B43" s="405"/>
      <c r="C43" s="406"/>
      <c r="D43" s="406"/>
      <c r="E43" s="406"/>
      <c r="F43" s="407"/>
    </row>
    <row r="44" spans="1:6" ht="30" customHeight="1" x14ac:dyDescent="0.25">
      <c r="A44" s="355">
        <f t="shared" si="0"/>
        <v>35</v>
      </c>
      <c r="B44" s="405"/>
      <c r="C44" s="406"/>
      <c r="D44" s="406"/>
      <c r="E44" s="406"/>
      <c r="F44" s="407"/>
    </row>
    <row r="45" spans="1:6" ht="30" customHeight="1" x14ac:dyDescent="0.25">
      <c r="A45" s="355">
        <f t="shared" si="0"/>
        <v>36</v>
      </c>
      <c r="B45" s="405"/>
      <c r="C45" s="406"/>
      <c r="D45" s="406"/>
      <c r="E45" s="406"/>
      <c r="F45" s="407"/>
    </row>
    <row r="46" spans="1:6" ht="30" customHeight="1" x14ac:dyDescent="0.25">
      <c r="A46" s="355">
        <f t="shared" si="0"/>
        <v>37</v>
      </c>
      <c r="B46" s="405"/>
      <c r="C46" s="406"/>
      <c r="D46" s="406"/>
      <c r="E46" s="406"/>
      <c r="F46" s="407"/>
    </row>
    <row r="47" spans="1:6" ht="30" customHeight="1" x14ac:dyDescent="0.25">
      <c r="A47" s="355">
        <f t="shared" si="0"/>
        <v>38</v>
      </c>
      <c r="B47" s="405"/>
      <c r="C47" s="406"/>
      <c r="D47" s="406"/>
      <c r="E47" s="406"/>
      <c r="F47" s="407"/>
    </row>
    <row r="48" spans="1:6" ht="30" customHeight="1" x14ac:dyDescent="0.25">
      <c r="A48" s="355">
        <f t="shared" si="0"/>
        <v>39</v>
      </c>
      <c r="B48" s="405"/>
      <c r="C48" s="406"/>
      <c r="D48" s="406"/>
      <c r="E48" s="406"/>
      <c r="F48" s="407"/>
    </row>
    <row r="49" spans="1:6" ht="30" customHeight="1" x14ac:dyDescent="0.25">
      <c r="A49" s="355">
        <f t="shared" si="0"/>
        <v>40</v>
      </c>
      <c r="B49" s="405"/>
      <c r="C49" s="406"/>
      <c r="D49" s="406"/>
      <c r="E49" s="406"/>
      <c r="F49" s="407"/>
    </row>
    <row r="50" spans="1:6" ht="30" customHeight="1" x14ac:dyDescent="0.25">
      <c r="A50" s="355">
        <f t="shared" si="0"/>
        <v>41</v>
      </c>
      <c r="B50" s="405"/>
      <c r="C50" s="406"/>
      <c r="D50" s="406"/>
      <c r="E50" s="406"/>
      <c r="F50" s="407"/>
    </row>
    <row r="51" spans="1:6" ht="30" customHeight="1" x14ac:dyDescent="0.25">
      <c r="A51" s="355">
        <f t="shared" si="0"/>
        <v>42</v>
      </c>
      <c r="B51" s="405"/>
      <c r="C51" s="406"/>
      <c r="D51" s="406"/>
      <c r="E51" s="406"/>
      <c r="F51" s="407"/>
    </row>
    <row r="52" spans="1:6" ht="30" customHeight="1" x14ac:dyDescent="0.25">
      <c r="A52" s="355">
        <f t="shared" si="0"/>
        <v>43</v>
      </c>
      <c r="B52" s="405"/>
      <c r="C52" s="406"/>
      <c r="D52" s="406"/>
      <c r="E52" s="406"/>
      <c r="F52" s="407"/>
    </row>
    <row r="53" spans="1:6" ht="30" customHeight="1" x14ac:dyDescent="0.25">
      <c r="A53" s="355">
        <f t="shared" si="0"/>
        <v>44</v>
      </c>
      <c r="B53" s="405"/>
      <c r="C53" s="406"/>
      <c r="D53" s="406"/>
      <c r="E53" s="406"/>
      <c r="F53" s="407"/>
    </row>
    <row r="54" spans="1:6" ht="30" customHeight="1" x14ac:dyDescent="0.25">
      <c r="A54" s="355">
        <f t="shared" si="0"/>
        <v>45</v>
      </c>
      <c r="B54" s="405"/>
      <c r="C54" s="406"/>
      <c r="D54" s="406"/>
      <c r="E54" s="406"/>
      <c r="F54" s="407"/>
    </row>
    <row r="55" spans="1:6" ht="30" customHeight="1" x14ac:dyDescent="0.25">
      <c r="A55" s="355">
        <f t="shared" si="0"/>
        <v>46</v>
      </c>
      <c r="B55" s="405"/>
      <c r="C55" s="406"/>
      <c r="D55" s="406"/>
      <c r="E55" s="406"/>
      <c r="F55" s="407"/>
    </row>
    <row r="56" spans="1:6" ht="30" customHeight="1" x14ac:dyDescent="0.25">
      <c r="A56" s="355">
        <f t="shared" si="0"/>
        <v>47</v>
      </c>
      <c r="B56" s="405"/>
      <c r="C56" s="406"/>
      <c r="D56" s="406"/>
      <c r="E56" s="406"/>
      <c r="F56" s="407"/>
    </row>
    <row r="57" spans="1:6" ht="30" customHeight="1" x14ac:dyDescent="0.25">
      <c r="A57" s="355">
        <f t="shared" si="0"/>
        <v>48</v>
      </c>
      <c r="B57" s="405"/>
      <c r="C57" s="406"/>
      <c r="D57" s="406"/>
      <c r="E57" s="406"/>
      <c r="F57" s="407"/>
    </row>
    <row r="58" spans="1:6" ht="30" customHeight="1" x14ac:dyDescent="0.25">
      <c r="A58" s="355">
        <f t="shared" si="0"/>
        <v>49</v>
      </c>
      <c r="B58" s="405"/>
      <c r="C58" s="406"/>
      <c r="D58" s="406"/>
      <c r="E58" s="406"/>
      <c r="F58" s="407"/>
    </row>
    <row r="59" spans="1:6" ht="30" customHeight="1" x14ac:dyDescent="0.25">
      <c r="A59" s="355">
        <f t="shared" si="0"/>
        <v>50</v>
      </c>
      <c r="B59" s="405"/>
      <c r="C59" s="406"/>
      <c r="D59" s="406"/>
      <c r="E59" s="406"/>
      <c r="F59" s="407"/>
    </row>
    <row r="60" spans="1:6" ht="30" customHeight="1" x14ac:dyDescent="0.25">
      <c r="A60" s="355">
        <f t="shared" si="0"/>
        <v>51</v>
      </c>
      <c r="B60" s="405"/>
      <c r="C60" s="406"/>
      <c r="D60" s="406"/>
      <c r="E60" s="406"/>
      <c r="F60" s="407"/>
    </row>
    <row r="61" spans="1:6" ht="30" customHeight="1" x14ac:dyDescent="0.25">
      <c r="A61" s="355">
        <f t="shared" si="0"/>
        <v>52</v>
      </c>
      <c r="B61" s="405"/>
      <c r="C61" s="406"/>
      <c r="D61" s="406"/>
      <c r="E61" s="406"/>
      <c r="F61" s="407"/>
    </row>
    <row r="62" spans="1:6" ht="30" customHeight="1" x14ac:dyDescent="0.25">
      <c r="A62" s="355">
        <f t="shared" si="0"/>
        <v>53</v>
      </c>
      <c r="B62" s="405"/>
      <c r="C62" s="406"/>
      <c r="D62" s="406"/>
      <c r="E62" s="406"/>
      <c r="F62" s="407"/>
    </row>
    <row r="63" spans="1:6" ht="30" customHeight="1" x14ac:dyDescent="0.25">
      <c r="A63" s="355">
        <f t="shared" si="0"/>
        <v>54</v>
      </c>
      <c r="B63" s="405"/>
      <c r="C63" s="406"/>
      <c r="D63" s="406"/>
      <c r="E63" s="406"/>
      <c r="F63" s="407"/>
    </row>
    <row r="64" spans="1:6" ht="30" customHeight="1" x14ac:dyDescent="0.25">
      <c r="A64" s="355">
        <f t="shared" si="0"/>
        <v>55</v>
      </c>
      <c r="B64" s="408"/>
      <c r="C64" s="406"/>
      <c r="D64" s="406"/>
      <c r="E64" s="406"/>
      <c r="F64" s="407"/>
    </row>
    <row r="65" spans="1:7" ht="30" customHeight="1" x14ac:dyDescent="0.25">
      <c r="A65" s="355">
        <f t="shared" si="0"/>
        <v>56</v>
      </c>
      <c r="B65" s="408"/>
      <c r="C65" s="406"/>
      <c r="D65" s="406"/>
      <c r="E65" s="406"/>
      <c r="F65" s="407"/>
    </row>
    <row r="66" spans="1:7" ht="30" customHeight="1" x14ac:dyDescent="0.25">
      <c r="A66" s="355">
        <f t="shared" si="0"/>
        <v>57</v>
      </c>
      <c r="B66" s="405"/>
      <c r="C66" s="406"/>
      <c r="D66" s="406"/>
      <c r="E66" s="406"/>
      <c r="F66" s="407"/>
    </row>
    <row r="67" spans="1:7" ht="30" customHeight="1" x14ac:dyDescent="0.25">
      <c r="A67" s="355">
        <f t="shared" si="0"/>
        <v>58</v>
      </c>
      <c r="B67" s="405"/>
      <c r="C67" s="406"/>
      <c r="D67" s="406"/>
      <c r="E67" s="406"/>
      <c r="F67" s="407"/>
    </row>
    <row r="68" spans="1:7" ht="30" customHeight="1" x14ac:dyDescent="0.25">
      <c r="A68" s="355">
        <f t="shared" si="0"/>
        <v>59</v>
      </c>
      <c r="B68" s="405"/>
      <c r="C68" s="406"/>
      <c r="D68" s="406"/>
      <c r="E68" s="406"/>
      <c r="F68" s="407"/>
    </row>
    <row r="69" spans="1:7" ht="30" customHeight="1" x14ac:dyDescent="0.25">
      <c r="A69" s="355">
        <f t="shared" si="0"/>
        <v>60</v>
      </c>
      <c r="B69" s="405"/>
      <c r="C69" s="406"/>
      <c r="D69" s="406"/>
      <c r="E69" s="406"/>
      <c r="F69" s="407"/>
    </row>
    <row r="70" spans="1:7" hidden="1" x14ac:dyDescent="0.25">
      <c r="A70" s="223"/>
      <c r="B70" s="127">
        <f>SUBTOTAL(103,итоговыеЛайт[Старт. номер])</f>
        <v>0</v>
      </c>
      <c r="C70" s="224" t="s">
        <v>275</v>
      </c>
      <c r="D70" s="126"/>
      <c r="E70" s="222" t="s">
        <v>273</v>
      </c>
      <c r="F70" s="127">
        <f>COUNTIF(итоговыеЛайт[Пенализация, итого],"DNF")</f>
        <v>0</v>
      </c>
    </row>
    <row r="72" spans="1:7" ht="15.75" x14ac:dyDescent="0.25">
      <c r="B72" s="225" t="s">
        <v>236</v>
      </c>
      <c r="C72" s="2"/>
      <c r="D72" s="318" t="str">
        <f>номЛицСК</f>
        <v>A19-168 ВК</v>
      </c>
      <c r="E72" s="318" t="str">
        <f>фиоСК</f>
        <v>А. Грушин</v>
      </c>
      <c r="F72" s="318"/>
      <c r="G72" s="2"/>
    </row>
    <row r="73" spans="1:7" x14ac:dyDescent="0.25">
      <c r="B73" s="33"/>
      <c r="C73" s="2"/>
      <c r="D73" s="130" t="s">
        <v>234</v>
      </c>
      <c r="E73" s="130" t="s">
        <v>235</v>
      </c>
      <c r="F73" s="130" t="s">
        <v>8</v>
      </c>
      <c r="G73" s="2"/>
    </row>
    <row r="74" spans="1:7" ht="15.75" x14ac:dyDescent="0.25">
      <c r="B74" s="225" t="s">
        <v>237</v>
      </c>
      <c r="C74" s="2"/>
      <c r="D74" s="318" t="str">
        <f>номЛицГлСуд</f>
        <v>В19-1032 1К</v>
      </c>
      <c r="E74" s="318" t="str">
        <f>фиоГлСуд</f>
        <v>А. Курилин</v>
      </c>
      <c r="F74" s="318"/>
      <c r="G74" s="2"/>
    </row>
    <row r="75" spans="1:7" x14ac:dyDescent="0.25">
      <c r="B75" s="33"/>
      <c r="C75" s="2"/>
      <c r="D75" s="130" t="s">
        <v>234</v>
      </c>
      <c r="E75" s="130" t="s">
        <v>235</v>
      </c>
      <c r="F75" s="130" t="s">
        <v>8</v>
      </c>
      <c r="G75" s="2"/>
    </row>
    <row r="76" spans="1:7" ht="15.75" x14ac:dyDescent="0.25">
      <c r="B76" s="225" t="s">
        <v>238</v>
      </c>
      <c r="C76" s="2"/>
      <c r="D76" s="318" t="str">
        <f>номЛицГлСек</f>
        <v>В19-0000 1К</v>
      </c>
      <c r="E76" s="318" t="str">
        <f>фиоГлСек</f>
        <v>М. Хасанова</v>
      </c>
      <c r="F76" s="318"/>
      <c r="G76" s="2"/>
    </row>
    <row r="77" spans="1:7" x14ac:dyDescent="0.25">
      <c r="B77" s="33"/>
      <c r="C77" s="2"/>
      <c r="D77" s="130" t="s">
        <v>234</v>
      </c>
      <c r="E77" s="130" t="s">
        <v>235</v>
      </c>
      <c r="F77" s="130" t="s">
        <v>8</v>
      </c>
      <c r="G77" s="2"/>
    </row>
    <row r="78" spans="1:7" s="2" customFormat="1" ht="24.95" customHeight="1" x14ac:dyDescent="0.25">
      <c r="A78" s="16" t="str">
        <f>"Итоговая классификация "&amp;название</f>
        <v>Итоговая классификация Ралли "Skoda - 2019"</v>
      </c>
      <c r="B78" s="15"/>
      <c r="C78" s="14"/>
      <c r="D78" s="14"/>
      <c r="E78" s="14"/>
      <c r="F78" s="14"/>
    </row>
    <row r="79" spans="1:7" s="2" customFormat="1" ht="24.95" customHeight="1" x14ac:dyDescent="0.25">
      <c r="A79" s="376" t="str">
        <f>датаРалли</f>
        <v>21 декабря 2019 г.</v>
      </c>
      <c r="B79" s="15"/>
      <c r="C79" s="14"/>
      <c r="D79" s="14"/>
      <c r="E79" s="14"/>
      <c r="F79" s="14"/>
    </row>
    <row r="80" spans="1:7" s="2" customFormat="1" ht="3" customHeight="1" x14ac:dyDescent="0.25"/>
    <row r="81" spans="1:6" s="2" customFormat="1" ht="24.95" customHeight="1" x14ac:dyDescent="0.25">
      <c r="A81" s="409" t="str">
        <f>"Зачет Про, стартовало " &amp; итоговыеПро[[#Totals],[Старт. номер]] &amp; ", финишировало " &amp; итоговыеПро[[#Totals],[Старт. номер]]-итоговыеПро[[#Totals],[Пенализация, итого]]</f>
        <v>Зачет Про, стартовало 0, финишировало 0</v>
      </c>
    </row>
    <row r="82" spans="1:6" s="2" customFormat="1" ht="3" customHeight="1" x14ac:dyDescent="0.25"/>
    <row r="83" spans="1:6" hidden="1" x14ac:dyDescent="0.25"/>
    <row r="84" spans="1:6" hidden="1" x14ac:dyDescent="0.25"/>
    <row r="85" spans="1:6" hidden="1" x14ac:dyDescent="0.25"/>
    <row r="86" spans="1:6" ht="38.25" x14ac:dyDescent="0.25">
      <c r="A86" s="198" t="s">
        <v>272</v>
      </c>
      <c r="B86" s="198" t="s">
        <v>9</v>
      </c>
      <c r="C86" s="198" t="s">
        <v>367</v>
      </c>
      <c r="D86" s="198" t="s">
        <v>368</v>
      </c>
      <c r="E86" s="198" t="s">
        <v>31</v>
      </c>
      <c r="F86" s="198" t="s">
        <v>271</v>
      </c>
    </row>
    <row r="87" spans="1:6" ht="30" customHeight="1" x14ac:dyDescent="0.25">
      <c r="A87" s="355">
        <v>1</v>
      </c>
      <c r="B87" s="405"/>
      <c r="C87" s="406"/>
      <c r="D87" s="406"/>
      <c r="E87" s="406"/>
      <c r="F87" s="407"/>
    </row>
    <row r="88" spans="1:6" ht="30" customHeight="1" x14ac:dyDescent="0.25">
      <c r="A88" s="355">
        <f>1+A87</f>
        <v>2</v>
      </c>
      <c r="B88" s="405"/>
      <c r="C88" s="406"/>
      <c r="D88" s="406"/>
      <c r="E88" s="406"/>
      <c r="F88" s="407"/>
    </row>
    <row r="89" spans="1:6" ht="30" customHeight="1" x14ac:dyDescent="0.25">
      <c r="A89" s="355">
        <f t="shared" ref="A89:A146" si="1">1+A88</f>
        <v>3</v>
      </c>
      <c r="B89" s="405"/>
      <c r="C89" s="406"/>
      <c r="D89" s="406"/>
      <c r="E89" s="406"/>
      <c r="F89" s="407"/>
    </row>
    <row r="90" spans="1:6" ht="30" customHeight="1" x14ac:dyDescent="0.25">
      <c r="A90" s="355">
        <f t="shared" si="1"/>
        <v>4</v>
      </c>
      <c r="B90" s="405"/>
      <c r="C90" s="406"/>
      <c r="D90" s="406"/>
      <c r="E90" s="406"/>
      <c r="F90" s="407"/>
    </row>
    <row r="91" spans="1:6" ht="30" customHeight="1" x14ac:dyDescent="0.25">
      <c r="A91" s="355">
        <f t="shared" si="1"/>
        <v>5</v>
      </c>
      <c r="B91" s="405"/>
      <c r="C91" s="406"/>
      <c r="D91" s="406"/>
      <c r="E91" s="406"/>
      <c r="F91" s="407"/>
    </row>
    <row r="92" spans="1:6" ht="30" customHeight="1" x14ac:dyDescent="0.25">
      <c r="A92" s="355">
        <f t="shared" si="1"/>
        <v>6</v>
      </c>
      <c r="B92" s="405"/>
      <c r="C92" s="406"/>
      <c r="D92" s="406"/>
      <c r="E92" s="406"/>
      <c r="F92" s="407"/>
    </row>
    <row r="93" spans="1:6" ht="30" customHeight="1" x14ac:dyDescent="0.25">
      <c r="A93" s="355">
        <f t="shared" si="1"/>
        <v>7</v>
      </c>
      <c r="B93" s="405"/>
      <c r="C93" s="406"/>
      <c r="D93" s="406"/>
      <c r="E93" s="406"/>
      <c r="F93" s="407"/>
    </row>
    <row r="94" spans="1:6" ht="30" customHeight="1" x14ac:dyDescent="0.25">
      <c r="A94" s="355">
        <f t="shared" si="1"/>
        <v>8</v>
      </c>
      <c r="B94" s="405"/>
      <c r="C94" s="406"/>
      <c r="D94" s="406"/>
      <c r="E94" s="406"/>
      <c r="F94" s="407"/>
    </row>
    <row r="95" spans="1:6" ht="30" customHeight="1" x14ac:dyDescent="0.25">
      <c r="A95" s="355">
        <f t="shared" si="1"/>
        <v>9</v>
      </c>
      <c r="B95" s="405"/>
      <c r="C95" s="406"/>
      <c r="D95" s="406"/>
      <c r="E95" s="406"/>
      <c r="F95" s="407"/>
    </row>
    <row r="96" spans="1:6" ht="30" customHeight="1" x14ac:dyDescent="0.25">
      <c r="A96" s="355">
        <f t="shared" si="1"/>
        <v>10</v>
      </c>
      <c r="B96" s="405"/>
      <c r="C96" s="406"/>
      <c r="D96" s="406"/>
      <c r="E96" s="406"/>
      <c r="F96" s="407"/>
    </row>
    <row r="97" spans="1:6" ht="30" customHeight="1" x14ac:dyDescent="0.25">
      <c r="A97" s="355">
        <f t="shared" si="1"/>
        <v>11</v>
      </c>
      <c r="B97" s="405"/>
      <c r="C97" s="406"/>
      <c r="D97" s="406"/>
      <c r="E97" s="406"/>
      <c r="F97" s="407"/>
    </row>
    <row r="98" spans="1:6" ht="30" customHeight="1" x14ac:dyDescent="0.25">
      <c r="A98" s="355">
        <f t="shared" si="1"/>
        <v>12</v>
      </c>
      <c r="B98" s="405"/>
      <c r="C98" s="406"/>
      <c r="D98" s="406"/>
      <c r="E98" s="406"/>
      <c r="F98" s="407"/>
    </row>
    <row r="99" spans="1:6" ht="30" customHeight="1" x14ac:dyDescent="0.25">
      <c r="A99" s="355">
        <f t="shared" si="1"/>
        <v>13</v>
      </c>
      <c r="B99" s="405"/>
      <c r="C99" s="406"/>
      <c r="D99" s="406"/>
      <c r="E99" s="406"/>
      <c r="F99" s="407"/>
    </row>
    <row r="100" spans="1:6" ht="30" customHeight="1" x14ac:dyDescent="0.25">
      <c r="A100" s="355">
        <f t="shared" si="1"/>
        <v>14</v>
      </c>
      <c r="B100" s="405"/>
      <c r="C100" s="406"/>
      <c r="D100" s="406"/>
      <c r="E100" s="406"/>
      <c r="F100" s="407"/>
    </row>
    <row r="101" spans="1:6" ht="30" customHeight="1" x14ac:dyDescent="0.25">
      <c r="A101" s="355">
        <f t="shared" si="1"/>
        <v>15</v>
      </c>
      <c r="B101" s="405"/>
      <c r="C101" s="406"/>
      <c r="D101" s="406"/>
      <c r="E101" s="406"/>
      <c r="F101" s="407"/>
    </row>
    <row r="102" spans="1:6" ht="30" customHeight="1" x14ac:dyDescent="0.25">
      <c r="A102" s="355">
        <f t="shared" si="1"/>
        <v>16</v>
      </c>
      <c r="B102" s="405"/>
      <c r="C102" s="406"/>
      <c r="D102" s="406"/>
      <c r="E102" s="406"/>
      <c r="F102" s="407"/>
    </row>
    <row r="103" spans="1:6" ht="30" customHeight="1" x14ac:dyDescent="0.25">
      <c r="A103" s="355">
        <f t="shared" si="1"/>
        <v>17</v>
      </c>
      <c r="B103" s="405"/>
      <c r="C103" s="406"/>
      <c r="D103" s="406"/>
      <c r="E103" s="406"/>
      <c r="F103" s="407"/>
    </row>
    <row r="104" spans="1:6" ht="30" customHeight="1" x14ac:dyDescent="0.25">
      <c r="A104" s="355">
        <f t="shared" si="1"/>
        <v>18</v>
      </c>
      <c r="B104" s="405"/>
      <c r="C104" s="406"/>
      <c r="D104" s="406"/>
      <c r="E104" s="406"/>
      <c r="F104" s="407"/>
    </row>
    <row r="105" spans="1:6" ht="30" customHeight="1" x14ac:dyDescent="0.25">
      <c r="A105" s="355">
        <f t="shared" si="1"/>
        <v>19</v>
      </c>
      <c r="B105" s="405"/>
      <c r="C105" s="406"/>
      <c r="D105" s="406"/>
      <c r="E105" s="406"/>
      <c r="F105" s="407"/>
    </row>
    <row r="106" spans="1:6" ht="30" customHeight="1" x14ac:dyDescent="0.25">
      <c r="A106" s="355">
        <f t="shared" si="1"/>
        <v>20</v>
      </c>
      <c r="B106" s="405"/>
      <c r="C106" s="406"/>
      <c r="D106" s="406"/>
      <c r="E106" s="406"/>
      <c r="F106" s="407"/>
    </row>
    <row r="107" spans="1:6" ht="30" customHeight="1" x14ac:dyDescent="0.25">
      <c r="A107" s="355">
        <f t="shared" si="1"/>
        <v>21</v>
      </c>
      <c r="B107" s="405"/>
      <c r="C107" s="406"/>
      <c r="D107" s="406"/>
      <c r="E107" s="406"/>
      <c r="F107" s="407"/>
    </row>
    <row r="108" spans="1:6" ht="30" customHeight="1" x14ac:dyDescent="0.25">
      <c r="A108" s="355">
        <f t="shared" si="1"/>
        <v>22</v>
      </c>
      <c r="B108" s="405"/>
      <c r="C108" s="406"/>
      <c r="D108" s="406"/>
      <c r="E108" s="406"/>
      <c r="F108" s="407"/>
    </row>
    <row r="109" spans="1:6" ht="30" customHeight="1" x14ac:dyDescent="0.25">
      <c r="A109" s="355">
        <f t="shared" si="1"/>
        <v>23</v>
      </c>
      <c r="B109" s="405"/>
      <c r="C109" s="406"/>
      <c r="D109" s="406"/>
      <c r="E109" s="406"/>
      <c r="F109" s="407"/>
    </row>
    <row r="110" spans="1:6" ht="30" customHeight="1" x14ac:dyDescent="0.25">
      <c r="A110" s="355">
        <f t="shared" si="1"/>
        <v>24</v>
      </c>
      <c r="B110" s="405"/>
      <c r="C110" s="406"/>
      <c r="D110" s="406"/>
      <c r="E110" s="406"/>
      <c r="F110" s="407"/>
    </row>
    <row r="111" spans="1:6" ht="30" customHeight="1" x14ac:dyDescent="0.25">
      <c r="A111" s="355">
        <f t="shared" si="1"/>
        <v>25</v>
      </c>
      <c r="B111" s="405"/>
      <c r="C111" s="406"/>
      <c r="D111" s="406"/>
      <c r="E111" s="406"/>
      <c r="F111" s="407"/>
    </row>
    <row r="112" spans="1:6" ht="30" customHeight="1" x14ac:dyDescent="0.25">
      <c r="A112" s="355">
        <f t="shared" si="1"/>
        <v>26</v>
      </c>
      <c r="B112" s="405"/>
      <c r="C112" s="406"/>
      <c r="D112" s="406"/>
      <c r="E112" s="406"/>
      <c r="F112" s="407"/>
    </row>
    <row r="113" spans="1:6" ht="30" customHeight="1" x14ac:dyDescent="0.25">
      <c r="A113" s="355">
        <f t="shared" si="1"/>
        <v>27</v>
      </c>
      <c r="B113" s="405"/>
      <c r="C113" s="406"/>
      <c r="D113" s="406"/>
      <c r="E113" s="406"/>
      <c r="F113" s="407"/>
    </row>
    <row r="114" spans="1:6" ht="30" customHeight="1" x14ac:dyDescent="0.25">
      <c r="A114" s="355">
        <f t="shared" si="1"/>
        <v>28</v>
      </c>
      <c r="B114" s="405"/>
      <c r="C114" s="406"/>
      <c r="D114" s="406"/>
      <c r="E114" s="406"/>
      <c r="F114" s="407"/>
    </row>
    <row r="115" spans="1:6" ht="30" customHeight="1" x14ac:dyDescent="0.25">
      <c r="A115" s="355">
        <f t="shared" si="1"/>
        <v>29</v>
      </c>
      <c r="B115" s="405"/>
      <c r="C115" s="406"/>
      <c r="D115" s="406"/>
      <c r="E115" s="406"/>
      <c r="F115" s="407"/>
    </row>
    <row r="116" spans="1:6" ht="30" customHeight="1" x14ac:dyDescent="0.25">
      <c r="A116" s="355">
        <f t="shared" si="1"/>
        <v>30</v>
      </c>
      <c r="B116" s="405"/>
      <c r="C116" s="406"/>
      <c r="D116" s="406"/>
      <c r="E116" s="406"/>
      <c r="F116" s="407"/>
    </row>
    <row r="117" spans="1:6" ht="30" customHeight="1" x14ac:dyDescent="0.25">
      <c r="A117" s="355">
        <f t="shared" si="1"/>
        <v>31</v>
      </c>
      <c r="B117" s="405"/>
      <c r="C117" s="406"/>
      <c r="D117" s="406"/>
      <c r="E117" s="406"/>
      <c r="F117" s="407"/>
    </row>
    <row r="118" spans="1:6" ht="30" customHeight="1" x14ac:dyDescent="0.25">
      <c r="A118" s="355">
        <f t="shared" si="1"/>
        <v>32</v>
      </c>
      <c r="B118" s="405"/>
      <c r="C118" s="406"/>
      <c r="D118" s="406"/>
      <c r="E118" s="406"/>
      <c r="F118" s="407"/>
    </row>
    <row r="119" spans="1:6" ht="30" customHeight="1" x14ac:dyDescent="0.25">
      <c r="A119" s="355">
        <f t="shared" si="1"/>
        <v>33</v>
      </c>
      <c r="B119" s="405"/>
      <c r="C119" s="406"/>
      <c r="D119" s="406"/>
      <c r="E119" s="406"/>
      <c r="F119" s="407"/>
    </row>
    <row r="120" spans="1:6" ht="30" customHeight="1" x14ac:dyDescent="0.25">
      <c r="A120" s="355">
        <f t="shared" si="1"/>
        <v>34</v>
      </c>
      <c r="B120" s="405"/>
      <c r="C120" s="406"/>
      <c r="D120" s="406"/>
      <c r="E120" s="406"/>
      <c r="F120" s="407"/>
    </row>
    <row r="121" spans="1:6" ht="30" customHeight="1" x14ac:dyDescent="0.25">
      <c r="A121" s="355">
        <f t="shared" si="1"/>
        <v>35</v>
      </c>
      <c r="B121" s="405"/>
      <c r="C121" s="406"/>
      <c r="D121" s="406"/>
      <c r="E121" s="406"/>
      <c r="F121" s="407"/>
    </row>
    <row r="122" spans="1:6" ht="30" customHeight="1" x14ac:dyDescent="0.25">
      <c r="A122" s="355">
        <f t="shared" si="1"/>
        <v>36</v>
      </c>
      <c r="B122" s="405"/>
      <c r="C122" s="406"/>
      <c r="D122" s="406"/>
      <c r="E122" s="406"/>
      <c r="F122" s="407"/>
    </row>
    <row r="123" spans="1:6" ht="30" customHeight="1" x14ac:dyDescent="0.25">
      <c r="A123" s="355">
        <f t="shared" si="1"/>
        <v>37</v>
      </c>
      <c r="B123" s="405"/>
      <c r="C123" s="406"/>
      <c r="D123" s="406"/>
      <c r="E123" s="406"/>
      <c r="F123" s="407"/>
    </row>
    <row r="124" spans="1:6" ht="30" customHeight="1" x14ac:dyDescent="0.25">
      <c r="A124" s="355">
        <f t="shared" si="1"/>
        <v>38</v>
      </c>
      <c r="B124" s="405"/>
      <c r="C124" s="406"/>
      <c r="D124" s="406"/>
      <c r="E124" s="406"/>
      <c r="F124" s="407"/>
    </row>
    <row r="125" spans="1:6" ht="30" customHeight="1" x14ac:dyDescent="0.25">
      <c r="A125" s="355">
        <f t="shared" si="1"/>
        <v>39</v>
      </c>
      <c r="B125" s="405"/>
      <c r="C125" s="406"/>
      <c r="D125" s="406"/>
      <c r="E125" s="406"/>
      <c r="F125" s="407"/>
    </row>
    <row r="126" spans="1:6" ht="30" customHeight="1" x14ac:dyDescent="0.25">
      <c r="A126" s="355">
        <f t="shared" si="1"/>
        <v>40</v>
      </c>
      <c r="B126" s="405"/>
      <c r="C126" s="406"/>
      <c r="D126" s="406"/>
      <c r="E126" s="406"/>
      <c r="F126" s="407"/>
    </row>
    <row r="127" spans="1:6" ht="30" customHeight="1" x14ac:dyDescent="0.25">
      <c r="A127" s="355">
        <f t="shared" si="1"/>
        <v>41</v>
      </c>
      <c r="B127" s="405"/>
      <c r="C127" s="406"/>
      <c r="D127" s="406"/>
      <c r="E127" s="406"/>
      <c r="F127" s="407"/>
    </row>
    <row r="128" spans="1:6" ht="30" customHeight="1" x14ac:dyDescent="0.25">
      <c r="A128" s="355">
        <f t="shared" si="1"/>
        <v>42</v>
      </c>
      <c r="B128" s="405"/>
      <c r="C128" s="406"/>
      <c r="D128" s="406"/>
      <c r="E128" s="406"/>
      <c r="F128" s="407"/>
    </row>
    <row r="129" spans="1:6" ht="30" customHeight="1" x14ac:dyDescent="0.25">
      <c r="A129" s="355">
        <f t="shared" si="1"/>
        <v>43</v>
      </c>
      <c r="B129" s="405"/>
      <c r="C129" s="406"/>
      <c r="D129" s="406"/>
      <c r="E129" s="406"/>
      <c r="F129" s="407"/>
    </row>
    <row r="130" spans="1:6" ht="30" customHeight="1" x14ac:dyDescent="0.25">
      <c r="A130" s="355">
        <f t="shared" si="1"/>
        <v>44</v>
      </c>
      <c r="B130" s="405"/>
      <c r="C130" s="406"/>
      <c r="D130" s="406"/>
      <c r="E130" s="406"/>
      <c r="F130" s="407"/>
    </row>
    <row r="131" spans="1:6" ht="30" customHeight="1" x14ac:dyDescent="0.25">
      <c r="A131" s="355">
        <f t="shared" si="1"/>
        <v>45</v>
      </c>
      <c r="B131" s="405"/>
      <c r="C131" s="406"/>
      <c r="D131" s="406"/>
      <c r="E131" s="406"/>
      <c r="F131" s="407"/>
    </row>
    <row r="132" spans="1:6" ht="30" customHeight="1" x14ac:dyDescent="0.25">
      <c r="A132" s="355">
        <f t="shared" si="1"/>
        <v>46</v>
      </c>
      <c r="B132" s="405"/>
      <c r="C132" s="406"/>
      <c r="D132" s="406"/>
      <c r="E132" s="406"/>
      <c r="F132" s="407"/>
    </row>
    <row r="133" spans="1:6" ht="30" customHeight="1" x14ac:dyDescent="0.25">
      <c r="A133" s="355">
        <f t="shared" si="1"/>
        <v>47</v>
      </c>
      <c r="B133" s="405"/>
      <c r="C133" s="406"/>
      <c r="D133" s="406"/>
      <c r="E133" s="406"/>
      <c r="F133" s="407"/>
    </row>
    <row r="134" spans="1:6" ht="30" customHeight="1" x14ac:dyDescent="0.25">
      <c r="A134" s="355">
        <f t="shared" si="1"/>
        <v>48</v>
      </c>
      <c r="B134" s="405"/>
      <c r="C134" s="406"/>
      <c r="D134" s="406"/>
      <c r="E134" s="406"/>
      <c r="F134" s="407"/>
    </row>
    <row r="135" spans="1:6" ht="30" customHeight="1" x14ac:dyDescent="0.25">
      <c r="A135" s="355">
        <f t="shared" si="1"/>
        <v>49</v>
      </c>
      <c r="B135" s="405"/>
      <c r="C135" s="406"/>
      <c r="D135" s="406"/>
      <c r="E135" s="406"/>
      <c r="F135" s="407"/>
    </row>
    <row r="136" spans="1:6" ht="30" customHeight="1" x14ac:dyDescent="0.25">
      <c r="A136" s="355">
        <f t="shared" si="1"/>
        <v>50</v>
      </c>
      <c r="B136" s="405"/>
      <c r="C136" s="406"/>
      <c r="D136" s="406"/>
      <c r="E136" s="406"/>
      <c r="F136" s="407"/>
    </row>
    <row r="137" spans="1:6" ht="30" customHeight="1" x14ac:dyDescent="0.25">
      <c r="A137" s="355">
        <f t="shared" si="1"/>
        <v>51</v>
      </c>
      <c r="B137" s="405"/>
      <c r="C137" s="406"/>
      <c r="D137" s="406"/>
      <c r="E137" s="406"/>
      <c r="F137" s="407"/>
    </row>
    <row r="138" spans="1:6" ht="30" customHeight="1" x14ac:dyDescent="0.25">
      <c r="A138" s="355">
        <f t="shared" si="1"/>
        <v>52</v>
      </c>
      <c r="B138" s="405"/>
      <c r="C138" s="406"/>
      <c r="D138" s="406"/>
      <c r="E138" s="406"/>
      <c r="F138" s="407"/>
    </row>
    <row r="139" spans="1:6" ht="30" customHeight="1" x14ac:dyDescent="0.25">
      <c r="A139" s="355">
        <f t="shared" si="1"/>
        <v>53</v>
      </c>
      <c r="B139" s="405"/>
      <c r="C139" s="406"/>
      <c r="D139" s="406"/>
      <c r="E139" s="406"/>
      <c r="F139" s="407"/>
    </row>
    <row r="140" spans="1:6" ht="30" customHeight="1" x14ac:dyDescent="0.25">
      <c r="A140" s="355">
        <f t="shared" si="1"/>
        <v>54</v>
      </c>
      <c r="B140" s="405"/>
      <c r="C140" s="406"/>
      <c r="D140" s="406"/>
      <c r="E140" s="406"/>
      <c r="F140" s="407"/>
    </row>
    <row r="141" spans="1:6" ht="30" customHeight="1" x14ac:dyDescent="0.25">
      <c r="A141" s="355">
        <f t="shared" si="1"/>
        <v>55</v>
      </c>
      <c r="B141" s="408"/>
      <c r="C141" s="406"/>
      <c r="D141" s="406"/>
      <c r="E141" s="406"/>
      <c r="F141" s="407"/>
    </row>
    <row r="142" spans="1:6" ht="30" customHeight="1" x14ac:dyDescent="0.25">
      <c r="A142" s="355">
        <f t="shared" si="1"/>
        <v>56</v>
      </c>
      <c r="B142" s="408"/>
      <c r="C142" s="406"/>
      <c r="D142" s="406"/>
      <c r="E142" s="406"/>
      <c r="F142" s="407"/>
    </row>
    <row r="143" spans="1:6" ht="30" customHeight="1" x14ac:dyDescent="0.25">
      <c r="A143" s="355">
        <f t="shared" si="1"/>
        <v>57</v>
      </c>
      <c r="B143" s="405"/>
      <c r="C143" s="406"/>
      <c r="D143" s="406"/>
      <c r="E143" s="406"/>
      <c r="F143" s="407"/>
    </row>
    <row r="144" spans="1:6" ht="30" customHeight="1" x14ac:dyDescent="0.25">
      <c r="A144" s="355">
        <f t="shared" si="1"/>
        <v>58</v>
      </c>
      <c r="B144" s="405"/>
      <c r="C144" s="406"/>
      <c r="D144" s="406"/>
      <c r="E144" s="406"/>
      <c r="F144" s="407"/>
    </row>
    <row r="145" spans="1:7" ht="30" customHeight="1" x14ac:dyDescent="0.25">
      <c r="A145" s="355">
        <f t="shared" si="1"/>
        <v>59</v>
      </c>
      <c r="B145" s="405"/>
      <c r="C145" s="406"/>
      <c r="D145" s="406"/>
      <c r="E145" s="406"/>
      <c r="F145" s="407"/>
    </row>
    <row r="146" spans="1:7" ht="30" customHeight="1" x14ac:dyDescent="0.25">
      <c r="A146" s="355">
        <f t="shared" si="1"/>
        <v>60</v>
      </c>
      <c r="B146" s="405"/>
      <c r="C146" s="406"/>
      <c r="D146" s="406"/>
      <c r="E146" s="406"/>
      <c r="F146" s="407"/>
    </row>
    <row r="147" spans="1:7" hidden="1" x14ac:dyDescent="0.25">
      <c r="A147" s="223"/>
      <c r="B147" s="127">
        <f>SUBTOTAL(103,итоговыеПро[Старт. номер])</f>
        <v>0</v>
      </c>
      <c r="C147" s="224" t="s">
        <v>275</v>
      </c>
      <c r="D147" s="126"/>
      <c r="E147" s="222" t="s">
        <v>273</v>
      </c>
      <c r="F147" s="127">
        <f>COUNTIF(итоговыеПро[Пенализация, итого],"DNF")</f>
        <v>0</v>
      </c>
    </row>
    <row r="149" spans="1:7" ht="15.75" x14ac:dyDescent="0.25">
      <c r="B149" s="225" t="s">
        <v>236</v>
      </c>
      <c r="C149" s="2"/>
      <c r="D149" s="318" t="str">
        <f>номЛицСК</f>
        <v>A19-168 ВК</v>
      </c>
      <c r="E149" s="318" t="str">
        <f>фиоСК</f>
        <v>А. Грушин</v>
      </c>
      <c r="F149" s="318"/>
      <c r="G149" s="2"/>
    </row>
    <row r="150" spans="1:7" x14ac:dyDescent="0.25">
      <c r="B150" s="33"/>
      <c r="C150" s="2"/>
      <c r="D150" s="130" t="s">
        <v>234</v>
      </c>
      <c r="E150" s="130" t="s">
        <v>235</v>
      </c>
      <c r="F150" s="130" t="s">
        <v>8</v>
      </c>
      <c r="G150" s="2"/>
    </row>
    <row r="151" spans="1:7" ht="15.75" x14ac:dyDescent="0.25">
      <c r="B151" s="225" t="s">
        <v>237</v>
      </c>
      <c r="C151" s="2"/>
      <c r="D151" s="318" t="str">
        <f>номЛицГлСуд</f>
        <v>В19-1032 1К</v>
      </c>
      <c r="E151" s="318" t="str">
        <f>фиоГлСуд</f>
        <v>А. Курилин</v>
      </c>
      <c r="F151" s="318"/>
      <c r="G151" s="2"/>
    </row>
    <row r="152" spans="1:7" x14ac:dyDescent="0.25">
      <c r="B152" s="33"/>
      <c r="C152" s="2"/>
      <c r="D152" s="130" t="s">
        <v>234</v>
      </c>
      <c r="E152" s="130" t="s">
        <v>235</v>
      </c>
      <c r="F152" s="130" t="s">
        <v>8</v>
      </c>
      <c r="G152" s="2"/>
    </row>
    <row r="153" spans="1:7" ht="15.75" x14ac:dyDescent="0.25">
      <c r="B153" s="225" t="s">
        <v>238</v>
      </c>
      <c r="C153" s="2"/>
      <c r="D153" s="318" t="str">
        <f>номЛицГлСек</f>
        <v>В19-0000 1К</v>
      </c>
      <c r="E153" s="318" t="str">
        <f>фиоГлСек</f>
        <v>М. Хасанова</v>
      </c>
      <c r="F153" s="318"/>
      <c r="G153" s="2"/>
    </row>
    <row r="154" spans="1:7" x14ac:dyDescent="0.25">
      <c r="B154" s="33"/>
      <c r="C154" s="2"/>
      <c r="D154" s="130" t="s">
        <v>234</v>
      </c>
      <c r="E154" s="130" t="s">
        <v>235</v>
      </c>
      <c r="F154" s="130" t="s">
        <v>8</v>
      </c>
      <c r="G154" s="2"/>
    </row>
  </sheetData>
  <sheetProtection autoFilter="0"/>
  <pageMargins left="0.39370078740157483" right="0.39370078740157483" top="0.39370078740157483" bottom="0.78740157480314965" header="0" footer="0.39370078740157483"/>
  <pageSetup paperSize="9" orientation="portrait" r:id="rId1"/>
  <rowBreaks count="1" manualBreakCount="1">
    <brk id="77" max="5" man="1"/>
  </rowBreaks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179</vt:i4>
      </vt:variant>
    </vt:vector>
  </HeadingPairs>
  <TitlesOfParts>
    <vt:vector size="253" baseType="lpstr">
      <vt:lpstr>предварительныеЗнач</vt:lpstr>
      <vt:lpstr>итоговыеЗнач</vt:lpstr>
      <vt:lpstr>общее</vt:lpstr>
      <vt:lpstr>КК</vt:lpstr>
      <vt:lpstr>заявки</vt:lpstr>
      <vt:lpstr>чек-лист</vt:lpstr>
      <vt:lpstr>заявкиА3</vt:lpstr>
      <vt:lpstr>стартоваяВедомость</vt:lpstr>
      <vt:lpstr>итоговые</vt:lpstr>
      <vt:lpstr>стр 22</vt:lpstr>
      <vt:lpstr>бюллетень</vt:lpstr>
      <vt:lpstr>поз 20</vt:lpstr>
      <vt:lpstr>ДК титул Про</vt:lpstr>
      <vt:lpstr>ДК титул Лайт</vt:lpstr>
      <vt:lpstr>МЛ</vt:lpstr>
      <vt:lpstr>Знаки контроля</vt:lpstr>
      <vt:lpstr>Легенда</vt:lpstr>
      <vt:lpstr>Сектор 1</vt:lpstr>
      <vt:lpstr>Сектор 2</vt:lpstr>
      <vt:lpstr>Сектор 3</vt:lpstr>
      <vt:lpstr>Сектор 4</vt:lpstr>
      <vt:lpstr>Сектор 5</vt:lpstr>
      <vt:lpstr>Сектор 6</vt:lpstr>
      <vt:lpstr>Сектор 7</vt:lpstr>
      <vt:lpstr>Легенда тип 2</vt:lpstr>
      <vt:lpstr>тарировочный</vt:lpstr>
      <vt:lpstr>подписи</vt:lpstr>
      <vt:lpstr>РД шаблон</vt:lpstr>
      <vt:lpstr>протоколТИ</vt:lpstr>
      <vt:lpstr>протоколДоп</vt:lpstr>
      <vt:lpstr>протоколКВ0</vt:lpstr>
      <vt:lpstr>протоколКВ</vt:lpstr>
      <vt:lpstr>протоколКВсовм</vt:lpstr>
      <vt:lpstr>протоколДСсовм</vt:lpstr>
      <vt:lpstr>протоколДС</vt:lpstr>
      <vt:lpstr>протоколДСф</vt:lpstr>
      <vt:lpstr>протоколСЛ</vt:lpstr>
      <vt:lpstr>протоколКСЛ</vt:lpstr>
      <vt:lpstr>пСекр</vt:lpstr>
      <vt:lpstr>пКВ0</vt:lpstr>
      <vt:lpstr>пДС1Старт</vt:lpstr>
      <vt:lpstr>пДС1сф</vt:lpstr>
      <vt:lpstr>пДС1ф</vt:lpstr>
      <vt:lpstr>пКВ1-2-3-4</vt:lpstr>
      <vt:lpstr>пДС4Старт</vt:lpstr>
      <vt:lpstr>пДС4сф</vt:lpstr>
      <vt:lpstr>пДС4ф</vt:lpstr>
      <vt:lpstr>пВКП1</vt:lpstr>
      <vt:lpstr>предварительные</vt:lpstr>
      <vt:lpstr>_протоколДП1</vt:lpstr>
      <vt:lpstr>_протоколДП2</vt:lpstr>
      <vt:lpstr>_протоколКВ0</vt:lpstr>
      <vt:lpstr>_протоколДС1</vt:lpstr>
      <vt:lpstr>_протоколКВ1</vt:lpstr>
      <vt:lpstr>_протоколДС2</vt:lpstr>
      <vt:lpstr>_протоколСФ2_1</vt:lpstr>
      <vt:lpstr>_протоколДСФ2</vt:lpstr>
      <vt:lpstr>_протоколДСФ2_стоп</vt:lpstr>
      <vt:lpstr>_протоколКВ2</vt:lpstr>
      <vt:lpstr>_протоколКВ3</vt:lpstr>
      <vt:lpstr>_протоколКВ4</vt:lpstr>
      <vt:lpstr>_протоколДС3</vt:lpstr>
      <vt:lpstr>_протоколСФ3_1</vt:lpstr>
      <vt:lpstr>_протоколДСФ3</vt:lpstr>
      <vt:lpstr>_протоколКВ5</vt:lpstr>
      <vt:lpstr>_протоколДС4</vt:lpstr>
      <vt:lpstr>_протоколКВ6</vt:lpstr>
      <vt:lpstr>_протоколВКП1</vt:lpstr>
      <vt:lpstr>_протоколВКП2</vt:lpstr>
      <vt:lpstr>_протоколКВ7</vt:lpstr>
      <vt:lpstr>_ДС-2_1</vt:lpstr>
      <vt:lpstr>_ДС-2</vt:lpstr>
      <vt:lpstr>_ДС-3_1</vt:lpstr>
      <vt:lpstr>_ДС-3</vt:lpstr>
      <vt:lpstr>_ВКП1</vt:lpstr>
      <vt:lpstr>_ВКП1Расстояние</vt:lpstr>
      <vt:lpstr>_ВКП2</vt:lpstr>
      <vt:lpstr>_ВКП2Расстояние</vt:lpstr>
      <vt:lpstr>_ДП1</vt:lpstr>
      <vt:lpstr>_ДП2</vt:lpstr>
      <vt:lpstr>_ДС1</vt:lpstr>
      <vt:lpstr>_ДС2</vt:lpstr>
      <vt:lpstr>_ДС3</vt:lpstr>
      <vt:lpstr>_ДС4</vt:lpstr>
      <vt:lpstr>_ДСФ2Норматив</vt:lpstr>
      <vt:lpstr>_ДСФ3Норматив</vt:lpstr>
      <vt:lpstr>_КВ0</vt:lpstr>
      <vt:lpstr>_КВ1</vt:lpstr>
      <vt:lpstr>_КВ1Время</vt:lpstr>
      <vt:lpstr>_КВ1Расстояние</vt:lpstr>
      <vt:lpstr>_КВ1Скорость</vt:lpstr>
      <vt:lpstr>_КВ2</vt:lpstr>
      <vt:lpstr>_КВ2Время</vt:lpstr>
      <vt:lpstr>_КВ2Расстояние</vt:lpstr>
      <vt:lpstr>_КВ2Скорость</vt:lpstr>
      <vt:lpstr>_КВ3</vt:lpstr>
      <vt:lpstr>_КВ3Время</vt:lpstr>
      <vt:lpstr>_КВ3Расстояние</vt:lpstr>
      <vt:lpstr>_КВ3Скорость</vt:lpstr>
      <vt:lpstr>_КВ4</vt:lpstr>
      <vt:lpstr>_КВ4Время</vt:lpstr>
      <vt:lpstr>_КВ4Расстояние</vt:lpstr>
      <vt:lpstr>_КВ4Скорость</vt:lpstr>
      <vt:lpstr>_КВ5</vt:lpstr>
      <vt:lpstr>_КВ5Время</vt:lpstr>
      <vt:lpstr>_КВ5Расстояние</vt:lpstr>
      <vt:lpstr>_КВ5Скорость</vt:lpstr>
      <vt:lpstr>_КВ6</vt:lpstr>
      <vt:lpstr>_КВ6Время</vt:lpstr>
      <vt:lpstr>_КВ6Расстояние</vt:lpstr>
      <vt:lpstr>_КВ6Скорость</vt:lpstr>
      <vt:lpstr>_КВ7</vt:lpstr>
      <vt:lpstr>_КВ7Время</vt:lpstr>
      <vt:lpstr>_КВ7Расстояние</vt:lpstr>
      <vt:lpstr>_КВ7Скорость</vt:lpstr>
      <vt:lpstr>_СФ2_1Норматив</vt:lpstr>
      <vt:lpstr>_СФ3_1Норматив</vt:lpstr>
      <vt:lpstr>авто</vt:lpstr>
      <vt:lpstr>база</vt:lpstr>
      <vt:lpstr>буква</vt:lpstr>
      <vt:lpstr>времяЗакрытия</vt:lpstr>
      <vt:lpstr>времяОткрытия</vt:lpstr>
      <vt:lpstr>всегоСтрок</vt:lpstr>
      <vt:lpstr>город1</vt:lpstr>
      <vt:lpstr>город2</vt:lpstr>
      <vt:lpstr>госномер</vt:lpstr>
      <vt:lpstr>датаРалли</vt:lpstr>
      <vt:lpstr>дВКВ</vt:lpstr>
      <vt:lpstr>дВКП</vt:lpstr>
      <vt:lpstr>дДП</vt:lpstr>
      <vt:lpstr>дДС</vt:lpstr>
      <vt:lpstr>дДСФ</vt:lpstr>
      <vt:lpstr>дКВ</vt:lpstr>
      <vt:lpstr>дКВ0</vt:lpstr>
      <vt:lpstr>дКСЛ</vt:lpstr>
      <vt:lpstr>допПротоколы</vt:lpstr>
      <vt:lpstr>дСВ</vt:lpstr>
      <vt:lpstr>дСЛ</vt:lpstr>
      <vt:lpstr>_протоколВКП1!Заголовки_для_печати</vt:lpstr>
      <vt:lpstr>_протоколВКП2!Заголовки_для_печати</vt:lpstr>
      <vt:lpstr>_протоколДП1!Заголовки_для_печати</vt:lpstr>
      <vt:lpstr>_протоколДП2!Заголовки_для_печати</vt:lpstr>
      <vt:lpstr>_протоколДС1!Заголовки_для_печати</vt:lpstr>
      <vt:lpstr>_протоколДС2!Заголовки_для_печати</vt:lpstr>
      <vt:lpstr>_протоколДС3!Заголовки_для_печати</vt:lpstr>
      <vt:lpstr>_протоколДС4!Заголовки_для_печати</vt:lpstr>
      <vt:lpstr>_протоколДСФ2!Заголовки_для_печати</vt:lpstr>
      <vt:lpstr>_протоколДСФ2_стоп!Заголовки_для_печати</vt:lpstr>
      <vt:lpstr>_протоколДСФ3!Заголовки_для_печати</vt:lpstr>
      <vt:lpstr>_протоколКВ0!Заголовки_для_печати</vt:lpstr>
      <vt:lpstr>_протоколКВ1!Заголовки_для_печати</vt:lpstr>
      <vt:lpstr>_протоколКВ2!Заголовки_для_печати</vt:lpstr>
      <vt:lpstr>_протоколКВ3!Заголовки_для_печати</vt:lpstr>
      <vt:lpstr>_протоколКВ4!Заголовки_для_печати</vt:lpstr>
      <vt:lpstr>_протоколКВ5!Заголовки_для_печати</vt:lpstr>
      <vt:lpstr>_протоколКВ6!Заголовки_для_печати</vt:lpstr>
      <vt:lpstr>_протоколКВ7!Заголовки_для_печати</vt:lpstr>
      <vt:lpstr>_протоколСФ2_1!Заголовки_для_печати</vt:lpstr>
      <vt:lpstr>_протоколСФ3_1!Заголовки_для_печати</vt:lpstr>
      <vt:lpstr>заявкиА3!Заголовки_для_печати</vt:lpstr>
      <vt:lpstr>итоговые!Заголовки_для_печати</vt:lpstr>
      <vt:lpstr>'Легенда тип 2'!Заголовки_для_печати</vt:lpstr>
      <vt:lpstr>предварительные!Заголовки_для_печати</vt:lpstr>
      <vt:lpstr>предварительныеЗнач!Заголовки_для_печати</vt:lpstr>
      <vt:lpstr>протоколДоп!Заголовки_для_печати</vt:lpstr>
      <vt:lpstr>протоколДС!Заголовки_для_печати</vt:lpstr>
      <vt:lpstr>протоколДСсовм!Заголовки_для_печати</vt:lpstr>
      <vt:lpstr>протоколДСф!Заголовки_для_печати</vt:lpstr>
      <vt:lpstr>протоколКВ!Заголовки_для_печати</vt:lpstr>
      <vt:lpstr>протоколКВ0!Заголовки_для_печати</vt:lpstr>
      <vt:lpstr>протоколКВсовм!Заголовки_для_печати</vt:lpstr>
      <vt:lpstr>протоколКСЛ!Заголовки_для_печати</vt:lpstr>
      <vt:lpstr>протоколСЛ!Заголовки_для_печати</vt:lpstr>
      <vt:lpstr>протоколТИ!Заголовки_для_печати</vt:lpstr>
      <vt:lpstr>'Сектор 1'!Заголовки_для_печати</vt:lpstr>
      <vt:lpstr>'Сектор 2'!Заголовки_для_печати</vt:lpstr>
      <vt:lpstr>'Сектор 3'!Заголовки_для_печати</vt:lpstr>
      <vt:lpstr>'Сектор 4'!Заголовки_для_печати</vt:lpstr>
      <vt:lpstr>'Сектор 5'!Заголовки_для_печати</vt:lpstr>
      <vt:lpstr>'Сектор 6'!Заголовки_для_печати</vt:lpstr>
      <vt:lpstr>'Сектор 7'!Заголовки_для_печати</vt:lpstr>
      <vt:lpstr>стартоваяВедомость!Заголовки_для_печати</vt:lpstr>
      <vt:lpstr>'стр 22'!Заголовки_для_печати</vt:lpstr>
      <vt:lpstr>тарировочный!Заголовки_для_печати</vt:lpstr>
      <vt:lpstr>зачет</vt:lpstr>
      <vt:lpstr>конверт</vt:lpstr>
      <vt:lpstr>конус</vt:lpstr>
      <vt:lpstr>название</vt:lpstr>
      <vt:lpstr>названиеКратко</vt:lpstr>
      <vt:lpstr>неПоСхеме</vt:lpstr>
      <vt:lpstr>номЛицГлСек</vt:lpstr>
      <vt:lpstr>номЛицГлСуд</vt:lpstr>
      <vt:lpstr>номЛицСК</vt:lpstr>
      <vt:lpstr>'_ДС-2'!Область_печати</vt:lpstr>
      <vt:lpstr>'_ДС-2_1'!Область_печати</vt:lpstr>
      <vt:lpstr>'_ДС-3'!Область_печати</vt:lpstr>
      <vt:lpstr>'_ДС-3_1'!Область_печати</vt:lpstr>
      <vt:lpstr>_протоколДС1!Область_печати</vt:lpstr>
      <vt:lpstr>_протоколДС4!Область_печати</vt:lpstr>
      <vt:lpstr>бюллетень!Область_печати</vt:lpstr>
      <vt:lpstr>'ДК титул Лайт'!Область_печати</vt:lpstr>
      <vt:lpstr>'ДК титул Про'!Область_печати</vt:lpstr>
      <vt:lpstr>заявкиА3!Область_печати</vt:lpstr>
      <vt:lpstr>итоговые!Область_печати</vt:lpstr>
      <vt:lpstr>итоговыеЗнач!Область_печати</vt:lpstr>
      <vt:lpstr>'Легенда тип 2'!Область_печати</vt:lpstr>
      <vt:lpstr>МЛ!Область_печати</vt:lpstr>
      <vt:lpstr>пВКП1!Область_печати</vt:lpstr>
      <vt:lpstr>пДС1Старт!Область_печати</vt:lpstr>
      <vt:lpstr>пДС1сф!Область_печати</vt:lpstr>
      <vt:lpstr>пДС1ф!Область_печати</vt:lpstr>
      <vt:lpstr>пДС4Старт!Область_печати</vt:lpstr>
      <vt:lpstr>пДС4сф!Область_печати</vt:lpstr>
      <vt:lpstr>пДС4ф!Область_печати</vt:lpstr>
      <vt:lpstr>пКВ0!Область_печати</vt:lpstr>
      <vt:lpstr>'пКВ1-2-3-4'!Область_печати</vt:lpstr>
      <vt:lpstr>'поз 20'!Область_печати</vt:lpstr>
      <vt:lpstr>предварительные!Область_печати</vt:lpstr>
      <vt:lpstr>предварительныеЗнач!Область_печати</vt:lpstr>
      <vt:lpstr>'РД шаблон'!Область_печати</vt:lpstr>
      <vt:lpstr>'Сектор 1'!Область_печати</vt:lpstr>
      <vt:lpstr>'Сектор 2'!Область_печати</vt:lpstr>
      <vt:lpstr>'Сектор 3'!Область_печати</vt:lpstr>
      <vt:lpstr>'Сектор 4'!Область_печати</vt:lpstr>
      <vt:lpstr>'Сектор 5'!Область_печати</vt:lpstr>
      <vt:lpstr>'Сектор 6'!Область_печати</vt:lpstr>
      <vt:lpstr>'Сектор 7'!Область_печати</vt:lpstr>
      <vt:lpstr>стартоваяВедомость!Область_печати</vt:lpstr>
      <vt:lpstr>'стр 22'!Область_печати</vt:lpstr>
      <vt:lpstr>тарировочный!Область_печати</vt:lpstr>
      <vt:lpstr>округлениеРД</vt:lpstr>
      <vt:lpstr>опережениеКВ</vt:lpstr>
      <vt:lpstr>опозданиеКВ</vt:lpstr>
      <vt:lpstr>отклонениеРД</vt:lpstr>
      <vt:lpstr>ПДД</vt:lpstr>
      <vt:lpstr>перваяСтрока</vt:lpstr>
      <vt:lpstr>пределКВ</vt:lpstr>
      <vt:lpstr>пределРД</vt:lpstr>
      <vt:lpstr>пропускДС</vt:lpstr>
      <vt:lpstr>пропускКВ</vt:lpstr>
      <vt:lpstr>пропускСФ</vt:lpstr>
      <vt:lpstr>секундаСЛ</vt:lpstr>
      <vt:lpstr>старт</vt:lpstr>
      <vt:lpstr>стартНомер</vt:lpstr>
      <vt:lpstr>тел1</vt:lpstr>
      <vt:lpstr>тел2</vt:lpstr>
      <vt:lpstr>фальстарт</vt:lpstr>
      <vt:lpstr>фио1</vt:lpstr>
      <vt:lpstr>фио2</vt:lpstr>
      <vt:lpstr>фиоГлСек</vt:lpstr>
      <vt:lpstr>фиоГлСуд</vt:lpstr>
      <vt:lpstr>фиоСК</vt:lpstr>
      <vt:lpstr>числоЭкипажей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ДК</dc:title>
  <dc:subject/>
  <dc:creator>alex</dc:creator>
  <cp:lastModifiedBy>alexe</cp:lastModifiedBy>
  <cp:lastPrinted>2019-12-23T05:48:46Z</cp:lastPrinted>
  <dcterms:created xsi:type="dcterms:W3CDTF">2016-06-12T22:47:51Z</dcterms:created>
  <dcterms:modified xsi:type="dcterms:W3CDTF">2019-12-23T05:53:01Z</dcterms:modified>
</cp:coreProperties>
</file>