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alexe\Desktop\"/>
    </mc:Choice>
  </mc:AlternateContent>
  <bookViews>
    <workbookView xWindow="0" yWindow="180" windowWidth="19440" windowHeight="8865" tabRatio="797" firstSheet="39" activeTab="45"/>
  </bookViews>
  <sheets>
    <sheet name="общее" sheetId="26" r:id="rId1"/>
    <sheet name="КК трофей" sheetId="1102" r:id="rId2"/>
    <sheet name="заявки" sheetId="436" r:id="rId3"/>
    <sheet name="заявкиА3" sheetId="45" r:id="rId4"/>
    <sheet name="стартоваяВедомость" sheetId="47" r:id="rId5"/>
    <sheet name="итоговые" sheetId="960" r:id="rId6"/>
    <sheet name="ДК титул традиц" sheetId="1392" r:id="rId7"/>
    <sheet name="ДК титул Трофей" sheetId="1017" r:id="rId8"/>
    <sheet name="МЛ" sheetId="778" r:id="rId9"/>
    <sheet name="Знаки контроля Трофей" sheetId="1018" r:id="rId10"/>
    <sheet name="Легенда Трофей" sheetId="1019" r:id="rId11"/>
    <sheet name="Сектор 1 Про" sheetId="900" r:id="rId12"/>
    <sheet name="Сектор 2 Про" sheetId="1000" r:id="rId13"/>
    <sheet name="КК" sheetId="910" state="hidden" r:id="rId14"/>
    <sheet name="ДК титул Про" sheetId="438" state="hidden" r:id="rId15"/>
    <sheet name="ДК титул Лайт" sheetId="655" state="hidden" r:id="rId16"/>
    <sheet name="Знаки контроля" sheetId="1020" state="hidden" r:id="rId17"/>
    <sheet name="Легенда" sheetId="441" state="hidden" r:id="rId18"/>
    <sheet name="тарировочный" sheetId="1329" r:id="rId19"/>
    <sheet name="бюллетени" sheetId="1356" r:id="rId20"/>
    <sheet name="подписи" sheetId="801" r:id="rId21"/>
    <sheet name="РД шаблон" sheetId="434" r:id="rId22"/>
    <sheet name="протоколТИ" sheetId="110" r:id="rId23"/>
    <sheet name="протоколДоп" sheetId="118" r:id="rId24"/>
    <sheet name="протоколКВ0" sheetId="108" r:id="rId25"/>
    <sheet name="протоколКВ" sheetId="736" r:id="rId26"/>
    <sheet name="протоколДС" sheetId="115" r:id="rId27"/>
    <sheet name="протоколДСф" sheetId="116" r:id="rId28"/>
    <sheet name="протоколСЛ" sheetId="109" r:id="rId29"/>
    <sheet name="протоколКСЛ" sheetId="1078" r:id="rId30"/>
    <sheet name="пСекр" sheetId="96" r:id="rId31"/>
    <sheet name="пКВ0" sheetId="99" r:id="rId32"/>
    <sheet name="пДС1Старт" sheetId="98" r:id="rId33"/>
    <sheet name="пДС1сф" sheetId="100" r:id="rId34"/>
    <sheet name="пДС1ф" sheetId="726" r:id="rId35"/>
    <sheet name="пКВ1-2-3-4" sheetId="661" r:id="rId36"/>
    <sheet name="пДС4Старт" sheetId="662" r:id="rId37"/>
    <sheet name="пДС4сф" sheetId="663" r:id="rId38"/>
    <sheet name="пДС4ф" sheetId="664" r:id="rId39"/>
    <sheet name="пВКП1" sheetId="665" r:id="rId40"/>
    <sheet name="_ДС1-1" sheetId="1503" r:id="rId41"/>
    <sheet name="_ДС1" sheetId="1504" r:id="rId42"/>
    <sheet name="_ДС1-3" sheetId="1505" r:id="rId43"/>
    <sheet name="_ДС2-3" sheetId="1506" r:id="rId44"/>
    <sheet name="_ДС3" sheetId="1507" r:id="rId45"/>
    <sheet name="предварительные" sheetId="734" r:id="rId46"/>
    <sheet name="_протоколДП1" sheetId="1523" r:id="rId47"/>
    <sheet name="_протоколКВ1" sheetId="1524" r:id="rId48"/>
    <sheet name="_протоколВКП1" sheetId="1525" r:id="rId49"/>
    <sheet name="_протоколВКП11" sheetId="1538" r:id="rId50"/>
    <sheet name="_протоколВКП21" sheetId="1539" r:id="rId51"/>
    <sheet name="_протоколДС1" sheetId="1526" r:id="rId52"/>
    <sheet name="_протоколДССФ11" sheetId="1527" r:id="rId53"/>
    <sheet name="_протоколДСФ1" sheetId="1528" r:id="rId54"/>
    <sheet name="_протоколВКП2" sheetId="1529" r:id="rId55"/>
    <sheet name="_протоколВКВ1" sheetId="1530" r:id="rId56"/>
    <sheet name="_протоколКВ2" sheetId="1531" r:id="rId57"/>
    <sheet name="_протоколДС2" sheetId="1532" r:id="rId58"/>
    <sheet name="_протоколДС3" sheetId="1533" r:id="rId59"/>
    <sheet name="_протоколДССФ13" sheetId="1534" r:id="rId60"/>
    <sheet name="_протоколДССФ23" sheetId="1535" r:id="rId61"/>
    <sheet name="_протоколДСФ3" sheetId="1536" r:id="rId62"/>
    <sheet name="_протоколКВ3" sheetId="1537" r:id="rId63"/>
    <sheet name="предварительные печать" sheetId="1540" r:id="rId64"/>
    <sheet name="предварительные печать 2" sheetId="1542" r:id="rId65"/>
    <sheet name="итоговые (2)" sheetId="1543" r:id="rId66"/>
    <sheet name="итоговые (3)" sheetId="1544" r:id="rId67"/>
  </sheets>
  <functionGroups builtInGroupCount="18"/>
  <definedNames>
    <definedName name="_ВКВ1">общее!$H$17</definedName>
    <definedName name="_ВКП1">общее!$H$12</definedName>
    <definedName name="_ВКП2">общее!$H$16</definedName>
    <definedName name="_ДП1">общее!$A$10</definedName>
    <definedName name="_ДП2">общее!$A$12</definedName>
    <definedName name="_ДС1">общее!$A$13</definedName>
    <definedName name="_ДС2">общее!$A$19</definedName>
    <definedName name="_ДС3">общее!$A$20</definedName>
    <definedName name="_ДССФ11Норматив">'_ДС1-1'!$H$72</definedName>
    <definedName name="_ДССФ13Норматив">'_ДС1-3'!$H$72</definedName>
    <definedName name="_ДССФ23Норматив">'_ДС2-3'!$H$72</definedName>
    <definedName name="_ДСФ1Норматив">_ДС1!$H$72</definedName>
    <definedName name="_ДСФ3Норматив">_ДС3!$H$72</definedName>
    <definedName name="_КВ1">общее!$A$11</definedName>
    <definedName name="_КВ2">общее!$A$18</definedName>
    <definedName name="_КВ2Время">общее!$C$18</definedName>
    <definedName name="_КВ2Расстояние">общее!$B$18</definedName>
    <definedName name="_КВ2Скорость">общее!$E$18</definedName>
    <definedName name="_КВ3">общее!$A$24</definedName>
    <definedName name="_КВ3Время">общее!$C$24</definedName>
    <definedName name="_КВ3Расстояние">общее!$B$24</definedName>
    <definedName name="_КВ3Скорость">общее!$E$24</definedName>
    <definedName name="_xlnm._FilterDatabase" localSheetId="41" hidden="1">_ДС1!$A$9:$H$71</definedName>
    <definedName name="_xlnm._FilterDatabase" localSheetId="40" hidden="1">'_ДС1-1'!$A$9:$H$71</definedName>
    <definedName name="_xlnm._FilterDatabase" localSheetId="42" hidden="1">'_ДС1-3'!$A$9:$H$71</definedName>
    <definedName name="_xlnm._FilterDatabase" localSheetId="43" hidden="1">'_ДС2-3'!$A$9:$H$71</definedName>
    <definedName name="_xlnm._FilterDatabase" localSheetId="44" hidden="1">_ДС3!$A$9:$H$71</definedName>
    <definedName name="_xlnm._FilterDatabase" localSheetId="5" hidden="1">итоговые!$A$9:$F$69</definedName>
    <definedName name="_xlnm._FilterDatabase" localSheetId="65" hidden="1">'итоговые (2)'!$A$9:$F$18</definedName>
    <definedName name="_xlnm._FilterDatabase" localSheetId="66" hidden="1">'итоговые (3)'!$A$10:$F$19</definedName>
    <definedName name="_xlnm._FilterDatabase" localSheetId="8" hidden="1">МЛ!$A$9:$G$69</definedName>
    <definedName name="_xlnm._FilterDatabase" localSheetId="45" hidden="1">предварительные!$A$4:$BX$68</definedName>
    <definedName name="_xlnm._FilterDatabase" localSheetId="63" hidden="1">'предварительные печать'!$A$4:$BX$68</definedName>
    <definedName name="_xlnm._FilterDatabase" localSheetId="64" hidden="1">'предварительные печать 2'!$A$4:$BX$68</definedName>
    <definedName name="_xlnm._FilterDatabase" localSheetId="21" hidden="1">'РД шаблон'!$A$9:$H$71</definedName>
    <definedName name="_xlnm._FilterDatabase" localSheetId="4" hidden="1">стартоваяВедомость!$A$9:$H$69</definedName>
    <definedName name="база">общее!$B$88</definedName>
    <definedName name="буква">общее!$B$79</definedName>
    <definedName name="времяЗакрытия">общее!$B$6</definedName>
    <definedName name="времяОткрытия">общее!$B$5</definedName>
    <definedName name="датаРалли">общее!$B$3</definedName>
    <definedName name="допПротоколы">общее!$B$8</definedName>
    <definedName name="_xlnm.Print_Titles" localSheetId="55">_протоколВКВ1!$1:$9</definedName>
    <definedName name="_xlnm.Print_Titles" localSheetId="48">_протоколВКП1!$1:$9</definedName>
    <definedName name="_xlnm.Print_Titles" localSheetId="49">_протоколВКП11!$1:$9</definedName>
    <definedName name="_xlnm.Print_Titles" localSheetId="54">_протоколВКП2!$1:$9</definedName>
    <definedName name="_xlnm.Print_Titles" localSheetId="50">_протоколВКП21!$1:$9</definedName>
    <definedName name="_xlnm.Print_Titles" localSheetId="46">_протоколДП1!$1:$9</definedName>
    <definedName name="_xlnm.Print_Titles" localSheetId="51">_протоколДС1!$1:$9</definedName>
    <definedName name="_xlnm.Print_Titles" localSheetId="57">_протоколДС2!$1:$9</definedName>
    <definedName name="_xlnm.Print_Titles" localSheetId="58">_протоколДС3!$1:$9</definedName>
    <definedName name="_xlnm.Print_Titles" localSheetId="52">_протоколДССФ11!$1:$9</definedName>
    <definedName name="_xlnm.Print_Titles" localSheetId="59">_протоколДССФ13!$1:$9</definedName>
    <definedName name="_xlnm.Print_Titles" localSheetId="60">_протоколДССФ23!$1:$9</definedName>
    <definedName name="_xlnm.Print_Titles" localSheetId="53">_протоколДСФ1!$1:$9</definedName>
    <definedName name="_xlnm.Print_Titles" localSheetId="61">_протоколДСФ3!$1:$9</definedName>
    <definedName name="_xlnm.Print_Titles" localSheetId="47">_протоколКВ1!$1:$9</definedName>
    <definedName name="_xlnm.Print_Titles" localSheetId="56">_протоколКВ2!$1:$9</definedName>
    <definedName name="_xlnm.Print_Titles" localSheetId="62">_протоколКВ3!$1:$9</definedName>
    <definedName name="_xlnm.Print_Titles" localSheetId="3">заявкиА3!$1:$9</definedName>
    <definedName name="_xlnm.Print_Titles" localSheetId="5">итоговые!$1:$9</definedName>
    <definedName name="_xlnm.Print_Titles" localSheetId="45">предварительные!$A:$A</definedName>
    <definedName name="_xlnm.Print_Titles" localSheetId="63">'предварительные печать'!$A:$A</definedName>
    <definedName name="_xlnm.Print_Titles" localSheetId="64">'предварительные печать 2'!$A:$A</definedName>
    <definedName name="_xlnm.Print_Titles" localSheetId="23">протоколДоп!$1:$9</definedName>
    <definedName name="_xlnm.Print_Titles" localSheetId="26">протоколДС!$1:$9</definedName>
    <definedName name="_xlnm.Print_Titles" localSheetId="27">протоколДСф!$1:$9</definedName>
    <definedName name="_xlnm.Print_Titles" localSheetId="25">протоколКВ!$1:$9</definedName>
    <definedName name="_xlnm.Print_Titles" localSheetId="24">протоколКВ0!$1:$9</definedName>
    <definedName name="_xlnm.Print_Titles" localSheetId="29">протоколКСЛ!$1:$9</definedName>
    <definedName name="_xlnm.Print_Titles" localSheetId="28">протоколСЛ!$1:$9</definedName>
    <definedName name="_xlnm.Print_Titles" localSheetId="22">протоколТИ!$1:$9</definedName>
    <definedName name="_xlnm.Print_Titles" localSheetId="11">'Сектор 1 Про'!$1:$9</definedName>
    <definedName name="_xlnm.Print_Titles" localSheetId="12">'Сектор 2 Про'!$1:$9</definedName>
    <definedName name="_xlnm.Print_Titles" localSheetId="4">стартоваяВедомость!$1:$9</definedName>
    <definedName name="_xlnm.Print_Titles" localSheetId="18">тарировочный!$1:$9</definedName>
    <definedName name="конверт">общее!$B$78</definedName>
    <definedName name="конус">общее!$B$87</definedName>
    <definedName name="название">общее!$B$1</definedName>
    <definedName name="названиеКратко">общее!$B$2</definedName>
    <definedName name="неПоСхеме">общее!$B$86</definedName>
    <definedName name="_xlnm.Print_Area" localSheetId="41">_ДС1!$A$1:$H$72</definedName>
    <definedName name="_xlnm.Print_Area" localSheetId="40">'_ДС1-1'!$A$1:$H$72</definedName>
    <definedName name="_xlnm.Print_Area" localSheetId="42">'_ДС1-3'!$A$1:$H$72</definedName>
    <definedName name="_xlnm.Print_Area" localSheetId="43">'_ДС2-3'!$A$1:$H$72</definedName>
    <definedName name="_xlnm.Print_Area" localSheetId="44">_ДС3!$A$1:$H$72</definedName>
    <definedName name="_xlnm.Print_Area" localSheetId="15">'ДК титул Лайт'!$A$1:$J$45</definedName>
    <definedName name="_xlnm.Print_Area" localSheetId="14">'ДК титул Про'!$A$1:$J$45</definedName>
    <definedName name="_xlnm.Print_Area" localSheetId="6">'ДК титул традиц'!$A$1:$J$45</definedName>
    <definedName name="_xlnm.Print_Area" localSheetId="7">'ДК титул Трофей'!$A$1:$J$44</definedName>
    <definedName name="_xlnm.Print_Area" localSheetId="3">заявкиА3!$A$1:$M$70</definedName>
    <definedName name="_xlnm.Print_Area" localSheetId="5">итоговые!$A$1:$F$154</definedName>
    <definedName name="_xlnm.Print_Area" localSheetId="65">'итоговые (2)'!$A$1:$F$116</definedName>
    <definedName name="_xlnm.Print_Area" localSheetId="66">'итоговые (3)'!$A$1:$F$117</definedName>
    <definedName name="_xlnm.Print_Area" localSheetId="8">МЛ!$A$1:$G$90</definedName>
    <definedName name="_xlnm.Print_Area" localSheetId="39">пВКП1!$A$1:$A$42</definedName>
    <definedName name="_xlnm.Print_Area" localSheetId="32">пДС1Старт!$A$1:$A$35</definedName>
    <definedName name="_xlnm.Print_Area" localSheetId="33">пДС1сф!$A$1:$A$46</definedName>
    <definedName name="_xlnm.Print_Area" localSheetId="34">пДС1ф!$A$1:$A$42</definedName>
    <definedName name="_xlnm.Print_Area" localSheetId="36">пДС4Старт!$A$1:$A$38</definedName>
    <definedName name="_xlnm.Print_Area" localSheetId="37">пДС4сф!$A$1:$A$45</definedName>
    <definedName name="_xlnm.Print_Area" localSheetId="38">пДС4ф!$A$1:$A$42</definedName>
    <definedName name="_xlnm.Print_Area" localSheetId="31">пКВ0!$A$1:$A$32</definedName>
    <definedName name="_xlnm.Print_Area" localSheetId="35">'пКВ1-2-3-4'!$A$1:$A$36</definedName>
    <definedName name="_xlnm.Print_Area" localSheetId="21">'РД шаблон'!$A$1:$H$72</definedName>
    <definedName name="_xlnm.Print_Area" localSheetId="11">'Сектор 1 Про'!$A$1:$H$129</definedName>
    <definedName name="_xlnm.Print_Area" localSheetId="12">'Сектор 2 Про'!$A$1:$H$189</definedName>
    <definedName name="_xlnm.Print_Area" localSheetId="4">стартоваяВедомость!$A$1:$H$75</definedName>
    <definedName name="_xlnm.Print_Area" localSheetId="18">тарировочный!$A$1:$H$23</definedName>
    <definedName name="округлениеРД">общее!$B$89</definedName>
    <definedName name="опережениеКВ">общее!$B$74</definedName>
    <definedName name="опозданиеКВ">общее!$B$73</definedName>
    <definedName name="отклонениеРД">общее!$B$84</definedName>
    <definedName name="ПДД">общее!$B$81</definedName>
    <definedName name="пределКВ">общее!$B$90</definedName>
    <definedName name="пределРД">общее!$B$91</definedName>
    <definedName name="пропускДС">общее!$B$77</definedName>
    <definedName name="пропускКВ">общее!$B$75</definedName>
    <definedName name="пропускСФ">общее!$B$76</definedName>
    <definedName name="секундаСЛ">общее!$B$85</definedName>
    <definedName name="старт">общее!$B$7</definedName>
    <definedName name="фальстарт">общее!$B$83</definedName>
    <definedName name="числоЭкипажей">общее!$B$4</definedName>
  </definedNames>
  <calcPr calcId="162913"/>
</workbook>
</file>

<file path=xl/calcChain.xml><?xml version="1.0" encoding="utf-8"?>
<calcChain xmlns="http://schemas.openxmlformats.org/spreadsheetml/2006/main">
  <c r="A5" i="1544" l="1"/>
  <c r="F106" i="1544"/>
  <c r="B106" i="1544"/>
  <c r="A48" i="1544"/>
  <c r="A49" i="1544" s="1"/>
  <c r="A50" i="1544" s="1"/>
  <c r="A51" i="1544" s="1"/>
  <c r="A52" i="1544" s="1"/>
  <c r="A53" i="1544" s="1"/>
  <c r="A54" i="1544" s="1"/>
  <c r="A55" i="1544" s="1"/>
  <c r="A56" i="1544" s="1"/>
  <c r="A57" i="1544" s="1"/>
  <c r="A58" i="1544" s="1"/>
  <c r="A59" i="1544" s="1"/>
  <c r="A60" i="1544" s="1"/>
  <c r="A61" i="1544" s="1"/>
  <c r="A62" i="1544" s="1"/>
  <c r="A63" i="1544" s="1"/>
  <c r="A64" i="1544" s="1"/>
  <c r="A65" i="1544" s="1"/>
  <c r="A66" i="1544" s="1"/>
  <c r="A67" i="1544" s="1"/>
  <c r="A68" i="1544" s="1"/>
  <c r="A69" i="1544" s="1"/>
  <c r="A70" i="1544" s="1"/>
  <c r="A71" i="1544" s="1"/>
  <c r="A72" i="1544" s="1"/>
  <c r="A73" i="1544" s="1"/>
  <c r="A74" i="1544" s="1"/>
  <c r="A75" i="1544" s="1"/>
  <c r="A76" i="1544" s="1"/>
  <c r="A77" i="1544" s="1"/>
  <c r="A78" i="1544" s="1"/>
  <c r="A79" i="1544" s="1"/>
  <c r="A80" i="1544" s="1"/>
  <c r="A81" i="1544" s="1"/>
  <c r="A82" i="1544" s="1"/>
  <c r="A83" i="1544" s="1"/>
  <c r="A84" i="1544" s="1"/>
  <c r="A85" i="1544" s="1"/>
  <c r="A86" i="1544" s="1"/>
  <c r="A87" i="1544" s="1"/>
  <c r="A88" i="1544" s="1"/>
  <c r="A89" i="1544" s="1"/>
  <c r="A90" i="1544" s="1"/>
  <c r="A91" i="1544" s="1"/>
  <c r="A92" i="1544" s="1"/>
  <c r="A93" i="1544" s="1"/>
  <c r="A94" i="1544" s="1"/>
  <c r="A95" i="1544" s="1"/>
  <c r="A96" i="1544" s="1"/>
  <c r="A97" i="1544" s="1"/>
  <c r="A98" i="1544" s="1"/>
  <c r="A99" i="1544" s="1"/>
  <c r="A100" i="1544" s="1"/>
  <c r="A101" i="1544" s="1"/>
  <c r="A102" i="1544" s="1"/>
  <c r="A103" i="1544" s="1"/>
  <c r="A104" i="1544" s="1"/>
  <c r="A105" i="1544" s="1"/>
  <c r="A47" i="1544"/>
  <c r="A38" i="1544"/>
  <c r="A36" i="1544"/>
  <c r="F20" i="1544"/>
  <c r="B20" i="1544"/>
  <c r="A13" i="1544"/>
  <c r="A14" i="1544" s="1"/>
  <c r="A15" i="1544" s="1"/>
  <c r="A16" i="1544" s="1"/>
  <c r="A17" i="1544" s="1"/>
  <c r="A18" i="1544" s="1"/>
  <c r="A19" i="1544" s="1"/>
  <c r="A12" i="1544"/>
  <c r="A3" i="1544"/>
  <c r="A1" i="1544"/>
  <c r="F105" i="1543"/>
  <c r="B105" i="1543"/>
  <c r="A46" i="1543"/>
  <c r="A47" i="1543" s="1"/>
  <c r="A48" i="1543" s="1"/>
  <c r="A49" i="1543" s="1"/>
  <c r="A50" i="1543" s="1"/>
  <c r="A51" i="1543" s="1"/>
  <c r="A52" i="1543" s="1"/>
  <c r="A53" i="1543" s="1"/>
  <c r="A54" i="1543" s="1"/>
  <c r="A55" i="1543" s="1"/>
  <c r="A56" i="1543" s="1"/>
  <c r="A57" i="1543" s="1"/>
  <c r="A58" i="1543" s="1"/>
  <c r="A59" i="1543" s="1"/>
  <c r="A60" i="1543" s="1"/>
  <c r="A61" i="1543" s="1"/>
  <c r="A62" i="1543" s="1"/>
  <c r="A63" i="1543" s="1"/>
  <c r="A64" i="1543" s="1"/>
  <c r="A65" i="1543" s="1"/>
  <c r="A66" i="1543" s="1"/>
  <c r="A67" i="1543" s="1"/>
  <c r="A68" i="1543" s="1"/>
  <c r="A69" i="1543" s="1"/>
  <c r="A70" i="1543" s="1"/>
  <c r="A71" i="1543" s="1"/>
  <c r="A72" i="1543" s="1"/>
  <c r="A73" i="1543" s="1"/>
  <c r="A74" i="1543" s="1"/>
  <c r="A75" i="1543" s="1"/>
  <c r="A76" i="1543" s="1"/>
  <c r="A77" i="1543" s="1"/>
  <c r="A78" i="1543" s="1"/>
  <c r="A79" i="1543" s="1"/>
  <c r="A80" i="1543" s="1"/>
  <c r="A81" i="1543" s="1"/>
  <c r="A82" i="1543" s="1"/>
  <c r="A83" i="1543" s="1"/>
  <c r="A84" i="1543" s="1"/>
  <c r="A85" i="1543" s="1"/>
  <c r="A86" i="1543" s="1"/>
  <c r="A87" i="1543" s="1"/>
  <c r="A88" i="1543" s="1"/>
  <c r="A89" i="1543" s="1"/>
  <c r="A90" i="1543" s="1"/>
  <c r="A91" i="1543" s="1"/>
  <c r="A92" i="1543" s="1"/>
  <c r="A93" i="1543" s="1"/>
  <c r="A94" i="1543" s="1"/>
  <c r="A95" i="1543" s="1"/>
  <c r="A96" i="1543" s="1"/>
  <c r="A97" i="1543" s="1"/>
  <c r="A98" i="1543" s="1"/>
  <c r="A99" i="1543" s="1"/>
  <c r="A100" i="1543" s="1"/>
  <c r="A101" i="1543" s="1"/>
  <c r="A102" i="1543" s="1"/>
  <c r="A103" i="1543" s="1"/>
  <c r="A104" i="1543" s="1"/>
  <c r="A37" i="1543"/>
  <c r="A36" i="1543"/>
  <c r="F19" i="1543"/>
  <c r="B19" i="1543"/>
  <c r="A12" i="1543"/>
  <c r="A13" i="1543" s="1"/>
  <c r="A14" i="1543" s="1"/>
  <c r="A15" i="1543" s="1"/>
  <c r="A16" i="1543" s="1"/>
  <c r="A17" i="1543" s="1"/>
  <c r="A18" i="1543" s="1"/>
  <c r="A11" i="1543"/>
  <c r="A2" i="1543"/>
  <c r="A1" i="1543"/>
  <c r="A40" i="1544" l="1"/>
  <c r="A39" i="1543"/>
  <c r="A4" i="1543"/>
  <c r="W68" i="734"/>
  <c r="P68" i="734"/>
  <c r="A68" i="734"/>
  <c r="W67" i="734"/>
  <c r="P67" i="734"/>
  <c r="A67" i="734"/>
  <c r="W66" i="734"/>
  <c r="P66" i="734"/>
  <c r="A66" i="734"/>
  <c r="W65" i="734"/>
  <c r="P65" i="734"/>
  <c r="A65" i="734"/>
  <c r="W64" i="734"/>
  <c r="P64" i="734"/>
  <c r="A64" i="734"/>
  <c r="W63" i="734"/>
  <c r="P63" i="734"/>
  <c r="A63" i="734"/>
  <c r="W62" i="734"/>
  <c r="P62" i="734"/>
  <c r="G62" i="734"/>
  <c r="A62" i="734"/>
  <c r="W61" i="734"/>
  <c r="P61" i="734"/>
  <c r="G61" i="734"/>
  <c r="A61" i="734"/>
  <c r="W60" i="734"/>
  <c r="P60" i="734"/>
  <c r="A60" i="734"/>
  <c r="W59" i="734"/>
  <c r="P59" i="734"/>
  <c r="A59" i="734"/>
  <c r="W58" i="734"/>
  <c r="P58" i="734"/>
  <c r="A58" i="734"/>
  <c r="W57" i="734"/>
  <c r="P57" i="734"/>
  <c r="A57" i="734"/>
  <c r="W56" i="734"/>
  <c r="P56" i="734"/>
  <c r="A56" i="734"/>
  <c r="W55" i="734"/>
  <c r="P55" i="734"/>
  <c r="A55" i="734"/>
  <c r="W54" i="734"/>
  <c r="P54" i="734"/>
  <c r="A54" i="734"/>
  <c r="W53" i="734"/>
  <c r="P53" i="734"/>
  <c r="A53" i="734"/>
  <c r="W52" i="734"/>
  <c r="P52" i="734"/>
  <c r="A52" i="734"/>
  <c r="W51" i="734"/>
  <c r="P51" i="734"/>
  <c r="A51" i="734"/>
  <c r="W50" i="734"/>
  <c r="P50" i="734"/>
  <c r="A50" i="734"/>
  <c r="W49" i="734"/>
  <c r="P49" i="734"/>
  <c r="A49" i="734"/>
  <c r="W48" i="734"/>
  <c r="P48" i="734"/>
  <c r="A48" i="734"/>
  <c r="W47" i="734"/>
  <c r="P47" i="734"/>
  <c r="A47" i="734"/>
  <c r="W46" i="734"/>
  <c r="P46" i="734"/>
  <c r="G46" i="734"/>
  <c r="A46" i="734"/>
  <c r="W45" i="734"/>
  <c r="P45" i="734"/>
  <c r="G45" i="734"/>
  <c r="A45" i="734"/>
  <c r="W44" i="734"/>
  <c r="P44" i="734"/>
  <c r="G44" i="734"/>
  <c r="A44" i="734"/>
  <c r="W43" i="734"/>
  <c r="P43" i="734"/>
  <c r="G43" i="734"/>
  <c r="A43" i="734"/>
  <c r="W42" i="734"/>
  <c r="P42" i="734"/>
  <c r="G42" i="734"/>
  <c r="A42" i="734"/>
  <c r="W41" i="734"/>
  <c r="P41" i="734"/>
  <c r="A41" i="734"/>
  <c r="W40" i="734"/>
  <c r="P40" i="734"/>
  <c r="A40" i="734"/>
  <c r="W39" i="734"/>
  <c r="P39" i="734"/>
  <c r="A39" i="734"/>
  <c r="W38" i="734"/>
  <c r="P38" i="734"/>
  <c r="A38" i="734"/>
  <c r="W37" i="734"/>
  <c r="P37" i="734"/>
  <c r="A37" i="734"/>
  <c r="W36" i="734"/>
  <c r="P36" i="734"/>
  <c r="A36" i="734"/>
  <c r="W35" i="734"/>
  <c r="P35" i="734"/>
  <c r="A35" i="734"/>
  <c r="W34" i="734"/>
  <c r="P34" i="734"/>
  <c r="A34" i="734"/>
  <c r="W33" i="734"/>
  <c r="P33" i="734"/>
  <c r="A33" i="734"/>
  <c r="W32" i="734"/>
  <c r="P32" i="734"/>
  <c r="A32" i="734"/>
  <c r="W31" i="734"/>
  <c r="P31" i="734"/>
  <c r="A31" i="734"/>
  <c r="W30" i="734"/>
  <c r="P30" i="734"/>
  <c r="A30" i="734"/>
  <c r="W29" i="734"/>
  <c r="P29" i="734"/>
  <c r="A29" i="734"/>
  <c r="W28" i="734"/>
  <c r="P28" i="734"/>
  <c r="A28" i="734"/>
  <c r="W27" i="734"/>
  <c r="P27" i="734"/>
  <c r="A27" i="734"/>
  <c r="W26" i="734"/>
  <c r="P26" i="734"/>
  <c r="A26" i="734"/>
  <c r="W25" i="734"/>
  <c r="P25" i="734"/>
  <c r="A25" i="734"/>
  <c r="W24" i="734"/>
  <c r="P24" i="734"/>
  <c r="A24" i="734"/>
  <c r="W23" i="734"/>
  <c r="P23" i="734"/>
  <c r="A23" i="734"/>
  <c r="W22" i="734"/>
  <c r="P22" i="734"/>
  <c r="A22" i="734"/>
  <c r="W21" i="734"/>
  <c r="P21" i="734"/>
  <c r="A21" i="734"/>
  <c r="W20" i="734"/>
  <c r="P20" i="734"/>
  <c r="A20" i="734"/>
  <c r="W19" i="734"/>
  <c r="P19" i="734"/>
  <c r="A19" i="734"/>
  <c r="W18" i="734"/>
  <c r="P18" i="734"/>
  <c r="A18" i="734"/>
  <c r="W17" i="734"/>
  <c r="P17" i="734"/>
  <c r="A17" i="734"/>
  <c r="W16" i="734"/>
  <c r="P16" i="734"/>
  <c r="A16" i="734"/>
  <c r="W15" i="734"/>
  <c r="P15" i="734"/>
  <c r="A15" i="734"/>
  <c r="W14" i="734"/>
  <c r="P14" i="734"/>
  <c r="A14" i="734"/>
  <c r="W13" i="734"/>
  <c r="P13" i="734"/>
  <c r="A13" i="734"/>
  <c r="W12" i="734"/>
  <c r="P12" i="734"/>
  <c r="A12" i="734"/>
  <c r="W11" i="734"/>
  <c r="P11" i="734"/>
  <c r="A11" i="734"/>
  <c r="W10" i="734"/>
  <c r="P10" i="734"/>
  <c r="A10" i="734"/>
  <c r="CC58" i="734"/>
  <c r="CC31" i="734"/>
  <c r="CC19" i="734"/>
  <c r="CC65" i="734"/>
  <c r="CC60" i="734"/>
  <c r="CC59" i="734"/>
  <c r="CC54" i="734"/>
  <c r="CC44" i="734"/>
  <c r="CC50" i="734"/>
  <c r="CC30" i="734"/>
  <c r="CC15" i="734"/>
  <c r="CC68" i="734"/>
  <c r="CC64" i="734"/>
  <c r="CC57" i="734"/>
  <c r="CC56" i="734"/>
  <c r="CC55" i="734"/>
  <c r="CC43" i="734"/>
  <c r="CC49" i="734"/>
  <c r="CC37" i="734"/>
  <c r="CC33" i="734"/>
  <c r="CC29" i="734"/>
  <c r="CC25" i="734"/>
  <c r="CC40" i="734"/>
  <c r="CC18" i="734"/>
  <c r="CC14" i="734"/>
  <c r="CC10" i="734"/>
  <c r="CC66" i="734"/>
  <c r="CC61" i="734"/>
  <c r="CC45" i="734"/>
  <c r="CC46" i="734"/>
  <c r="CC27" i="734"/>
  <c r="CC20" i="734"/>
  <c r="CC12" i="734"/>
  <c r="CC47" i="734"/>
  <c r="CC26" i="734"/>
  <c r="CC11" i="734"/>
  <c r="CC67" i="734"/>
  <c r="CC63" i="734"/>
  <c r="CC62" i="734"/>
  <c r="CC52" i="734"/>
  <c r="CC48" i="734"/>
  <c r="CC42" i="734"/>
  <c r="CC51" i="734"/>
  <c r="CC36" i="734"/>
  <c r="CC32" i="734"/>
  <c r="CC28" i="734"/>
  <c r="CC24" i="734"/>
  <c r="CC21" i="734"/>
  <c r="CC17" i="734"/>
  <c r="CC13" i="734"/>
  <c r="CC38" i="734"/>
  <c r="CC53" i="734"/>
  <c r="CC41" i="734"/>
  <c r="CC35" i="734"/>
  <c r="CC23" i="734"/>
  <c r="CC16" i="734"/>
  <c r="CC39" i="734"/>
  <c r="CC34" i="734"/>
  <c r="CC22" i="734"/>
  <c r="G49" i="734" l="1"/>
  <c r="G60" i="734"/>
  <c r="G38" i="734"/>
  <c r="G47" i="734"/>
  <c r="G65" i="734"/>
  <c r="G50" i="734"/>
  <c r="G39" i="734"/>
  <c r="G40" i="734"/>
  <c r="G41" i="734"/>
  <c r="G54" i="734"/>
  <c r="G48" i="734"/>
  <c r="G52" i="734"/>
  <c r="G51" i="734"/>
  <c r="G53" i="734"/>
  <c r="G68" i="734"/>
  <c r="G56" i="734"/>
  <c r="G67" i="734"/>
  <c r="G55" i="734"/>
  <c r="G66" i="734"/>
  <c r="G59" i="734"/>
  <c r="G58" i="734"/>
  <c r="G57" i="734"/>
  <c r="G64" i="734"/>
  <c r="G63" i="734"/>
  <c r="A59" i="1524"/>
  <c r="B59" i="1524" s="1"/>
  <c r="A58" i="1524"/>
  <c r="B58" i="1524" s="1"/>
  <c r="A57" i="1524"/>
  <c r="B57" i="1524" s="1"/>
  <c r="A56" i="1524"/>
  <c r="B56" i="1524" s="1"/>
  <c r="A55" i="1524"/>
  <c r="B55" i="1524" s="1"/>
  <c r="A54" i="1524"/>
  <c r="B54" i="1524" s="1"/>
  <c r="A53" i="1524"/>
  <c r="B53" i="1524" s="1"/>
  <c r="A52" i="1524"/>
  <c r="B52" i="1524" s="1"/>
  <c r="A51" i="1524"/>
  <c r="B51" i="1524" s="1"/>
  <c r="A50" i="1524"/>
  <c r="B50" i="1524" s="1"/>
  <c r="A49" i="1524"/>
  <c r="B49" i="1524" s="1"/>
  <c r="A48" i="1524"/>
  <c r="B48" i="1524" s="1"/>
  <c r="A47" i="1524"/>
  <c r="B47" i="1524" s="1"/>
  <c r="A46" i="1524"/>
  <c r="B46" i="1524" s="1"/>
  <c r="A45" i="1524"/>
  <c r="B45" i="1524" s="1"/>
  <c r="A44" i="1524"/>
  <c r="B44" i="1524" s="1"/>
  <c r="A43" i="1524"/>
  <c r="B43" i="1524" s="1"/>
  <c r="A42" i="1524"/>
  <c r="B42" i="1524" s="1"/>
  <c r="A41" i="1524"/>
  <c r="B41" i="1524" s="1"/>
  <c r="A40" i="1524"/>
  <c r="B40" i="1524" s="1"/>
  <c r="A39" i="1524"/>
  <c r="B39" i="1524" s="1"/>
  <c r="A38" i="1524"/>
  <c r="A37" i="1524"/>
  <c r="A36" i="1524"/>
  <c r="A35" i="1524"/>
  <c r="A34" i="1524"/>
  <c r="A33" i="1524"/>
  <c r="A32" i="1524"/>
  <c r="A31" i="1524"/>
  <c r="A30" i="1524"/>
  <c r="A29" i="1524"/>
  <c r="A28" i="1524"/>
  <c r="A27" i="1524"/>
  <c r="A26" i="1524"/>
  <c r="A25" i="1524"/>
  <c r="A24" i="1524"/>
  <c r="A23" i="1524"/>
  <c r="A22" i="1524"/>
  <c r="A21" i="1524"/>
  <c r="A20" i="1524"/>
  <c r="A19" i="1524"/>
  <c r="A18" i="1524"/>
  <c r="A17" i="1524"/>
  <c r="A16" i="1524"/>
  <c r="A15" i="1524"/>
  <c r="A14" i="1524"/>
  <c r="A13" i="1524"/>
  <c r="A12" i="1524"/>
  <c r="A11" i="1524"/>
  <c r="A10" i="1524"/>
  <c r="B10" i="1524" s="1"/>
  <c r="AI62" i="734"/>
  <c r="CB63" i="734"/>
  <c r="AI61" i="734"/>
  <c r="S62" i="734"/>
  <c r="AN62" i="734"/>
  <c r="BE58" i="734"/>
  <c r="BU48" i="734"/>
  <c r="F46" i="734"/>
  <c r="BO43" i="734"/>
  <c r="AE45" i="734"/>
  <c r="BS45" i="734"/>
  <c r="AU41" i="734"/>
  <c r="AN27" i="734"/>
  <c r="AN25" i="734"/>
  <c r="AN23" i="734"/>
  <c r="AX20" i="734"/>
  <c r="F17" i="734"/>
  <c r="B14" i="734"/>
  <c r="BJ10" i="734"/>
  <c r="BY51" i="734"/>
  <c r="BS26" i="734"/>
  <c r="AX23" i="734"/>
  <c r="AR21" i="734"/>
  <c r="AR16" i="734"/>
  <c r="L12" i="734"/>
  <c r="BS44" i="734"/>
  <c r="E29" i="734"/>
  <c r="B46" i="734"/>
  <c r="F33" i="734"/>
  <c r="AF26" i="734"/>
  <c r="AV24" i="734"/>
  <c r="AF21" i="734"/>
  <c r="CB17" i="734"/>
  <c r="AY61" i="734"/>
  <c r="D56" i="734"/>
  <c r="L55" i="734"/>
  <c r="AY44" i="734"/>
  <c r="BA48" i="734"/>
  <c r="AU46" i="734"/>
  <c r="AS39" i="734"/>
  <c r="S26" i="734"/>
  <c r="AY23" i="734"/>
  <c r="AX19" i="734"/>
  <c r="F15" i="734"/>
  <c r="B11" i="734"/>
  <c r="AX43" i="734"/>
  <c r="BS25" i="734"/>
  <c r="CB22" i="734"/>
  <c r="BT16" i="734"/>
  <c r="BT10" i="734"/>
  <c r="AF33" i="734"/>
  <c r="AE46" i="734"/>
  <c r="BT27" i="734"/>
  <c r="AA25" i="734"/>
  <c r="AN21" i="734"/>
  <c r="D17" i="734"/>
  <c r="AN11" i="734"/>
  <c r="AU27" i="734"/>
  <c r="AA20" i="734"/>
  <c r="BO14" i="734"/>
  <c r="AY19" i="734"/>
  <c r="AE14" i="734"/>
  <c r="AY17" i="734"/>
  <c r="BS10" i="734"/>
  <c r="D61" i="734"/>
  <c r="AA58" i="734"/>
  <c r="BW59" i="734"/>
  <c r="BE48" i="734"/>
  <c r="S45" i="734"/>
  <c r="S42" i="734"/>
  <c r="BJ45" i="734"/>
  <c r="AE39" i="734"/>
  <c r="C26" i="734"/>
  <c r="AI23" i="734"/>
  <c r="F19" i="734"/>
  <c r="B15" i="734"/>
  <c r="BB10" i="734"/>
  <c r="B43" i="734"/>
  <c r="AX25" i="734"/>
  <c r="AV22" i="734"/>
  <c r="AF16" i="734"/>
  <c r="AV10" i="734"/>
  <c r="E33" i="734"/>
  <c r="AU45" i="734"/>
  <c r="BB27" i="734"/>
  <c r="L21" i="734"/>
  <c r="CB16" i="734"/>
  <c r="AF11" i="734"/>
  <c r="AU26" i="734"/>
  <c r="BY20" i="734"/>
  <c r="AY14" i="734"/>
  <c r="AI19" i="734"/>
  <c r="C14" i="734"/>
  <c r="S17" i="734"/>
  <c r="BO62" i="734"/>
  <c r="L56" i="734"/>
  <c r="E52" i="734"/>
  <c r="AX46" i="734"/>
  <c r="C39" i="734"/>
  <c r="S23" i="734"/>
  <c r="BB14" i="734"/>
  <c r="AF22" i="734"/>
  <c r="AF10" i="734"/>
  <c r="BY44" i="734"/>
  <c r="BY25" i="734"/>
  <c r="AV16" i="734"/>
  <c r="D26" i="734"/>
  <c r="AI14" i="734"/>
  <c r="BW13" i="734"/>
  <c r="K10" i="734"/>
  <c r="BY22" i="734"/>
  <c r="AY16" i="734"/>
  <c r="AE61" i="734"/>
  <c r="BS62" i="734"/>
  <c r="AF62" i="734"/>
  <c r="BA58" i="734"/>
  <c r="AF56" i="734"/>
  <c r="AA62" i="734"/>
  <c r="E59" i="734"/>
  <c r="L57" i="734"/>
  <c r="BW44" i="734"/>
  <c r="AY42" i="734"/>
  <c r="BY42" i="734"/>
  <c r="C43" i="734"/>
  <c r="BA36" i="734"/>
  <c r="AN26" i="734"/>
  <c r="AN24" i="734"/>
  <c r="B22" i="734"/>
  <c r="BJ18" i="734"/>
  <c r="BB15" i="734"/>
  <c r="AX12" i="734"/>
  <c r="AF14" i="734"/>
  <c r="BS39" i="734"/>
  <c r="L25" i="734"/>
  <c r="BT18" i="734"/>
  <c r="AN14" i="734"/>
  <c r="L10" i="734"/>
  <c r="CB35" i="734"/>
  <c r="AE25" i="734"/>
  <c r="BA39" i="734"/>
  <c r="AF27" i="734"/>
  <c r="AV25" i="734"/>
  <c r="AA23" i="734"/>
  <c r="AN19" i="734"/>
  <c r="L61" i="734"/>
  <c r="AS64" i="734"/>
  <c r="AI57" i="734"/>
  <c r="BO57" i="734"/>
  <c r="S46" i="734"/>
  <c r="F43" i="734"/>
  <c r="BS42" i="734"/>
  <c r="AU44" i="734"/>
  <c r="AY27" i="734"/>
  <c r="BO24" i="734"/>
  <c r="BB21" i="734"/>
  <c r="AX17" i="734"/>
  <c r="B13" i="734"/>
  <c r="L13" i="734"/>
  <c r="CB27" i="734"/>
  <c r="BS23" i="734"/>
  <c r="D20" i="734"/>
  <c r="CB13" i="734"/>
  <c r="C45" i="734"/>
  <c r="D27" i="734"/>
  <c r="BW39" i="734"/>
  <c r="AV26" i="734"/>
  <c r="BY24" i="734"/>
  <c r="L19" i="734"/>
  <c r="AV14" i="734"/>
  <c r="E37" i="734"/>
  <c r="BO22" i="734"/>
  <c r="AU17" i="734"/>
  <c r="AA12" i="734"/>
  <c r="BY17" i="734"/>
  <c r="AY11" i="734"/>
  <c r="BO13" i="734"/>
  <c r="AU62" i="734"/>
  <c r="AA61" i="734"/>
  <c r="CB56" i="734"/>
  <c r="AV61" i="734"/>
  <c r="AS53" i="734"/>
  <c r="AY43" i="734"/>
  <c r="BJ42" i="734"/>
  <c r="BB43" i="734"/>
  <c r="AI27" i="734"/>
  <c r="BJ24" i="734"/>
  <c r="AX21" i="734"/>
  <c r="B17" i="734"/>
  <c r="BJ12" i="734"/>
  <c r="AN12" i="734"/>
  <c r="BU27" i="734"/>
  <c r="AR23" i="734"/>
  <c r="CB19" i="734"/>
  <c r="BT13" i="734"/>
  <c r="AX44" i="734"/>
  <c r="AE26" i="734"/>
  <c r="BE37" i="734"/>
  <c r="AA26" i="734"/>
  <c r="BW23" i="734"/>
  <c r="D19" i="734"/>
  <c r="D14" i="734"/>
  <c r="BE36" i="734"/>
  <c r="AY22" i="734"/>
  <c r="AE17" i="734"/>
  <c r="BY12" i="734"/>
  <c r="BS16" i="734"/>
  <c r="AI11" i="734"/>
  <c r="AI13" i="734"/>
  <c r="AV62" i="734"/>
  <c r="AA59" i="734"/>
  <c r="F44" i="734"/>
  <c r="AX45" i="734"/>
  <c r="BO25" i="734"/>
  <c r="B19" i="734"/>
  <c r="AX10" i="734"/>
  <c r="AR25" i="734"/>
  <c r="D16" i="734"/>
  <c r="F32" i="734"/>
  <c r="AV27" i="734"/>
  <c r="CB20" i="734"/>
  <c r="CB10" i="734"/>
  <c r="BS19" i="734"/>
  <c r="S19" i="734"/>
  <c r="AU16" i="734"/>
  <c r="AE19" i="734"/>
  <c r="BY14" i="734"/>
  <c r="AU12" i="734"/>
  <c r="L48" i="734"/>
  <c r="AU42" i="734"/>
  <c r="AX13" i="734"/>
  <c r="AN17" i="734"/>
  <c r="BT21" i="734"/>
  <c r="BW12" i="734"/>
  <c r="AU19" i="734"/>
  <c r="BW19" i="734"/>
  <c r="AR61" i="734"/>
  <c r="D62" i="734"/>
  <c r="E53" i="734"/>
  <c r="AW55" i="734"/>
  <c r="AA44" i="734"/>
  <c r="AS51" i="734"/>
  <c r="AF32" i="734"/>
  <c r="BT23" i="734"/>
  <c r="B18" i="734"/>
  <c r="BB11" i="734"/>
  <c r="AX27" i="734"/>
  <c r="AN22" i="734"/>
  <c r="AV13" i="734"/>
  <c r="BE32" i="734"/>
  <c r="F37" i="734"/>
  <c r="F25" i="734"/>
  <c r="CB18" i="734"/>
  <c r="AN57" i="734"/>
  <c r="BY55" i="734"/>
  <c r="AA42" i="734"/>
  <c r="B42" i="734"/>
  <c r="S24" i="734"/>
  <c r="F16" i="734"/>
  <c r="D10" i="734"/>
  <c r="CB23" i="734"/>
  <c r="AR12" i="734"/>
  <c r="BU58" i="734"/>
  <c r="CB25" i="734"/>
  <c r="D18" i="734"/>
  <c r="CB31" i="734"/>
  <c r="AA16" i="734"/>
  <c r="AY15" i="734"/>
  <c r="C12" i="734"/>
  <c r="CB58" i="734"/>
  <c r="D58" i="734"/>
  <c r="BW42" i="734"/>
  <c r="C24" i="734"/>
  <c r="B16" i="734"/>
  <c r="BY50" i="734"/>
  <c r="AV23" i="734"/>
  <c r="D12" i="734"/>
  <c r="AR48" i="734"/>
  <c r="BW25" i="734"/>
  <c r="AR17" i="734"/>
  <c r="AF29" i="734"/>
  <c r="BY16" i="734"/>
  <c r="AI15" i="734"/>
  <c r="BW11" i="734"/>
  <c r="BT61" i="734"/>
  <c r="BB42" i="734"/>
  <c r="BJ16" i="734"/>
  <c r="L23" i="734"/>
  <c r="AU25" i="734"/>
  <c r="AR18" i="734"/>
  <c r="C17" i="734"/>
  <c r="S13" i="734"/>
  <c r="BY18" i="734"/>
  <c r="BY10" i="734"/>
  <c r="AX9" i="734"/>
  <c r="C44" i="734"/>
  <c r="AN13" i="734"/>
  <c r="BB46" i="734"/>
  <c r="S18" i="734"/>
  <c r="AU15" i="734"/>
  <c r="AE62" i="734"/>
  <c r="AF61" i="734"/>
  <c r="E56" i="734"/>
  <c r="BA53" i="734"/>
  <c r="AE42" i="734"/>
  <c r="AI24" i="734"/>
  <c r="BB16" i="734"/>
  <c r="AN10" i="734"/>
  <c r="D22" i="734"/>
  <c r="BT54" i="734"/>
  <c r="CB24" i="734"/>
  <c r="AN16" i="734"/>
  <c r="D25" i="734"/>
  <c r="S14" i="734"/>
  <c r="AA13" i="734"/>
  <c r="AU22" i="734"/>
  <c r="BS21" i="734"/>
  <c r="AI16" i="734"/>
  <c r="C11" i="734"/>
  <c r="BY19" i="734"/>
  <c r="AA11" i="734"/>
  <c r="AF20" i="734"/>
  <c r="C22" i="734"/>
  <c r="AY13" i="734"/>
  <c r="AR63" i="734"/>
  <c r="BU55" i="734"/>
  <c r="E51" i="734"/>
  <c r="BS41" i="734"/>
  <c r="BO23" i="734"/>
  <c r="BJ15" i="734"/>
  <c r="C46" i="734"/>
  <c r="AF23" i="734"/>
  <c r="CB11" i="734"/>
  <c r="AV32" i="734"/>
  <c r="CB21" i="734"/>
  <c r="AF12" i="734"/>
  <c r="C21" i="734"/>
  <c r="AI10" i="734"/>
  <c r="BY15" i="734"/>
  <c r="BW22" i="734"/>
  <c r="AE23" i="734"/>
  <c r="BA64" i="734"/>
  <c r="D55" i="734"/>
  <c r="BJ27" i="734"/>
  <c r="AX15" i="734"/>
  <c r="BY23" i="734"/>
  <c r="BY27" i="734"/>
  <c r="AF19" i="734"/>
  <c r="BW20" i="734"/>
  <c r="BS18" i="734"/>
  <c r="BO20" i="734"/>
  <c r="BO17" i="734"/>
  <c r="C61" i="734"/>
  <c r="BY57" i="734"/>
  <c r="D48" i="734"/>
  <c r="S43" i="734"/>
  <c r="BB44" i="734"/>
  <c r="BT26" i="734"/>
  <c r="BJ22" i="734"/>
  <c r="AX16" i="734"/>
  <c r="B10" i="734"/>
  <c r="B26" i="734"/>
  <c r="L20" i="734"/>
  <c r="D11" i="734"/>
  <c r="AE27" i="734"/>
  <c r="F29" i="734"/>
  <c r="F24" i="734"/>
  <c r="AY62" i="734"/>
  <c r="B63" i="734"/>
  <c r="E48" i="734"/>
  <c r="BB45" i="734"/>
  <c r="E36" i="734"/>
  <c r="BB22" i="734"/>
  <c r="F14" i="734"/>
  <c r="BA40" i="734"/>
  <c r="AV21" i="734"/>
  <c r="BY53" i="734"/>
  <c r="C41" i="734"/>
  <c r="BW24" i="734"/>
  <c r="CB15" i="734"/>
  <c r="AU24" i="734"/>
  <c r="AU13" i="734"/>
  <c r="BY13" i="734"/>
  <c r="CB62" i="734"/>
  <c r="C62" i="734"/>
  <c r="AN61" i="734"/>
  <c r="BA32" i="734"/>
  <c r="AX22" i="734"/>
  <c r="BJ13" i="734"/>
  <c r="D21" i="734"/>
  <c r="AW52" i="734"/>
  <c r="AX40" i="734"/>
  <c r="AF24" i="734"/>
  <c r="BT15" i="734"/>
  <c r="AE24" i="734"/>
  <c r="AE13" i="734"/>
  <c r="BS12" i="734"/>
  <c r="BS61" i="734"/>
  <c r="AY45" i="734"/>
  <c r="S27" i="734"/>
  <c r="BB12" i="734"/>
  <c r="AR19" i="734"/>
  <c r="CB36" i="734"/>
  <c r="AR13" i="734"/>
  <c r="BS11" i="734"/>
  <c r="BW21" i="734"/>
  <c r="AE15" i="734"/>
  <c r="S21" i="734"/>
  <c r="S15" i="734"/>
  <c r="AV56" i="734"/>
  <c r="BS40" i="734"/>
  <c r="B39" i="734"/>
  <c r="BB26" i="734"/>
  <c r="BO11" i="734"/>
  <c r="AA14" i="734"/>
  <c r="AU61" i="734"/>
  <c r="BT57" i="734"/>
  <c r="AI46" i="734"/>
  <c r="BY46" i="734"/>
  <c r="AF36" i="734"/>
  <c r="C23" i="734"/>
  <c r="AX14" i="734"/>
  <c r="L27" i="734"/>
  <c r="AV18" i="734"/>
  <c r="C42" i="734"/>
  <c r="AV36" i="734"/>
  <c r="F23" i="734"/>
  <c r="AF13" i="734"/>
  <c r="S22" i="734"/>
  <c r="AU10" i="734"/>
  <c r="AA21" i="734"/>
  <c r="AI20" i="734"/>
  <c r="C15" i="734"/>
  <c r="BS38" i="734"/>
  <c r="AE16" i="734"/>
  <c r="BW14" i="734"/>
  <c r="BE29" i="734"/>
  <c r="AA18" i="734"/>
  <c r="S61" i="734"/>
  <c r="AA46" i="734"/>
  <c r="B45" i="734"/>
  <c r="E32" i="734"/>
  <c r="F22" i="734"/>
  <c r="BB13" i="734"/>
  <c r="BW40" i="734"/>
  <c r="AR20" i="734"/>
  <c r="BY48" i="734"/>
  <c r="BW26" i="734"/>
  <c r="AV19" i="734"/>
  <c r="BA37" i="734"/>
  <c r="AI18" i="734"/>
  <c r="BW17" i="734"/>
  <c r="AE22" i="734"/>
  <c r="S16" i="734"/>
  <c r="AY21" i="734"/>
  <c r="E58" i="734"/>
  <c r="BO45" i="734"/>
  <c r="AI26" i="734"/>
  <c r="F11" i="734"/>
  <c r="L14" i="734"/>
  <c r="L17" i="734"/>
  <c r="BS14" i="734"/>
  <c r="BO16" i="734"/>
  <c r="BJ61" i="734"/>
  <c r="AY46" i="734"/>
  <c r="F42" i="734"/>
  <c r="AE43" i="734"/>
  <c r="BT25" i="734"/>
  <c r="F21" i="734"/>
  <c r="BJ14" i="734"/>
  <c r="AR11" i="734"/>
  <c r="AR24" i="734"/>
  <c r="BT17" i="734"/>
  <c r="L50" i="734"/>
  <c r="AW47" i="734"/>
  <c r="CB26" i="734"/>
  <c r="L22" i="734"/>
  <c r="AR62" i="734"/>
  <c r="CB61" i="734"/>
  <c r="AA45" i="734"/>
  <c r="CB54" i="734"/>
  <c r="BO26" i="734"/>
  <c r="BB20" i="734"/>
  <c r="B12" i="734"/>
  <c r="B27" i="734"/>
  <c r="AN18" i="734"/>
  <c r="AS40" i="734"/>
  <c r="BE33" i="734"/>
  <c r="BT22" i="734"/>
  <c r="CB12" i="734"/>
  <c r="AU21" i="734"/>
  <c r="BO10" i="734"/>
  <c r="AE10" i="734"/>
  <c r="BJ62" i="734"/>
  <c r="AR53" i="734"/>
  <c r="BW45" i="734"/>
  <c r="BA52" i="734"/>
  <c r="BJ26" i="734"/>
  <c r="F20" i="734"/>
  <c r="BJ11" i="734"/>
  <c r="AX26" i="734"/>
  <c r="AF18" i="734"/>
  <c r="C40" i="734"/>
  <c r="CB32" i="734"/>
  <c r="AR22" i="734"/>
  <c r="AV12" i="734"/>
  <c r="AE21" i="734"/>
  <c r="AY10" i="734"/>
  <c r="C10" i="734"/>
  <c r="BW61" i="734"/>
  <c r="AI42" i="734"/>
  <c r="AY24" i="734"/>
  <c r="L11" i="734"/>
  <c r="D13" i="734"/>
  <c r="F36" i="734"/>
  <c r="CB29" i="734"/>
  <c r="AY12" i="734"/>
  <c r="AA19" i="734"/>
  <c r="AW51" i="734"/>
  <c r="C25" i="734"/>
  <c r="B24" i="734"/>
  <c r="AN15" i="734"/>
  <c r="BY11" i="734"/>
  <c r="AA10" i="734"/>
  <c r="BO61" i="734"/>
  <c r="AE58" i="734"/>
  <c r="F45" i="734"/>
  <c r="BE55" i="734"/>
  <c r="C27" i="734"/>
  <c r="BJ20" i="734"/>
  <c r="F12" i="734"/>
  <c r="B25" i="734"/>
  <c r="AR15" i="734"/>
  <c r="AV31" i="734"/>
  <c r="AA27" i="734"/>
  <c r="BT20" i="734"/>
  <c r="AR10" i="734"/>
  <c r="AU18" i="734"/>
  <c r="C16" i="734"/>
  <c r="BO19" i="734"/>
  <c r="C19" i="734"/>
  <c r="BS13" i="734"/>
  <c r="BO21" i="734"/>
  <c r="AN9" i="734"/>
  <c r="BT11" i="734"/>
  <c r="BO12" i="734"/>
  <c r="AV58" i="734"/>
  <c r="AY57" i="734"/>
  <c r="BO44" i="734"/>
  <c r="BA51" i="734"/>
  <c r="AY26" i="734"/>
  <c r="B20" i="734"/>
  <c r="AX11" i="734"/>
  <c r="AR26" i="734"/>
  <c r="AV17" i="734"/>
  <c r="F28" i="734"/>
  <c r="BB25" i="734"/>
  <c r="AF17" i="734"/>
  <c r="BE28" i="734"/>
  <c r="BS15" i="734"/>
  <c r="BY21" i="734"/>
  <c r="S20" i="734"/>
  <c r="S12" i="734"/>
  <c r="C20" i="734"/>
  <c r="BA59" i="734"/>
  <c r="BO42" i="734"/>
  <c r="BJ23" i="734"/>
  <c r="BJ44" i="734"/>
  <c r="AV11" i="734"/>
  <c r="AF25" i="734"/>
  <c r="AF37" i="734"/>
  <c r="AA17" i="734"/>
  <c r="BS20" i="734"/>
  <c r="AU11" i="734"/>
  <c r="AU58" i="734"/>
  <c r="BT56" i="734"/>
  <c r="AI45" i="734"/>
  <c r="AU43" i="734"/>
  <c r="B40" i="734"/>
  <c r="BT24" i="734"/>
  <c r="BB19" i="734"/>
  <c r="F13" i="734"/>
  <c r="BS43" i="734"/>
  <c r="BB24" i="734"/>
  <c r="AF15" i="734"/>
  <c r="B41" i="734"/>
  <c r="BY43" i="734"/>
  <c r="BY26" i="734"/>
  <c r="AV20" i="734"/>
  <c r="AF58" i="734"/>
  <c r="AN56" i="734"/>
  <c r="BW43" i="734"/>
  <c r="AE44" i="734"/>
  <c r="AY25" i="734"/>
  <c r="AX18" i="734"/>
  <c r="L16" i="734"/>
  <c r="BS24" i="734"/>
  <c r="D15" i="734"/>
  <c r="BA29" i="734"/>
  <c r="AN20" i="734"/>
  <c r="AE40" i="734"/>
  <c r="BO18" i="734"/>
  <c r="AE18" i="734"/>
  <c r="BW15" i="734"/>
  <c r="L62" i="734"/>
  <c r="D57" i="734"/>
  <c r="AI44" i="734"/>
  <c r="AI25" i="734"/>
  <c r="F18" i="734"/>
  <c r="L15" i="734"/>
  <c r="AX24" i="734"/>
  <c r="CB14" i="734"/>
  <c r="AF28" i="734"/>
  <c r="F27" i="734"/>
  <c r="BT19" i="734"/>
  <c r="AX39" i="734"/>
  <c r="AY18" i="734"/>
  <c r="C18" i="734"/>
  <c r="AA15" i="734"/>
  <c r="AF59" i="734"/>
  <c r="AX42" i="734"/>
  <c r="B21" i="734"/>
  <c r="AR27" i="734"/>
  <c r="BJ43" i="734"/>
  <c r="BB23" i="734"/>
  <c r="AI22" i="734"/>
  <c r="S11" i="734"/>
  <c r="AY20" i="734"/>
  <c r="AE11" i="734"/>
  <c r="AI17" i="734"/>
  <c r="BW62" i="734"/>
  <c r="S44" i="734"/>
  <c r="BJ21" i="734"/>
  <c r="AN28" i="734"/>
  <c r="CB33" i="734"/>
  <c r="AW9" i="734"/>
  <c r="BW58" i="734"/>
  <c r="AS57" i="734"/>
  <c r="AI43" i="734"/>
  <c r="BY45" i="734"/>
  <c r="BJ25" i="734"/>
  <c r="BB18" i="734"/>
  <c r="F10" i="734"/>
  <c r="B23" i="734"/>
  <c r="BT12" i="734"/>
  <c r="BT62" i="734"/>
  <c r="F26" i="734"/>
  <c r="L18" i="734"/>
  <c r="AV35" i="734"/>
  <c r="BW16" i="734"/>
  <c r="BO15" i="734"/>
  <c r="AE12" i="734"/>
  <c r="D23" i="734"/>
  <c r="BS17" i="734"/>
  <c r="AI12" i="734"/>
  <c r="AE20" i="734"/>
  <c r="AY9" i="734"/>
  <c r="BB17" i="734"/>
  <c r="S10" i="734"/>
  <c r="AI21" i="734"/>
  <c r="CB59" i="734"/>
  <c r="AW48" i="734"/>
  <c r="AA43" i="734"/>
  <c r="B44" i="734"/>
  <c r="S25" i="734"/>
  <c r="BJ17" i="734"/>
  <c r="AR14" i="734"/>
  <c r="L24" i="734"/>
  <c r="BT14" i="734"/>
  <c r="CB46" i="734"/>
  <c r="AA24" i="734"/>
  <c r="AV15" i="734"/>
  <c r="D24" i="734"/>
  <c r="C13" i="734"/>
  <c r="AU20" i="734"/>
  <c r="CB37" i="734"/>
  <c r="BW18" i="734"/>
  <c r="BW10" i="734"/>
  <c r="AV9" i="734"/>
  <c r="AV59" i="734"/>
  <c r="AS48" i="734"/>
  <c r="BJ19" i="734"/>
  <c r="L26" i="734"/>
  <c r="BA33" i="734"/>
  <c r="AU23" i="734"/>
  <c r="AU14" i="734"/>
  <c r="AA22" i="734"/>
  <c r="BS22" i="734"/>
  <c r="C30" i="734"/>
  <c r="AY31" i="734"/>
  <c r="BB49" i="734"/>
  <c r="S38" i="734"/>
  <c r="BA18" i="734"/>
  <c r="E35" i="734"/>
  <c r="BT65" i="734"/>
  <c r="BW33" i="734"/>
  <c r="AS24" i="734"/>
  <c r="AV39" i="734"/>
  <c r="BW54" i="734"/>
  <c r="AF46" i="734"/>
  <c r="BA43" i="734"/>
  <c r="C53" i="734"/>
  <c r="BJ56" i="734"/>
  <c r="BT55" i="734"/>
  <c r="AW58" i="734"/>
  <c r="F64" i="734"/>
  <c r="AW11" i="734"/>
  <c r="E31" i="734"/>
  <c r="BB47" i="734"/>
  <c r="CB30" i="734"/>
  <c r="BE25" i="734"/>
  <c r="BY39" i="734"/>
  <c r="E54" i="734"/>
  <c r="BT48" i="734"/>
  <c r="AU51" i="734"/>
  <c r="D53" i="734"/>
  <c r="AI55" i="734"/>
  <c r="BA57" i="734"/>
  <c r="B64" i="734"/>
  <c r="AF34" i="734"/>
  <c r="F30" i="734"/>
  <c r="AA33" i="734"/>
  <c r="D41" i="734"/>
  <c r="AS46" i="734"/>
  <c r="BS59" i="734"/>
  <c r="BW30" i="734"/>
  <c r="AW28" i="734"/>
  <c r="BO49" i="734"/>
  <c r="BE52" i="734"/>
  <c r="L31" i="734"/>
  <c r="AY32" i="734"/>
  <c r="L37" i="734"/>
  <c r="AW30" i="734"/>
  <c r="C31" i="734"/>
  <c r="AW49" i="734"/>
  <c r="BW38" i="734"/>
  <c r="BU19" i="734"/>
  <c r="AI36" i="734"/>
  <c r="BS65" i="734"/>
  <c r="S33" i="734"/>
  <c r="BA25" i="734"/>
  <c r="BJ39" i="734"/>
  <c r="S54" i="734"/>
  <c r="AY48" i="734"/>
  <c r="BU44" i="734"/>
  <c r="AV53" i="734"/>
  <c r="BA56" i="734"/>
  <c r="L66" i="734"/>
  <c r="BO59" i="734"/>
  <c r="BB61" i="734"/>
  <c r="AW13" i="734"/>
  <c r="AI32" i="734"/>
  <c r="BY47" i="734"/>
  <c r="AI33" i="734"/>
  <c r="BW27" i="734"/>
  <c r="D40" i="734"/>
  <c r="AV54" i="734"/>
  <c r="AF52" i="734"/>
  <c r="BJ51" i="734"/>
  <c r="BS56" i="734"/>
  <c r="BB55" i="734"/>
  <c r="BS58" i="734"/>
  <c r="B62" i="734"/>
  <c r="C35" i="734"/>
  <c r="BU13" i="734"/>
  <c r="AU47" i="734"/>
  <c r="AA37" i="734"/>
  <c r="AW40" i="734"/>
  <c r="AN52" i="734"/>
  <c r="BE68" i="734"/>
  <c r="BE57" i="734"/>
  <c r="BE63" i="734"/>
  <c r="AE36" i="734"/>
  <c r="S37" i="734"/>
  <c r="BO41" i="734"/>
  <c r="AW44" i="734"/>
  <c r="AF67" i="734"/>
  <c r="AS61" i="734"/>
  <c r="AA60" i="734"/>
  <c r="AX65" i="734"/>
  <c r="BE50" i="734"/>
  <c r="C56" i="734"/>
  <c r="AU34" i="734"/>
  <c r="AW31" i="734"/>
  <c r="BT49" i="734"/>
  <c r="BA10" i="734"/>
  <c r="AS21" i="734"/>
  <c r="BT36" i="734"/>
  <c r="AN33" i="734"/>
  <c r="BU26" i="734"/>
  <c r="AW39" i="734"/>
  <c r="B54" i="734"/>
  <c r="C48" i="734"/>
  <c r="BS46" i="734"/>
  <c r="AR68" i="734"/>
  <c r="AN67" i="734"/>
  <c r="AE66" i="734"/>
  <c r="AI58" i="734"/>
  <c r="AV63" i="734"/>
  <c r="BE14" i="734"/>
  <c r="BT32" i="734"/>
  <c r="B47" i="734"/>
  <c r="BT33" i="734"/>
  <c r="F39" i="734"/>
  <c r="E40" i="734"/>
  <c r="CB42" i="734"/>
  <c r="AE52" i="734"/>
  <c r="BW53" i="734"/>
  <c r="CB55" i="734"/>
  <c r="BT59" i="734"/>
  <c r="BT63" i="734"/>
  <c r="BY49" i="734"/>
  <c r="AU36" i="734"/>
  <c r="BB37" i="734"/>
  <c r="AS54" i="734"/>
  <c r="AS68" i="734"/>
  <c r="D59" i="734"/>
  <c r="AN30" i="734"/>
  <c r="S31" i="734"/>
  <c r="L49" i="734"/>
  <c r="BU28" i="734"/>
  <c r="BE49" i="734"/>
  <c r="AR36" i="734"/>
  <c r="AF50" i="734"/>
  <c r="BY34" i="734"/>
  <c r="BA34" i="734"/>
  <c r="BE60" i="734"/>
  <c r="BU11" i="734"/>
  <c r="BA22" i="734"/>
  <c r="B36" i="734"/>
  <c r="E65" i="734"/>
  <c r="BU33" i="734"/>
  <c r="BE27" i="734"/>
  <c r="L40" i="734"/>
  <c r="AW54" i="734"/>
  <c r="AV48" i="734"/>
  <c r="BU46" i="734"/>
  <c r="AY68" i="734"/>
  <c r="AU67" i="734"/>
  <c r="BJ66" i="734"/>
  <c r="AE59" i="734"/>
  <c r="BO63" i="734"/>
  <c r="E16" i="734"/>
  <c r="B32" i="734"/>
  <c r="L65" i="734"/>
  <c r="AV34" i="734"/>
  <c r="AR50" i="734"/>
  <c r="BA41" i="734"/>
  <c r="AN44" i="734"/>
  <c r="AW42" i="734"/>
  <c r="BJ53" i="734"/>
  <c r="BY56" i="734"/>
  <c r="AY66" i="734"/>
  <c r="BS57" i="734"/>
  <c r="AA63" i="734"/>
  <c r="AS30" i="734"/>
  <c r="AR49" i="734"/>
  <c r="AS19" i="734"/>
  <c r="AR34" i="734"/>
  <c r="AA35" i="734"/>
  <c r="BO60" i="734"/>
  <c r="AS13" i="734"/>
  <c r="BE30" i="734"/>
  <c r="BW47" i="734"/>
  <c r="L28" i="734"/>
  <c r="AY37" i="734"/>
  <c r="AX41" i="734"/>
  <c r="S40" i="734"/>
  <c r="AF42" i="734"/>
  <c r="BU52" i="734"/>
  <c r="D51" i="734"/>
  <c r="C68" i="734"/>
  <c r="AX67" i="734"/>
  <c r="AX57" i="734"/>
  <c r="BE61" i="734"/>
  <c r="AX63" i="734"/>
  <c r="E18" i="734"/>
  <c r="AF35" i="734"/>
  <c r="BU65" i="734"/>
  <c r="AU37" i="734"/>
  <c r="AI50" i="734"/>
  <c r="AF41" i="734"/>
  <c r="AN45" i="734"/>
  <c r="BE43" i="734"/>
  <c r="BT53" i="734"/>
  <c r="BT67" i="734"/>
  <c r="C66" i="734"/>
  <c r="AU59" i="734"/>
  <c r="F63" i="734"/>
  <c r="E11" i="734"/>
  <c r="AF47" i="734"/>
  <c r="BA27" i="734"/>
  <c r="AV45" i="734"/>
  <c r="D67" i="734"/>
  <c r="AX62" i="734"/>
  <c r="BU31" i="734"/>
  <c r="BA60" i="734"/>
  <c r="AX29" i="734"/>
  <c r="BU64" i="734"/>
  <c r="AR38" i="734"/>
  <c r="AU65" i="734"/>
  <c r="AY28" i="734"/>
  <c r="AS35" i="734"/>
  <c r="AN60" i="734"/>
  <c r="BA14" i="734"/>
  <c r="AU32" i="734"/>
  <c r="S47" i="734"/>
  <c r="AI29" i="734"/>
  <c r="C37" i="734"/>
  <c r="BW50" i="734"/>
  <c r="BE41" i="734"/>
  <c r="AF43" i="734"/>
  <c r="CB52" i="734"/>
  <c r="AA51" i="734"/>
  <c r="BB68" i="734"/>
  <c r="B67" i="734"/>
  <c r="AX59" i="734"/>
  <c r="BU62" i="734"/>
  <c r="CB64" i="734"/>
  <c r="AW19" i="734"/>
  <c r="AX36" i="734"/>
  <c r="AS65" i="734"/>
  <c r="AN37" i="734"/>
  <c r="BB50" i="734"/>
  <c r="BB41" i="734"/>
  <c r="AN46" i="734"/>
  <c r="E45" i="734"/>
  <c r="AN68" i="734"/>
  <c r="BS67" i="734"/>
  <c r="BB66" i="734"/>
  <c r="BU61" i="734"/>
  <c r="AA34" i="734"/>
  <c r="BA38" i="734"/>
  <c r="D60" i="734"/>
  <c r="BW32" i="734"/>
  <c r="BS29" i="734"/>
  <c r="AV50" i="734"/>
  <c r="BT42" i="734"/>
  <c r="AY51" i="734"/>
  <c r="AW67" i="734"/>
  <c r="AS62" i="734"/>
  <c r="BE18" i="734"/>
  <c r="BJ65" i="734"/>
  <c r="CB45" i="734"/>
  <c r="CB68" i="734"/>
  <c r="BE66" i="734"/>
  <c r="BU63" i="734"/>
  <c r="AA32" i="734"/>
  <c r="BE24" i="734"/>
  <c r="BW52" i="734"/>
  <c r="C28" i="734"/>
  <c r="BJ35" i="734"/>
  <c r="AU60" i="734"/>
  <c r="BU15" i="734"/>
  <c r="BY32" i="734"/>
  <c r="BT47" i="734"/>
  <c r="BT29" i="734"/>
  <c r="AW37" i="734"/>
  <c r="S50" i="734"/>
  <c r="AN41" i="734"/>
  <c r="AF44" i="734"/>
  <c r="F51" i="734"/>
  <c r="BE53" i="734"/>
  <c r="AU55" i="734"/>
  <c r="B57" i="734"/>
  <c r="BO64" i="734"/>
  <c r="BE38" i="734"/>
  <c r="BE20" i="734"/>
  <c r="L36" i="734"/>
  <c r="BO29" i="734"/>
  <c r="BU37" i="734"/>
  <c r="AS50" i="734"/>
  <c r="AI54" i="734"/>
  <c r="AU48" i="734"/>
  <c r="BA46" i="734"/>
  <c r="AU68" i="734"/>
  <c r="F67" i="734"/>
  <c r="E57" i="734"/>
  <c r="BY62" i="734"/>
  <c r="AX28" i="734"/>
  <c r="E17" i="734"/>
  <c r="E28" i="734"/>
  <c r="AF39" i="734"/>
  <c r="AR52" i="734"/>
  <c r="BT66" i="734"/>
  <c r="BW28" i="734"/>
  <c r="BY35" i="734"/>
  <c r="AE60" i="734"/>
  <c r="BJ41" i="734"/>
  <c r="AY34" i="734"/>
  <c r="E15" i="734"/>
  <c r="BE31" i="734"/>
  <c r="AY30" i="734"/>
  <c r="AV28" i="734"/>
  <c r="AI49" i="734"/>
  <c r="AN38" i="734"/>
  <c r="AS17" i="734"/>
  <c r="AR32" i="734"/>
  <c r="D47" i="734"/>
  <c r="B29" i="734"/>
  <c r="BA49" i="734"/>
  <c r="B50" i="734"/>
  <c r="AA41" i="734"/>
  <c r="AF45" i="734"/>
  <c r="AS42" i="734"/>
  <c r="AY53" i="734"/>
  <c r="AU56" i="734"/>
  <c r="BJ55" i="734"/>
  <c r="BJ58" i="734"/>
  <c r="BB38" i="734"/>
  <c r="E22" i="734"/>
  <c r="BS47" i="734"/>
  <c r="BB29" i="734"/>
  <c r="BE23" i="734"/>
  <c r="D39" i="734"/>
  <c r="BB54" i="734"/>
  <c r="BJ48" i="734"/>
  <c r="AN51" i="734"/>
  <c r="AX68" i="734"/>
  <c r="BY67" i="734"/>
  <c r="F59" i="734"/>
  <c r="AE64" i="734"/>
  <c r="AE31" i="734"/>
  <c r="AA31" i="734"/>
  <c r="BY38" i="734"/>
  <c r="AU33" i="734"/>
  <c r="BT46" i="734"/>
  <c r="AV66" i="734"/>
  <c r="BS32" i="734"/>
  <c r="AR40" i="734"/>
  <c r="BU53" i="734"/>
  <c r="L35" i="734"/>
  <c r="F50" i="734"/>
  <c r="CB57" i="734"/>
  <c r="BS34" i="734"/>
  <c r="S35" i="734"/>
  <c r="E10" i="734"/>
  <c r="AR59" i="734"/>
  <c r="E13" i="734"/>
  <c r="E24" i="734"/>
  <c r="BW46" i="734"/>
  <c r="B35" i="734"/>
  <c r="L60" i="734"/>
  <c r="AS16" i="734"/>
  <c r="BB32" i="734"/>
  <c r="BE47" i="734"/>
  <c r="BJ29" i="734"/>
  <c r="BU23" i="734"/>
  <c r="AN39" i="734"/>
  <c r="AX54" i="734"/>
  <c r="BU45" i="734"/>
  <c r="BT68" i="734"/>
  <c r="L67" i="734"/>
  <c r="AW66" i="734"/>
  <c r="AS58" i="734"/>
  <c r="D64" i="734"/>
  <c r="AW34" i="734"/>
  <c r="BE13" i="734"/>
  <c r="AR29" i="734"/>
  <c r="AY54" i="734"/>
  <c r="AX53" i="734"/>
  <c r="AY58" i="734"/>
  <c r="F60" i="734"/>
  <c r="E27" i="734"/>
  <c r="AS52" i="734"/>
  <c r="AW64" i="734"/>
  <c r="D32" i="734"/>
  <c r="B33" i="734"/>
  <c r="BY40" i="734"/>
  <c r="F52" i="734"/>
  <c r="BB56" i="734"/>
  <c r="BJ49" i="734"/>
  <c r="F47" i="734"/>
  <c r="AS31" i="734"/>
  <c r="L38" i="734"/>
  <c r="BY33" i="734"/>
  <c r="S39" i="734"/>
  <c r="AA48" i="734"/>
  <c r="AR55" i="734"/>
  <c r="BO66" i="734"/>
  <c r="BB62" i="734"/>
  <c r="BE40" i="734"/>
  <c r="BT52" i="734"/>
  <c r="AI56" i="734"/>
  <c r="AN59" i="734"/>
  <c r="S49" i="734"/>
  <c r="C47" i="734"/>
  <c r="BT40" i="734"/>
  <c r="BO68" i="734"/>
  <c r="BY64" i="734"/>
  <c r="AU28" i="734"/>
  <c r="AX49" i="734"/>
  <c r="AE65" i="734"/>
  <c r="AS34" i="734"/>
  <c r="BW36" i="734"/>
  <c r="AI39" i="734"/>
  <c r="AN53" i="734"/>
  <c r="AY59" i="734"/>
  <c r="AI31" i="734"/>
  <c r="F49" i="734"/>
  <c r="AA38" i="734"/>
  <c r="BA19" i="734"/>
  <c r="AA36" i="734"/>
  <c r="AA65" i="734"/>
  <c r="BB33" i="734"/>
  <c r="BS27" i="734"/>
  <c r="BU40" i="734"/>
  <c r="AR42" i="734"/>
  <c r="AV52" i="734"/>
  <c r="BS51" i="734"/>
  <c r="F68" i="734"/>
  <c r="AS67" i="734"/>
  <c r="B59" i="734"/>
  <c r="BA62" i="734"/>
  <c r="L63" i="734"/>
  <c r="AX35" i="734"/>
  <c r="BA31" i="734"/>
  <c r="AW25" i="734"/>
  <c r="L45" i="734"/>
  <c r="AR56" i="734"/>
  <c r="L64" i="734"/>
  <c r="BJ31" i="734"/>
  <c r="BA16" i="734"/>
  <c r="D29" i="734"/>
  <c r="BT44" i="734"/>
  <c r="BW67" i="734"/>
  <c r="AE41" i="734"/>
  <c r="AE63" i="734"/>
  <c r="E43" i="734"/>
  <c r="BW65" i="734"/>
  <c r="AY56" i="734"/>
  <c r="BY28" i="734"/>
  <c r="BY37" i="734"/>
  <c r="AY47" i="734"/>
  <c r="AE68" i="734"/>
  <c r="D30" i="734"/>
  <c r="D49" i="734"/>
  <c r="BU20" i="734"/>
  <c r="BE65" i="734"/>
  <c r="AU39" i="734"/>
  <c r="AR43" i="734"/>
  <c r="AE55" i="734"/>
  <c r="BW64" i="734"/>
  <c r="B49" i="734"/>
  <c r="F41" i="734"/>
  <c r="BE67" i="734"/>
  <c r="AR60" i="734"/>
  <c r="AN54" i="734"/>
  <c r="BE10" i="734"/>
  <c r="BW51" i="734"/>
  <c r="AN29" i="734"/>
  <c r="C67" i="734"/>
  <c r="AU31" i="734"/>
  <c r="S41" i="734"/>
  <c r="AW65" i="734"/>
  <c r="F56" i="734"/>
  <c r="AE34" i="734"/>
  <c r="BY60" i="734"/>
  <c r="F34" i="734"/>
  <c r="BO33" i="734"/>
  <c r="AY39" i="734"/>
  <c r="AF48" i="734"/>
  <c r="BS68" i="734"/>
  <c r="BJ57" i="734"/>
  <c r="AU63" i="734"/>
  <c r="BE17" i="734"/>
  <c r="BE54" i="734"/>
  <c r="AS63" i="734"/>
  <c r="AV30" i="734"/>
  <c r="AI64" i="734"/>
  <c r="CB44" i="734"/>
  <c r="AA50" i="734"/>
  <c r="BU35" i="734"/>
  <c r="AR67" i="734"/>
  <c r="BU38" i="734"/>
  <c r="BT37" i="734"/>
  <c r="AI68" i="734"/>
  <c r="AY35" i="734"/>
  <c r="BS52" i="734"/>
  <c r="E39" i="734"/>
  <c r="AI40" i="734"/>
  <c r="BW35" i="734"/>
  <c r="S36" i="734"/>
  <c r="AW63" i="734"/>
  <c r="BU14" i="734"/>
  <c r="L33" i="734"/>
  <c r="L52" i="734"/>
  <c r="B53" i="734"/>
  <c r="D34" i="734"/>
  <c r="AE30" i="734"/>
  <c r="BU51" i="734"/>
  <c r="BS35" i="734"/>
  <c r="BA35" i="734"/>
  <c r="BO50" i="734"/>
  <c r="BT51" i="734"/>
  <c r="AE57" i="734"/>
  <c r="BJ34" i="734"/>
  <c r="AW45" i="734"/>
  <c r="AA68" i="734"/>
  <c r="AE37" i="734"/>
  <c r="BT38" i="734"/>
  <c r="BY52" i="734"/>
  <c r="BU49" i="734"/>
  <c r="AS29" i="734"/>
  <c r="BS48" i="734"/>
  <c r="BW49" i="734"/>
  <c r="S66" i="734"/>
  <c r="AR58" i="734"/>
  <c r="C32" i="734"/>
  <c r="S57" i="734"/>
  <c r="E44" i="734"/>
  <c r="BE16" i="734"/>
  <c r="BE44" i="734"/>
  <c r="CB43" i="734"/>
  <c r="AS18" i="734"/>
  <c r="CB40" i="734"/>
  <c r="AN66" i="734"/>
  <c r="AV37" i="734"/>
  <c r="AS66" i="734"/>
  <c r="B48" i="734"/>
  <c r="E49" i="734"/>
  <c r="BO40" i="734"/>
  <c r="BS28" i="734"/>
  <c r="AE32" i="734"/>
  <c r="AI51" i="734"/>
  <c r="BE21" i="734"/>
  <c r="BY31" i="734"/>
  <c r="AX60" i="734"/>
  <c r="AW60" i="734"/>
  <c r="D65" i="734"/>
  <c r="AY41" i="734"/>
  <c r="AW61" i="734"/>
  <c r="BE19" i="734"/>
  <c r="AW53" i="734"/>
  <c r="L29" i="734"/>
  <c r="B68" i="734"/>
  <c r="S58" i="734"/>
  <c r="AU38" i="734"/>
  <c r="AX38" i="734"/>
  <c r="BA44" i="734"/>
  <c r="F62" i="734"/>
  <c r="E68" i="734"/>
  <c r="L46" i="734"/>
  <c r="BU30" i="734"/>
  <c r="AI38" i="734"/>
  <c r="AW50" i="734"/>
  <c r="B38" i="734"/>
  <c r="B65" i="734"/>
  <c r="C50" i="734"/>
  <c r="BB31" i="734"/>
  <c r="AN47" i="734"/>
  <c r="E64" i="734"/>
  <c r="BU24" i="734"/>
  <c r="AS44" i="734"/>
  <c r="AI59" i="734"/>
  <c r="AV47" i="734"/>
  <c r="L54" i="734"/>
  <c r="AW16" i="734"/>
  <c r="L43" i="734"/>
  <c r="BS64" i="734"/>
  <c r="B34" i="734"/>
  <c r="AE49" i="734"/>
  <c r="AI47" i="734"/>
  <c r="BB30" i="734"/>
  <c r="AW32" i="734"/>
  <c r="BT39" i="734"/>
  <c r="AE53" i="734"/>
  <c r="F58" i="734"/>
  <c r="AI30" i="734"/>
  <c r="BS31" i="734"/>
  <c r="C49" i="734"/>
  <c r="AY38" i="734"/>
  <c r="BU18" i="734"/>
  <c r="AY36" i="734"/>
  <c r="AY65" i="734"/>
  <c r="AX33" i="734"/>
  <c r="BA26" i="734"/>
  <c r="AN40" i="734"/>
  <c r="D42" i="734"/>
  <c r="BJ52" i="734"/>
  <c r="AF51" i="734"/>
  <c r="BJ67" i="734"/>
  <c r="BJ59" i="734"/>
  <c r="BY61" i="734"/>
  <c r="BJ63" i="734"/>
  <c r="BO35" i="734"/>
  <c r="AW22" i="734"/>
  <c r="AW23" i="734"/>
  <c r="AV43" i="734"/>
  <c r="AA56" i="734"/>
  <c r="AX61" i="734"/>
  <c r="BU21" i="734"/>
  <c r="AV40" i="734"/>
  <c r="BW56" i="734"/>
  <c r="AW38" i="734"/>
  <c r="F38" i="734"/>
  <c r="E23" i="734"/>
  <c r="CB51" i="734"/>
  <c r="E67" i="734"/>
  <c r="BY63" i="734"/>
  <c r="AW12" i="734"/>
  <c r="AW35" i="734"/>
  <c r="AS15" i="734"/>
  <c r="BJ47" i="734"/>
  <c r="AS37" i="734"/>
  <c r="CB41" i="734"/>
  <c r="AI52" i="734"/>
  <c r="BA68" i="734"/>
  <c r="L59" i="734"/>
  <c r="BB36" i="734"/>
  <c r="AR37" i="734"/>
  <c r="BS54" i="734"/>
  <c r="BE45" i="734"/>
  <c r="AI67" i="734"/>
  <c r="AW62" i="734"/>
  <c r="D38" i="734"/>
  <c r="S29" i="734"/>
  <c r="AA54" i="734"/>
  <c r="BE56" i="734"/>
  <c r="BW31" i="734"/>
  <c r="B60" i="734"/>
  <c r="BE39" i="734"/>
  <c r="BB35" i="734"/>
  <c r="CB65" i="734"/>
  <c r="L44" i="734"/>
  <c r="BA55" i="734"/>
  <c r="AU64" i="734"/>
  <c r="BO34" i="734"/>
  <c r="B31" i="734"/>
  <c r="BB60" i="734"/>
  <c r="BA11" i="734"/>
  <c r="AS22" i="734"/>
  <c r="BJ36" i="734"/>
  <c r="BA65" i="734"/>
  <c r="AI37" i="734"/>
  <c r="CB50" i="734"/>
  <c r="AV41" i="734"/>
  <c r="AR44" i="734"/>
  <c r="C52" i="734"/>
  <c r="BE51" i="734"/>
  <c r="AS55" i="734"/>
  <c r="AN55" i="734"/>
  <c r="AX58" i="734"/>
  <c r="AA64" i="734"/>
  <c r="AS60" i="734"/>
  <c r="BU36" i="734"/>
  <c r="E50" i="734"/>
  <c r="E42" i="734"/>
  <c r="AA55" i="734"/>
  <c r="L9" i="734"/>
  <c r="BS49" i="734"/>
  <c r="AN32" i="734"/>
  <c r="BJ37" i="734"/>
  <c r="F48" i="734"/>
  <c r="S55" i="734"/>
  <c r="BU17" i="734"/>
  <c r="BU42" i="734"/>
  <c r="AV33" i="734"/>
  <c r="AW56" i="734"/>
  <c r="L47" i="734"/>
  <c r="AU57" i="734"/>
  <c r="AU35" i="734"/>
  <c r="D66" i="734"/>
  <c r="AX37" i="734"/>
  <c r="AF66" i="734"/>
  <c r="AI28" i="734"/>
  <c r="S60" i="734"/>
  <c r="AX32" i="734"/>
  <c r="AW29" i="734"/>
  <c r="CB39" i="734"/>
  <c r="AI48" i="734"/>
  <c r="CB53" i="734"/>
  <c r="AX66" i="734"/>
  <c r="AF63" i="734"/>
  <c r="BE11" i="734"/>
  <c r="AI41" i="734"/>
  <c r="C57" i="734"/>
  <c r="BJ28" i="734"/>
  <c r="AR51" i="734"/>
  <c r="BS55" i="734"/>
  <c r="BT50" i="734"/>
  <c r="AR57" i="734"/>
  <c r="AR35" i="734"/>
  <c r="BE64" i="734"/>
  <c r="BB39" i="734"/>
  <c r="BB59" i="734"/>
  <c r="AR28" i="734"/>
  <c r="AV38" i="734"/>
  <c r="AE38" i="734"/>
  <c r="L41" i="734"/>
  <c r="B52" i="734"/>
  <c r="BO56" i="734"/>
  <c r="L58" i="734"/>
  <c r="AA47" i="734"/>
  <c r="BA30" i="734"/>
  <c r="BU50" i="734"/>
  <c r="AA66" i="734"/>
  <c r="AN64" i="734"/>
  <c r="AS47" i="734"/>
  <c r="BO48" i="734"/>
  <c r="AW27" i="734"/>
  <c r="AF57" i="734"/>
  <c r="AI53" i="734"/>
  <c r="BU68" i="734"/>
  <c r="BO27" i="734"/>
  <c r="BO55" i="734"/>
  <c r="AW59" i="734"/>
  <c r="B55" i="734"/>
  <c r="CB48" i="734"/>
  <c r="AA39" i="734"/>
  <c r="BO37" i="734"/>
  <c r="D63" i="734"/>
  <c r="AS56" i="734"/>
  <c r="BS36" i="734"/>
  <c r="L39" i="734"/>
  <c r="F53" i="734"/>
  <c r="AV64" i="734"/>
  <c r="BS33" i="734"/>
  <c r="BO52" i="734"/>
  <c r="BB58" i="734"/>
  <c r="AS38" i="734"/>
  <c r="L51" i="734"/>
  <c r="CB28" i="734"/>
  <c r="BJ60" i="734"/>
  <c r="E25" i="734"/>
  <c r="AE35" i="734"/>
  <c r="CB47" i="734"/>
  <c r="AF54" i="734"/>
  <c r="BJ68" i="734"/>
  <c r="BE62" i="734"/>
  <c r="B30" i="734"/>
  <c r="D31" i="734"/>
  <c r="AN49" i="734"/>
  <c r="BU10" i="734"/>
  <c r="BA21" i="734"/>
  <c r="AW36" i="734"/>
  <c r="BB65" i="734"/>
  <c r="BS37" i="734"/>
  <c r="BB40" i="734"/>
  <c r="AW41" i="734"/>
  <c r="D44" i="734"/>
  <c r="AA52" i="734"/>
  <c r="BB51" i="734"/>
  <c r="L53" i="734"/>
  <c r="AX55" i="734"/>
  <c r="BW57" i="734"/>
  <c r="AY64" i="734"/>
  <c r="AF49" i="734"/>
  <c r="BY36" i="734"/>
  <c r="AY50" i="734"/>
  <c r="D52" i="734"/>
  <c r="AY55" i="734"/>
  <c r="AU9" i="734"/>
  <c r="E47" i="734"/>
  <c r="AR54" i="734"/>
  <c r="BU66" i="734"/>
  <c r="AW15" i="734"/>
  <c r="AV65" i="734"/>
  <c r="AU40" i="734"/>
  <c r="AN43" i="734"/>
  <c r="S53" i="734"/>
  <c r="AR66" i="734"/>
  <c r="AY63" i="734"/>
  <c r="E21" i="734"/>
  <c r="BW34" i="734"/>
  <c r="AS49" i="734"/>
  <c r="BA20" i="734"/>
  <c r="AI65" i="734"/>
  <c r="AS26" i="734"/>
  <c r="BJ54" i="734"/>
  <c r="BA45" i="734"/>
  <c r="CB67" i="734"/>
  <c r="AW57" i="734"/>
  <c r="E14" i="734"/>
  <c r="AR47" i="734"/>
  <c r="AS27" i="734"/>
  <c r="AN42" i="734"/>
  <c r="B51" i="734"/>
  <c r="AF55" i="734"/>
  <c r="E63" i="734"/>
  <c r="E19" i="734"/>
  <c r="F35" i="734"/>
  <c r="AV44" i="734"/>
  <c r="AI66" i="734"/>
  <c r="S30" i="734"/>
  <c r="AR31" i="734"/>
  <c r="L30" i="734"/>
  <c r="AU53" i="734"/>
  <c r="C60" i="734"/>
  <c r="AS33" i="734"/>
  <c r="AU52" i="734"/>
  <c r="BA67" i="734"/>
  <c r="AI63" i="734"/>
  <c r="L34" i="734"/>
  <c r="AI60" i="734"/>
  <c r="AS14" i="734"/>
  <c r="BO32" i="734"/>
  <c r="AX47" i="734"/>
  <c r="C29" i="734"/>
  <c r="B37" i="734"/>
  <c r="AX50" i="734"/>
  <c r="D50" i="734"/>
  <c r="AR46" i="734"/>
  <c r="BU43" i="734"/>
  <c r="BB53" i="734"/>
  <c r="BU56" i="734"/>
  <c r="AU66" i="734"/>
  <c r="BY59" i="734"/>
  <c r="F61" i="734"/>
  <c r="AX30" i="734"/>
  <c r="C38" i="734"/>
  <c r="S65" i="734"/>
  <c r="AA40" i="734"/>
  <c r="BO51" i="734"/>
  <c r="BB57" i="734"/>
  <c r="S34" i="734"/>
  <c r="CB38" i="734"/>
  <c r="D36" i="734"/>
  <c r="BJ50" i="734"/>
  <c r="AW46" i="734"/>
  <c r="AV57" i="734"/>
  <c r="BU47" i="734"/>
  <c r="S56" i="734"/>
  <c r="BW37" i="734"/>
  <c r="BT58" i="734"/>
  <c r="BU41" i="734"/>
  <c r="BB63" i="734"/>
  <c r="AV49" i="734"/>
  <c r="AX31" i="734"/>
  <c r="AS41" i="734"/>
  <c r="BU59" i="734"/>
  <c r="BT31" i="734"/>
  <c r="AS10" i="734"/>
  <c r="AS36" i="734"/>
  <c r="CB34" i="734"/>
  <c r="BY41" i="734"/>
  <c r="AY52" i="734"/>
  <c r="BY68" i="734"/>
  <c r="AA57" i="734"/>
  <c r="BE34" i="734"/>
  <c r="AE48" i="734"/>
  <c r="AR64" i="734"/>
  <c r="BY65" i="734"/>
  <c r="S67" i="734"/>
  <c r="AW24" i="734"/>
  <c r="BJ64" i="734"/>
  <c r="C54" i="734"/>
  <c r="AY60" i="734"/>
  <c r="AU49" i="734"/>
  <c r="AV46" i="734"/>
  <c r="AX64" i="734"/>
  <c r="E34" i="734"/>
  <c r="BA17" i="734"/>
  <c r="AR65" i="734"/>
  <c r="AS25" i="734"/>
  <c r="BU54" i="734"/>
  <c r="BE46" i="734"/>
  <c r="AE67" i="734"/>
  <c r="BE59" i="734"/>
  <c r="B28" i="734"/>
  <c r="C33" i="734"/>
  <c r="L68" i="734"/>
  <c r="BJ38" i="734"/>
  <c r="BT45" i="734"/>
  <c r="BO65" i="734"/>
  <c r="C63" i="734"/>
  <c r="BB67" i="734"/>
  <c r="D28" i="734"/>
  <c r="AX34" i="734"/>
  <c r="BO47" i="734"/>
  <c r="AR45" i="734"/>
  <c r="C59" i="734"/>
  <c r="AV42" i="734"/>
  <c r="BE35" i="734"/>
  <c r="BT64" i="734"/>
  <c r="F57" i="734"/>
  <c r="E66" i="734"/>
  <c r="D33" i="734"/>
  <c r="AV68" i="734"/>
  <c r="BT35" i="734"/>
  <c r="C36" i="734"/>
  <c r="AY40" i="734"/>
  <c r="AS12" i="734"/>
  <c r="L42" i="734"/>
  <c r="CB60" i="734"/>
  <c r="BW29" i="734"/>
  <c r="BS30" i="734"/>
  <c r="BU12" i="734"/>
  <c r="AE33" i="734"/>
  <c r="D54" i="734"/>
  <c r="AE56" i="734"/>
  <c r="S63" i="734"/>
  <c r="BJ33" i="734"/>
  <c r="S64" i="734"/>
  <c r="AW68" i="734"/>
  <c r="BS63" i="734"/>
  <c r="BT30" i="734"/>
  <c r="AS20" i="734"/>
  <c r="AY67" i="734"/>
  <c r="BO36" i="734"/>
  <c r="AV29" i="734"/>
  <c r="BU25" i="734"/>
  <c r="BO31" i="734"/>
  <c r="BA12" i="734"/>
  <c r="BO54" i="734"/>
  <c r="AR41" i="734"/>
  <c r="AF65" i="734"/>
  <c r="AU54" i="734"/>
  <c r="B56" i="734"/>
  <c r="E12" i="734"/>
  <c r="AW26" i="734"/>
  <c r="S51" i="734"/>
  <c r="B61" i="734"/>
  <c r="AW33" i="734"/>
  <c r="C55" i="734"/>
  <c r="AU30" i="734"/>
  <c r="AN31" i="734"/>
  <c r="AF60" i="734"/>
  <c r="BO46" i="734"/>
  <c r="BW60" i="734"/>
  <c r="BY29" i="734"/>
  <c r="BB52" i="734"/>
  <c r="AA67" i="734"/>
  <c r="AN63" i="734"/>
  <c r="BB34" i="734"/>
  <c r="AI35" i="734"/>
  <c r="E60" i="734"/>
  <c r="BA13" i="734"/>
  <c r="AF31" i="734"/>
  <c r="AE47" i="734"/>
  <c r="AA29" i="734"/>
  <c r="D37" i="734"/>
  <c r="AE50" i="734"/>
  <c r="E41" i="734"/>
  <c r="D46" i="734"/>
  <c r="AS43" i="734"/>
  <c r="AX56" i="734"/>
  <c r="BW66" i="734"/>
  <c r="AS59" i="734"/>
  <c r="AF64" i="734"/>
  <c r="BO30" i="734"/>
  <c r="BO38" i="734"/>
  <c r="AN65" i="734"/>
  <c r="AF40" i="734"/>
  <c r="BJ46" i="734"/>
  <c r="F66" i="734"/>
  <c r="AR33" i="734"/>
  <c r="AX52" i="734"/>
  <c r="BO58" i="734"/>
  <c r="AW21" i="734"/>
  <c r="AE29" i="734"/>
  <c r="AR39" i="734"/>
  <c r="S48" i="734"/>
  <c r="S68" i="734"/>
  <c r="BU57" i="734"/>
  <c r="AF30" i="734"/>
  <c r="BJ32" i="734"/>
  <c r="AA28" i="734"/>
  <c r="BS60" i="734"/>
  <c r="S32" i="734"/>
  <c r="AU50" i="734"/>
  <c r="BT43" i="734"/>
  <c r="C51" i="734"/>
  <c r="BW55" i="734"/>
  <c r="BA63" i="734"/>
  <c r="E20" i="734"/>
  <c r="AS28" i="734"/>
  <c r="BA50" i="734"/>
  <c r="BW48" i="734"/>
  <c r="BW68" i="734"/>
  <c r="BA66" i="734"/>
  <c r="BO28" i="734"/>
  <c r="AS32" i="734"/>
  <c r="E26" i="734"/>
  <c r="S52" i="734"/>
  <c r="S59" i="734"/>
  <c r="AI34" i="734"/>
  <c r="AN35" i="734"/>
  <c r="BE12" i="734"/>
  <c r="AN58" i="734"/>
  <c r="AW18" i="734"/>
  <c r="BE26" i="734"/>
  <c r="AV51" i="734"/>
  <c r="BY66" i="734"/>
  <c r="BT28" i="734"/>
  <c r="E38" i="734"/>
  <c r="BJ30" i="734"/>
  <c r="BU16" i="734"/>
  <c r="L32" i="734"/>
  <c r="CB49" i="734"/>
  <c r="F31" i="734"/>
  <c r="BA24" i="734"/>
  <c r="BU39" i="734"/>
  <c r="BA54" i="734"/>
  <c r="BB48" i="734"/>
  <c r="E46" i="734"/>
  <c r="AF68" i="734"/>
  <c r="BO67" i="734"/>
  <c r="B66" i="734"/>
  <c r="BY58" i="734"/>
  <c r="BW63" i="734"/>
  <c r="AE28" i="734"/>
  <c r="BE15" i="734"/>
  <c r="AY33" i="734"/>
  <c r="F54" i="734"/>
  <c r="E55" i="734"/>
  <c r="BA61" i="734"/>
  <c r="BB28" i="734"/>
  <c r="AS11" i="734"/>
  <c r="F65" i="734"/>
  <c r="BW41" i="734"/>
  <c r="D68" i="734"/>
  <c r="AA30" i="734"/>
  <c r="BA23" i="734"/>
  <c r="B58" i="734"/>
  <c r="BT41" i="734"/>
  <c r="BU60" i="734"/>
  <c r="AX48" i="734"/>
  <c r="AR30" i="734"/>
  <c r="AF38" i="734"/>
  <c r="AW10" i="734"/>
  <c r="AW43" i="734"/>
  <c r="D35" i="734"/>
  <c r="BA15" i="734"/>
  <c r="BA47" i="734"/>
  <c r="AS23" i="734"/>
  <c r="AE54" i="734"/>
  <c r="AS45" i="734"/>
  <c r="AV67" i="734"/>
  <c r="C58" i="734"/>
  <c r="C34" i="734"/>
  <c r="AU29" i="734"/>
  <c r="BO53" i="734"/>
  <c r="AN34" i="734"/>
  <c r="F40" i="734"/>
  <c r="E61" i="734"/>
  <c r="BY54" i="734"/>
  <c r="AW14" i="734"/>
  <c r="BE42" i="734"/>
  <c r="BT34" i="734"/>
  <c r="AW17" i="734"/>
  <c r="AW20" i="734"/>
  <c r="AE51" i="734"/>
  <c r="AY49" i="734"/>
  <c r="BU22" i="734"/>
  <c r="BA28" i="734"/>
  <c r="AN50" i="734"/>
  <c r="D45" i="734"/>
  <c r="BS53" i="734"/>
  <c r="CB66" i="734"/>
  <c r="C64" i="734"/>
  <c r="AV60" i="734"/>
  <c r="BO39" i="734"/>
  <c r="AV55" i="734"/>
  <c r="BU32" i="734"/>
  <c r="AA53" i="734"/>
  <c r="BS50" i="734"/>
  <c r="BU29" i="734"/>
  <c r="AN48" i="734"/>
  <c r="AA49" i="734"/>
  <c r="AY29" i="734"/>
  <c r="BA42" i="734"/>
  <c r="BB64" i="734"/>
  <c r="BS66" i="734"/>
  <c r="BJ40" i="734"/>
  <c r="BE22" i="734"/>
  <c r="AN36" i="734"/>
  <c r="BY30" i="734"/>
  <c r="BU34" i="734"/>
  <c r="F55" i="734"/>
  <c r="BT60" i="734"/>
  <c r="C65" i="734"/>
  <c r="D43" i="734"/>
  <c r="E62" i="734"/>
  <c r="E30" i="734"/>
  <c r="BU67" i="734"/>
  <c r="S28" i="734"/>
  <c r="AF53" i="734"/>
  <c r="AX51" i="734"/>
  <c r="AZ14" i="734" l="1"/>
  <c r="AZ23" i="734"/>
  <c r="R26" i="734"/>
  <c r="Z26" i="734" s="1"/>
  <c r="BN19" i="734"/>
  <c r="BX10" i="734"/>
  <c r="BX18" i="734"/>
  <c r="AZ20" i="734"/>
  <c r="CF46" i="734"/>
  <c r="CE46" i="734"/>
  <c r="J14" i="734"/>
  <c r="R24" i="734"/>
  <c r="Z24" i="734" s="1"/>
  <c r="T25" i="734"/>
  <c r="U25" i="734"/>
  <c r="V25" i="734"/>
  <c r="AB43" i="734"/>
  <c r="AD43" i="734"/>
  <c r="AC43" i="734"/>
  <c r="CF59" i="734"/>
  <c r="CE59" i="734"/>
  <c r="AK21" i="734"/>
  <c r="AJ21" i="734"/>
  <c r="AM21" i="734"/>
  <c r="AP21" i="734" s="1"/>
  <c r="AL21" i="734"/>
  <c r="AG20" i="734"/>
  <c r="Q20" i="734" s="1"/>
  <c r="AG12" i="734"/>
  <c r="Q12" i="734" s="1"/>
  <c r="BX16" i="734"/>
  <c r="R18" i="734"/>
  <c r="Z18" i="734" s="1"/>
  <c r="J62" i="734"/>
  <c r="J12" i="734"/>
  <c r="BZ45" i="734"/>
  <c r="AL43" i="734"/>
  <c r="AM43" i="734"/>
  <c r="AP43" i="734" s="1"/>
  <c r="AK43" i="734"/>
  <c r="AJ43" i="734"/>
  <c r="BX58" i="734"/>
  <c r="BK21" i="734"/>
  <c r="BN21" i="734"/>
  <c r="BR21" i="734" s="1"/>
  <c r="BM21" i="734"/>
  <c r="BL21" i="734"/>
  <c r="T44" i="734"/>
  <c r="V44" i="734"/>
  <c r="U44" i="734"/>
  <c r="BX62" i="734"/>
  <c r="AG11" i="734"/>
  <c r="Q11" i="734" s="1"/>
  <c r="V11" i="734"/>
  <c r="T11" i="734"/>
  <c r="U11" i="734"/>
  <c r="BK43" i="734"/>
  <c r="BL43" i="734"/>
  <c r="BM43" i="734"/>
  <c r="BN43" i="734"/>
  <c r="BR43" i="734" s="1"/>
  <c r="AH59" i="734"/>
  <c r="J19" i="734"/>
  <c r="R15" i="734"/>
  <c r="Z15" i="734" s="1"/>
  <c r="AL44" i="734"/>
  <c r="AK44" i="734"/>
  <c r="AJ44" i="734"/>
  <c r="AM44" i="734"/>
  <c r="AP44" i="734" s="1"/>
  <c r="M62" i="734"/>
  <c r="O62" i="734"/>
  <c r="H62" i="734" s="1"/>
  <c r="N62" i="734"/>
  <c r="BX15" i="734"/>
  <c r="AG18" i="734"/>
  <c r="Q18" i="734" s="1"/>
  <c r="R16" i="734"/>
  <c r="Z16" i="734" s="1"/>
  <c r="BX43" i="734"/>
  <c r="AH58" i="734"/>
  <c r="BZ26" i="734"/>
  <c r="BZ43" i="734"/>
  <c r="J24" i="734"/>
  <c r="AZ43" i="734"/>
  <c r="AK45" i="734"/>
  <c r="AJ45" i="734"/>
  <c r="AM45" i="734"/>
  <c r="AO45" i="734" s="1"/>
  <c r="AL45" i="734"/>
  <c r="J56" i="734"/>
  <c r="AZ58" i="734"/>
  <c r="AZ11" i="734"/>
  <c r="BN44" i="734"/>
  <c r="BQ44" i="734" s="1"/>
  <c r="BK44" i="734"/>
  <c r="BM44" i="734"/>
  <c r="BL44" i="734"/>
  <c r="BN23" i="734"/>
  <c r="U12" i="734"/>
  <c r="T12" i="734"/>
  <c r="V12" i="734"/>
  <c r="U20" i="734"/>
  <c r="T20" i="734"/>
  <c r="V20" i="734"/>
  <c r="BZ21" i="734"/>
  <c r="J11" i="734"/>
  <c r="AZ18" i="734"/>
  <c r="J20" i="734"/>
  <c r="BN20" i="734"/>
  <c r="BH55" i="734"/>
  <c r="BG55" i="734"/>
  <c r="BF55" i="734"/>
  <c r="BI55" i="734"/>
  <c r="AG58" i="734"/>
  <c r="Q58" i="734" s="1"/>
  <c r="BZ11" i="734"/>
  <c r="R11" i="734"/>
  <c r="Z11" i="734" s="1"/>
  <c r="AJ42" i="734"/>
  <c r="AM42" i="734"/>
  <c r="AO42" i="734" s="1"/>
  <c r="AL42" i="734"/>
  <c r="AK42" i="734"/>
  <c r="BX61" i="734"/>
  <c r="AG21" i="734"/>
  <c r="Q21" i="734" s="1"/>
  <c r="BN11" i="734"/>
  <c r="BR11" i="734" s="1"/>
  <c r="BX45" i="734"/>
  <c r="AT53" i="734"/>
  <c r="BL62" i="734"/>
  <c r="BK62" i="734"/>
  <c r="BN62" i="734"/>
  <c r="BR62" i="734" s="1"/>
  <c r="BM62" i="734"/>
  <c r="AZ21" i="734"/>
  <c r="J22" i="734"/>
  <c r="CF54" i="734"/>
  <c r="CE54" i="734"/>
  <c r="AC45" i="734"/>
  <c r="AB45" i="734"/>
  <c r="AD45" i="734"/>
  <c r="CF61" i="734"/>
  <c r="CE61" i="734"/>
  <c r="R22" i="734"/>
  <c r="Z22" i="734" s="1"/>
  <c r="M50" i="734"/>
  <c r="O50" i="734"/>
  <c r="H50" i="734" s="1"/>
  <c r="N50" i="734"/>
  <c r="J17" i="734"/>
  <c r="J25" i="734"/>
  <c r="BK61" i="734"/>
  <c r="BL61" i="734"/>
  <c r="BN61" i="734"/>
  <c r="BR61" i="734" s="1"/>
  <c r="BM61" i="734"/>
  <c r="R17" i="734"/>
  <c r="Z17" i="734" s="1"/>
  <c r="R14" i="734"/>
  <c r="Z14" i="734" s="1"/>
  <c r="BX17" i="734"/>
  <c r="BX26" i="734"/>
  <c r="BZ48" i="734"/>
  <c r="BX40" i="734"/>
  <c r="AC46" i="734"/>
  <c r="AB46" i="734"/>
  <c r="AD46" i="734"/>
  <c r="U61" i="734"/>
  <c r="T61" i="734"/>
  <c r="V61" i="734"/>
  <c r="BX14" i="734"/>
  <c r="AG16" i="734"/>
  <c r="Q16" i="734" s="1"/>
  <c r="AB21" i="734"/>
  <c r="AD21" i="734"/>
  <c r="AC21" i="734"/>
  <c r="AZ10" i="734"/>
  <c r="T22" i="734"/>
  <c r="V22" i="734"/>
  <c r="U22" i="734"/>
  <c r="R27" i="734"/>
  <c r="Z27" i="734" s="1"/>
  <c r="BZ46" i="734"/>
  <c r="AJ46" i="734"/>
  <c r="AM46" i="734"/>
  <c r="AP46" i="734" s="1"/>
  <c r="AL46" i="734"/>
  <c r="AK46" i="734"/>
  <c r="J57" i="734"/>
  <c r="AZ61" i="734"/>
  <c r="V21" i="734"/>
  <c r="U21" i="734"/>
  <c r="T21" i="734"/>
  <c r="AG15" i="734"/>
  <c r="Q15" i="734" s="1"/>
  <c r="BX21" i="734"/>
  <c r="V27" i="734"/>
  <c r="U27" i="734"/>
  <c r="T27" i="734"/>
  <c r="AG24" i="734"/>
  <c r="Q24" i="734" s="1"/>
  <c r="J15" i="734"/>
  <c r="BN13" i="734"/>
  <c r="CE62" i="734"/>
  <c r="CF62" i="734"/>
  <c r="BZ13" i="734"/>
  <c r="AZ13" i="734"/>
  <c r="AZ24" i="734"/>
  <c r="BX24" i="734"/>
  <c r="BZ53" i="734"/>
  <c r="BD45" i="734"/>
  <c r="AG27" i="734"/>
  <c r="Q27" i="734" s="1"/>
  <c r="R20" i="734"/>
  <c r="Z20" i="734" s="1"/>
  <c r="J26" i="734"/>
  <c r="BD44" i="734"/>
  <c r="U43" i="734"/>
  <c r="T43" i="734"/>
  <c r="V43" i="734"/>
  <c r="BZ57" i="734"/>
  <c r="BX20" i="734"/>
  <c r="BZ27" i="734"/>
  <c r="BZ23" i="734"/>
  <c r="BX22" i="734"/>
  <c r="BZ15" i="734"/>
  <c r="CE21" i="734"/>
  <c r="CF21" i="734"/>
  <c r="BN15" i="734"/>
  <c r="BV55" i="734"/>
  <c r="BZ19" i="734"/>
  <c r="AZ22" i="734"/>
  <c r="J54" i="734"/>
  <c r="AH61" i="734"/>
  <c r="AG62" i="734"/>
  <c r="Q62" i="734" s="1"/>
  <c r="AZ15" i="734"/>
  <c r="V18" i="734"/>
  <c r="U18" i="734"/>
  <c r="T18" i="734"/>
  <c r="BD46" i="734"/>
  <c r="BZ10" i="734"/>
  <c r="BZ18" i="734"/>
  <c r="AZ25" i="734"/>
  <c r="R23" i="734"/>
  <c r="Z23" i="734" s="1"/>
  <c r="BD42" i="734"/>
  <c r="J61" i="734"/>
  <c r="BX11" i="734"/>
  <c r="BZ16" i="734"/>
  <c r="BX25" i="734"/>
  <c r="AT48" i="734"/>
  <c r="BZ50" i="734"/>
  <c r="BX42" i="734"/>
  <c r="CE58" i="734"/>
  <c r="CF58" i="734"/>
  <c r="BV58" i="734"/>
  <c r="T24" i="734"/>
  <c r="U24" i="734"/>
  <c r="V24" i="734"/>
  <c r="AC42" i="734"/>
  <c r="AB42" i="734"/>
  <c r="AD42" i="734"/>
  <c r="BZ55" i="734"/>
  <c r="J23" i="734"/>
  <c r="AD44" i="734"/>
  <c r="AC44" i="734"/>
  <c r="AB44" i="734"/>
  <c r="BX19" i="734"/>
  <c r="AZ19" i="734"/>
  <c r="BX12" i="734"/>
  <c r="J21" i="734"/>
  <c r="AZ42" i="734"/>
  <c r="N48" i="734"/>
  <c r="M48" i="734"/>
  <c r="O48" i="734"/>
  <c r="H48" i="734" s="1"/>
  <c r="AZ12" i="734"/>
  <c r="BZ14" i="734"/>
  <c r="AZ16" i="734"/>
  <c r="AC59" i="734"/>
  <c r="AB59" i="734"/>
  <c r="AD59" i="734"/>
  <c r="AL11" i="734"/>
  <c r="AK11" i="734"/>
  <c r="AJ11" i="734"/>
  <c r="AM11" i="734"/>
  <c r="AP11" i="734" s="1"/>
  <c r="BZ12" i="734"/>
  <c r="AG17" i="734"/>
  <c r="Q17" i="734" s="1"/>
  <c r="BX23" i="734"/>
  <c r="AG26" i="734"/>
  <c r="Q26" i="734" s="1"/>
  <c r="J13" i="734"/>
  <c r="BV27" i="734"/>
  <c r="BN24" i="734"/>
  <c r="BD43" i="734"/>
  <c r="BN42" i="734"/>
  <c r="BR42" i="734" s="1"/>
  <c r="BK42" i="734"/>
  <c r="BM42" i="734"/>
  <c r="BL42" i="734"/>
  <c r="CF56" i="734"/>
  <c r="CE56" i="734"/>
  <c r="AB61" i="734"/>
  <c r="AD61" i="734"/>
  <c r="AC61" i="734"/>
  <c r="AZ62" i="734"/>
  <c r="BZ17" i="734"/>
  <c r="AZ17" i="734"/>
  <c r="R19" i="734"/>
  <c r="Z19" i="734" s="1"/>
  <c r="BZ24" i="734"/>
  <c r="BX39" i="734"/>
  <c r="R13" i="734"/>
  <c r="Z13" i="734" s="1"/>
  <c r="BD21" i="734"/>
  <c r="AZ44" i="734"/>
  <c r="U46" i="734"/>
  <c r="T46" i="734"/>
  <c r="V46" i="734"/>
  <c r="AM57" i="734"/>
  <c r="AQ57" i="734" s="1"/>
  <c r="AK57" i="734"/>
  <c r="AJ57" i="734"/>
  <c r="AL57" i="734"/>
  <c r="M61" i="734"/>
  <c r="O61" i="734"/>
  <c r="H61" i="734" s="1"/>
  <c r="N61" i="734"/>
  <c r="AG25" i="734"/>
  <c r="Q25" i="734" s="1"/>
  <c r="R10" i="734"/>
  <c r="Z10" i="734" s="1"/>
  <c r="J18" i="734"/>
  <c r="R25" i="734"/>
  <c r="Z25" i="734" s="1"/>
  <c r="BZ42" i="734"/>
  <c r="BX44" i="734"/>
  <c r="O57" i="734"/>
  <c r="H57" i="734" s="1"/>
  <c r="N57" i="734"/>
  <c r="M57" i="734"/>
  <c r="AD62" i="734"/>
  <c r="AC62" i="734"/>
  <c r="AB62" i="734"/>
  <c r="AH56" i="734"/>
  <c r="AH62" i="734"/>
  <c r="AG61" i="734"/>
  <c r="Q61" i="734" s="1"/>
  <c r="BZ22" i="734"/>
  <c r="BX13" i="734"/>
  <c r="BZ25" i="734"/>
  <c r="BZ44" i="734"/>
  <c r="N56" i="734"/>
  <c r="M56" i="734"/>
  <c r="O56" i="734"/>
  <c r="H56" i="734" s="1"/>
  <c r="U17" i="734"/>
  <c r="T17" i="734"/>
  <c r="V17" i="734"/>
  <c r="BZ20" i="734"/>
  <c r="AZ26" i="734"/>
  <c r="AZ45" i="734"/>
  <c r="BK45" i="734"/>
  <c r="BN45" i="734"/>
  <c r="BR45" i="734" s="1"/>
  <c r="BM45" i="734"/>
  <c r="BL45" i="734"/>
  <c r="U42" i="734"/>
  <c r="T42" i="734"/>
  <c r="V42" i="734"/>
  <c r="V45" i="734"/>
  <c r="U45" i="734"/>
  <c r="T45" i="734"/>
  <c r="BI48" i="734"/>
  <c r="BH48" i="734"/>
  <c r="BG48" i="734"/>
  <c r="BF48" i="734"/>
  <c r="BX59" i="734"/>
  <c r="AD58" i="734"/>
  <c r="AC58" i="734"/>
  <c r="AB58" i="734"/>
  <c r="AG14" i="734"/>
  <c r="Q14" i="734" s="1"/>
  <c r="AZ27" i="734"/>
  <c r="J27" i="734"/>
  <c r="J10" i="734"/>
  <c r="J16" i="734"/>
  <c r="V26" i="734"/>
  <c r="U26" i="734"/>
  <c r="T26" i="734"/>
  <c r="AZ46" i="734"/>
  <c r="N55" i="734"/>
  <c r="M55" i="734"/>
  <c r="O55" i="734"/>
  <c r="H55" i="734" s="1"/>
  <c r="AH21" i="734"/>
  <c r="R12" i="734"/>
  <c r="Z12" i="734" s="1"/>
  <c r="BZ51" i="734"/>
  <c r="AZ41" i="734"/>
  <c r="BV48" i="734"/>
  <c r="BF58" i="734"/>
  <c r="BI58" i="734"/>
  <c r="BH58" i="734"/>
  <c r="BG58" i="734"/>
  <c r="V62" i="734"/>
  <c r="U62" i="734"/>
  <c r="T62" i="734"/>
  <c r="AJ61" i="734"/>
  <c r="AL61" i="734"/>
  <c r="AK61" i="734"/>
  <c r="AM61" i="734"/>
  <c r="AP61" i="734" s="1"/>
  <c r="CE63" i="734"/>
  <c r="CF63" i="734"/>
  <c r="AM62" i="734"/>
  <c r="AQ62" i="734" s="1"/>
  <c r="AL62" i="734"/>
  <c r="AK62" i="734"/>
  <c r="AJ62" i="734"/>
  <c r="AT64" i="734"/>
  <c r="O64" i="734"/>
  <c r="H64" i="734" s="1"/>
  <c r="N64" i="734"/>
  <c r="M64" i="734"/>
  <c r="V64" i="734"/>
  <c r="U64" i="734"/>
  <c r="T64" i="734"/>
  <c r="AT63" i="734"/>
  <c r="BC61" i="734"/>
  <c r="AT58" i="734"/>
  <c r="BD57" i="734"/>
  <c r="AD55" i="734"/>
  <c r="AC55" i="734"/>
  <c r="AB55" i="734"/>
  <c r="BH67" i="734"/>
  <c r="BG67" i="734"/>
  <c r="BF67" i="734"/>
  <c r="BI67" i="734"/>
  <c r="AT56" i="734"/>
  <c r="AD56" i="734"/>
  <c r="AC56" i="734"/>
  <c r="AB56" i="734"/>
  <c r="O68" i="734"/>
  <c r="H68" i="734" s="1"/>
  <c r="N68" i="734"/>
  <c r="M68" i="734"/>
  <c r="BK46" i="734"/>
  <c r="BN46" i="734"/>
  <c r="BR46" i="734" s="1"/>
  <c r="BL46" i="734"/>
  <c r="BM46" i="734"/>
  <c r="AG48" i="734"/>
  <c r="Q48" i="734" s="1"/>
  <c r="M46" i="734"/>
  <c r="N46" i="734"/>
  <c r="O46" i="734"/>
  <c r="H46" i="734" s="1"/>
  <c r="M45" i="734"/>
  <c r="N45" i="734"/>
  <c r="O45" i="734"/>
  <c r="H45" i="734" s="1"/>
  <c r="BG54" i="734"/>
  <c r="BF54" i="734"/>
  <c r="BI54" i="734"/>
  <c r="BH54" i="734"/>
  <c r="AK41" i="734"/>
  <c r="AJ41" i="734"/>
  <c r="AM41" i="734"/>
  <c r="AL41" i="734"/>
  <c r="AT41" i="734"/>
  <c r="AB40" i="734"/>
  <c r="AD40" i="734"/>
  <c r="AC40" i="734"/>
  <c r="AH40" i="734"/>
  <c r="AG40" i="734"/>
  <c r="Q40" i="734" s="1"/>
  <c r="AB39" i="734"/>
  <c r="AD39" i="734"/>
  <c r="AC39" i="734"/>
  <c r="AT29" i="734"/>
  <c r="AZ29" i="734"/>
  <c r="T65" i="734"/>
  <c r="U65" i="734"/>
  <c r="V65" i="734"/>
  <c r="AD47" i="734"/>
  <c r="AC47" i="734"/>
  <c r="AB47" i="734"/>
  <c r="BV36" i="734"/>
  <c r="BZ36" i="734"/>
  <c r="BC31" i="734"/>
  <c r="AH49" i="734"/>
  <c r="BX49" i="734"/>
  <c r="BV30" i="734"/>
  <c r="O63" i="734"/>
  <c r="H63" i="734" s="1"/>
  <c r="N63" i="734"/>
  <c r="M63" i="734"/>
  <c r="BK63" i="734"/>
  <c r="BN63" i="734"/>
  <c r="BR63" i="734" s="1"/>
  <c r="BM63" i="734"/>
  <c r="BL63" i="734"/>
  <c r="V63" i="734"/>
  <c r="T63" i="734"/>
  <c r="U63" i="734"/>
  <c r="AZ63" i="734"/>
  <c r="BX63" i="734"/>
  <c r="AH63" i="734"/>
  <c r="AH64" i="734"/>
  <c r="BD64" i="734"/>
  <c r="BC64" i="734"/>
  <c r="AD64" i="734"/>
  <c r="AB64" i="734"/>
  <c r="AC64" i="734"/>
  <c r="BX64" i="734"/>
  <c r="BC62" i="734"/>
  <c r="BZ61" i="734"/>
  <c r="BF59" i="734"/>
  <c r="BI59" i="734"/>
  <c r="BH59" i="734"/>
  <c r="BG59" i="734"/>
  <c r="BZ58" i="734"/>
  <c r="V57" i="734"/>
  <c r="U57" i="734"/>
  <c r="T57" i="734"/>
  <c r="BZ59" i="734"/>
  <c r="N58" i="734"/>
  <c r="M58" i="734"/>
  <c r="O58" i="734"/>
  <c r="H58" i="734" s="1"/>
  <c r="BX57" i="734"/>
  <c r="AD57" i="734"/>
  <c r="AB57" i="734"/>
  <c r="AC57" i="734"/>
  <c r="BN59" i="734"/>
  <c r="BR59" i="734" s="1"/>
  <c r="BK59" i="734"/>
  <c r="BM59" i="734"/>
  <c r="BL59" i="734"/>
  <c r="AG57" i="734"/>
  <c r="Q57" i="734" s="1"/>
  <c r="BN57" i="734"/>
  <c r="BM57" i="734"/>
  <c r="BL57" i="734"/>
  <c r="BK57" i="734"/>
  <c r="T66" i="734"/>
  <c r="U66" i="734"/>
  <c r="V66" i="734"/>
  <c r="AZ66" i="734"/>
  <c r="BX66" i="734"/>
  <c r="CF66" i="734"/>
  <c r="CE66" i="734"/>
  <c r="AG55" i="734"/>
  <c r="Q55" i="734" s="1"/>
  <c r="BL67" i="734"/>
  <c r="BK67" i="734"/>
  <c r="BN67" i="734"/>
  <c r="BR67" i="734" s="1"/>
  <c r="BM67" i="734"/>
  <c r="BV67" i="734"/>
  <c r="AG67" i="734"/>
  <c r="Q67" i="734" s="1"/>
  <c r="O67" i="734"/>
  <c r="H67" i="734" s="1"/>
  <c r="N67" i="734"/>
  <c r="M67" i="734"/>
  <c r="BV56" i="734"/>
  <c r="AG56" i="734"/>
  <c r="Q56" i="734" s="1"/>
  <c r="O53" i="734"/>
  <c r="H53" i="734" s="1"/>
  <c r="N53" i="734"/>
  <c r="M53" i="734"/>
  <c r="BZ68" i="734"/>
  <c r="AJ68" i="734"/>
  <c r="AM68" i="734"/>
  <c r="AL68" i="734"/>
  <c r="AK68" i="734"/>
  <c r="AH68" i="734"/>
  <c r="J68" i="734"/>
  <c r="CE53" i="734"/>
  <c r="CF53" i="734"/>
  <c r="AH53" i="734"/>
  <c r="BD53" i="734"/>
  <c r="BC53" i="734"/>
  <c r="AM53" i="734"/>
  <c r="AL53" i="734"/>
  <c r="AJ53" i="734"/>
  <c r="AK53" i="734"/>
  <c r="BH51" i="734"/>
  <c r="BG51" i="734"/>
  <c r="BF51" i="734"/>
  <c r="BI51" i="734"/>
  <c r="BD51" i="734"/>
  <c r="BC51" i="734"/>
  <c r="AJ51" i="734"/>
  <c r="AM51" i="734"/>
  <c r="AL51" i="734"/>
  <c r="AK51" i="734"/>
  <c r="AH51" i="734"/>
  <c r="J51" i="734"/>
  <c r="BG46" i="734"/>
  <c r="BI46" i="734"/>
  <c r="BH46" i="734"/>
  <c r="BF46" i="734"/>
  <c r="BV45" i="734"/>
  <c r="BC44" i="734"/>
  <c r="BV43" i="734"/>
  <c r="BC42" i="734"/>
  <c r="AB52" i="734"/>
  <c r="AD52" i="734"/>
  <c r="AC52" i="734"/>
  <c r="O52" i="734"/>
  <c r="H52" i="734" s="1"/>
  <c r="N52" i="734"/>
  <c r="M52" i="734"/>
  <c r="BK52" i="734"/>
  <c r="BN52" i="734"/>
  <c r="BR52" i="734" s="1"/>
  <c r="BM52" i="734"/>
  <c r="BL52" i="734"/>
  <c r="CE48" i="734"/>
  <c r="CF48" i="734"/>
  <c r="AH48" i="734"/>
  <c r="BD48" i="734"/>
  <c r="BC48" i="734"/>
  <c r="AM48" i="734"/>
  <c r="AL48" i="734"/>
  <c r="AJ48" i="734"/>
  <c r="AK48" i="734"/>
  <c r="AT46" i="734"/>
  <c r="AT45" i="734"/>
  <c r="AT44" i="734"/>
  <c r="AT43" i="734"/>
  <c r="AT42" i="734"/>
  <c r="BV54" i="734"/>
  <c r="BC54" i="734"/>
  <c r="AG54" i="734"/>
  <c r="Q54" i="734" s="1"/>
  <c r="O41" i="734"/>
  <c r="H41" i="734" s="1"/>
  <c r="N41" i="734"/>
  <c r="M41" i="734"/>
  <c r="BZ41" i="734"/>
  <c r="BV40" i="734"/>
  <c r="CF40" i="734"/>
  <c r="CE40" i="734"/>
  <c r="BV39" i="734"/>
  <c r="CF39" i="734"/>
  <c r="CE39" i="734"/>
  <c r="AG50" i="734"/>
  <c r="Q50" i="734" s="1"/>
  <c r="CF50" i="734"/>
  <c r="CE50" i="734"/>
  <c r="BD40" i="734"/>
  <c r="BC40" i="734"/>
  <c r="AZ39" i="734"/>
  <c r="BC26" i="734"/>
  <c r="BV25" i="734"/>
  <c r="AT25" i="734"/>
  <c r="BC24" i="734"/>
  <c r="BV23" i="734"/>
  <c r="AT23" i="734"/>
  <c r="J37" i="734"/>
  <c r="R33" i="734"/>
  <c r="Z33" i="734" s="1"/>
  <c r="BC33" i="734"/>
  <c r="BC28" i="734"/>
  <c r="BC65" i="734"/>
  <c r="BD65" i="734"/>
  <c r="BH65" i="734"/>
  <c r="BG65" i="734"/>
  <c r="BF65" i="734"/>
  <c r="BI65" i="734"/>
  <c r="AB65" i="734"/>
  <c r="AD65" i="734"/>
  <c r="AC65" i="734"/>
  <c r="AT65" i="734"/>
  <c r="CE49" i="734"/>
  <c r="CF49" i="734"/>
  <c r="BG47" i="734"/>
  <c r="BF47" i="734"/>
  <c r="BI47" i="734"/>
  <c r="BH47" i="734"/>
  <c r="BC47" i="734"/>
  <c r="AG47" i="734"/>
  <c r="Q47" i="734" s="1"/>
  <c r="AG38" i="734"/>
  <c r="Q38" i="734" s="1"/>
  <c r="BN36" i="734"/>
  <c r="BC35" i="734"/>
  <c r="R32" i="734"/>
  <c r="Z32" i="734" s="1"/>
  <c r="BC32" i="734"/>
  <c r="AG32" i="734"/>
  <c r="Q32" i="734" s="1"/>
  <c r="BV22" i="734"/>
  <c r="AT22" i="734"/>
  <c r="BC21" i="734"/>
  <c r="BV20" i="734"/>
  <c r="AT20" i="734"/>
  <c r="BC19" i="734"/>
  <c r="BV18" i="734"/>
  <c r="AT18" i="734"/>
  <c r="BC17" i="734"/>
  <c r="BV16" i="734"/>
  <c r="AT16" i="734"/>
  <c r="BC15" i="734"/>
  <c r="BV14" i="734"/>
  <c r="AT14" i="734"/>
  <c r="BV12" i="734"/>
  <c r="AT12" i="734"/>
  <c r="BV10" i="734"/>
  <c r="AT10" i="734"/>
  <c r="AZ38" i="734"/>
  <c r="AB38" i="734"/>
  <c r="AD38" i="734"/>
  <c r="AC38" i="734"/>
  <c r="BV38" i="734"/>
  <c r="BK30" i="734"/>
  <c r="BN30" i="734"/>
  <c r="BR30" i="734" s="1"/>
  <c r="BM30" i="734"/>
  <c r="BL30" i="734"/>
  <c r="N60" i="734"/>
  <c r="O60" i="734"/>
  <c r="H60" i="734" s="1"/>
  <c r="M60" i="734"/>
  <c r="V60" i="734"/>
  <c r="U60" i="734"/>
  <c r="T60" i="734"/>
  <c r="J60" i="734"/>
  <c r="AL60" i="734"/>
  <c r="AK60" i="734"/>
  <c r="AJ60" i="734"/>
  <c r="AM60" i="734"/>
  <c r="BZ60" i="734"/>
  <c r="BD60" i="734"/>
  <c r="BV49" i="734"/>
  <c r="AD49" i="734"/>
  <c r="AB49" i="734"/>
  <c r="AC49" i="734"/>
  <c r="J35" i="734"/>
  <c r="J31" i="734"/>
  <c r="AT28" i="734"/>
  <c r="J28" i="734"/>
  <c r="R34" i="734"/>
  <c r="Z34" i="734" s="1"/>
  <c r="J30" i="734"/>
  <c r="AM30" i="734"/>
  <c r="AL30" i="734"/>
  <c r="AK30" i="734"/>
  <c r="AJ30" i="734"/>
  <c r="AM63" i="734"/>
  <c r="AL63" i="734"/>
  <c r="AK63" i="734"/>
  <c r="AJ63" i="734"/>
  <c r="AZ64" i="734"/>
  <c r="BG62" i="734"/>
  <c r="BF62" i="734"/>
  <c r="BI62" i="734"/>
  <c r="BH62" i="734"/>
  <c r="BV59" i="734"/>
  <c r="V58" i="734"/>
  <c r="U58" i="734"/>
  <c r="T58" i="734"/>
  <c r="AH57" i="734"/>
  <c r="BD59" i="734"/>
  <c r="BC59" i="734"/>
  <c r="BZ66" i="734"/>
  <c r="AH66" i="734"/>
  <c r="BC67" i="734"/>
  <c r="AB67" i="734"/>
  <c r="AD67" i="734"/>
  <c r="AC67" i="734"/>
  <c r="AT67" i="734"/>
  <c r="BC55" i="734"/>
  <c r="BL68" i="734"/>
  <c r="BK68" i="734"/>
  <c r="BN68" i="734"/>
  <c r="BR68" i="734" s="1"/>
  <c r="BM68" i="734"/>
  <c r="AG68" i="734"/>
  <c r="Q68" i="734" s="1"/>
  <c r="AG53" i="734"/>
  <c r="Q53" i="734" s="1"/>
  <c r="BV51" i="734"/>
  <c r="AG51" i="734"/>
  <c r="Q51" i="734" s="1"/>
  <c r="BX46" i="734"/>
  <c r="BZ52" i="734"/>
  <c r="AZ52" i="734"/>
  <c r="BD52" i="734"/>
  <c r="BC52" i="734"/>
  <c r="M44" i="734"/>
  <c r="N44" i="734"/>
  <c r="O44" i="734"/>
  <c r="H44" i="734" s="1"/>
  <c r="AH54" i="734"/>
  <c r="AJ39" i="734"/>
  <c r="AM39" i="734"/>
  <c r="AK39" i="734"/>
  <c r="AL39" i="734"/>
  <c r="J39" i="734"/>
  <c r="AH50" i="734"/>
  <c r="BD39" i="734"/>
  <c r="BC39" i="734"/>
  <c r="R37" i="734"/>
  <c r="Z37" i="734" s="1"/>
  <c r="BZ29" i="734"/>
  <c r="BX29" i="734"/>
  <c r="AZ65" i="734"/>
  <c r="CF65" i="734"/>
  <c r="CE65" i="734"/>
  <c r="CE47" i="734"/>
  <c r="CF47" i="734"/>
  <c r="AT36" i="734"/>
  <c r="BX36" i="734"/>
  <c r="AJ38" i="734"/>
  <c r="AM38" i="734"/>
  <c r="AK38" i="734"/>
  <c r="AL38" i="734"/>
  <c r="AT38" i="734"/>
  <c r="BX60" i="734"/>
  <c r="BG49" i="734"/>
  <c r="BF49" i="734"/>
  <c r="BH49" i="734"/>
  <c r="BI49" i="734"/>
  <c r="AZ49" i="734"/>
  <c r="R31" i="734"/>
  <c r="Z31" i="734" s="1"/>
  <c r="BV34" i="734"/>
  <c r="BD30" i="734"/>
  <c r="AG30" i="734"/>
  <c r="Q30" i="734" s="1"/>
  <c r="BG64" i="734"/>
  <c r="BF64" i="734"/>
  <c r="BH64" i="734"/>
  <c r="BI64" i="734"/>
  <c r="BV64" i="734"/>
  <c r="AT59" i="734"/>
  <c r="AZ53" i="734"/>
  <c r="BG52" i="734"/>
  <c r="BF52" i="734"/>
  <c r="BI52" i="734"/>
  <c r="BH52" i="734"/>
  <c r="CF43" i="734"/>
  <c r="CE43" i="734"/>
  <c r="U41" i="734"/>
  <c r="T41" i="734"/>
  <c r="V41" i="734"/>
  <c r="BH39" i="734"/>
  <c r="BI39" i="734"/>
  <c r="BG39" i="734"/>
  <c r="BF39" i="734"/>
  <c r="BM41" i="734"/>
  <c r="BL41" i="734"/>
  <c r="BK41" i="734"/>
  <c r="BN41" i="734"/>
  <c r="BR41" i="734" s="1"/>
  <c r="BZ37" i="734"/>
  <c r="AG65" i="734"/>
  <c r="Q65" i="734" s="1"/>
  <c r="AM47" i="734"/>
  <c r="AL47" i="734"/>
  <c r="AK47" i="734"/>
  <c r="AJ47" i="734"/>
  <c r="BV28" i="734"/>
  <c r="AH38" i="734"/>
  <c r="J38" i="734"/>
  <c r="AG60" i="734"/>
  <c r="Q60" i="734" s="1"/>
  <c r="AH60" i="734"/>
  <c r="CF60" i="734"/>
  <c r="CE60" i="734"/>
  <c r="BC60" i="734"/>
  <c r="BN60" i="734"/>
  <c r="BR60" i="734" s="1"/>
  <c r="BM60" i="734"/>
  <c r="BL60" i="734"/>
  <c r="BK60" i="734"/>
  <c r="O49" i="734"/>
  <c r="H49" i="734" s="1"/>
  <c r="N49" i="734"/>
  <c r="M49" i="734"/>
  <c r="AG49" i="734"/>
  <c r="Q49" i="734" s="1"/>
  <c r="BV35" i="734"/>
  <c r="AT35" i="734"/>
  <c r="BZ35" i="734"/>
  <c r="AZ35" i="734"/>
  <c r="BX35" i="734"/>
  <c r="BV31" i="734"/>
  <c r="AT31" i="734"/>
  <c r="BZ31" i="734"/>
  <c r="AZ31" i="734"/>
  <c r="BX31" i="734"/>
  <c r="BZ28" i="734"/>
  <c r="AZ28" i="734"/>
  <c r="BX28" i="734"/>
  <c r="J34" i="734"/>
  <c r="AT30" i="734"/>
  <c r="BZ30" i="734"/>
  <c r="T30" i="734"/>
  <c r="U30" i="734"/>
  <c r="V30" i="734"/>
  <c r="AZ30" i="734"/>
  <c r="BX30" i="734"/>
  <c r="BD63" i="734"/>
  <c r="BZ64" i="734"/>
  <c r="AT57" i="734"/>
  <c r="V59" i="734"/>
  <c r="T59" i="734"/>
  <c r="U59" i="734"/>
  <c r="CF57" i="734"/>
  <c r="CE57" i="734"/>
  <c r="AZ57" i="734"/>
  <c r="AJ66" i="734"/>
  <c r="AM66" i="734"/>
  <c r="AL66" i="734"/>
  <c r="AK66" i="734"/>
  <c r="J66" i="734"/>
  <c r="BD67" i="734"/>
  <c r="BG56" i="734"/>
  <c r="BF56" i="734"/>
  <c r="BI56" i="734"/>
  <c r="BH56" i="734"/>
  <c r="BV68" i="734"/>
  <c r="O51" i="734"/>
  <c r="H51" i="734" s="1"/>
  <c r="N51" i="734"/>
  <c r="M51" i="734"/>
  <c r="BI44" i="734"/>
  <c r="BH44" i="734"/>
  <c r="BG44" i="734"/>
  <c r="BF44" i="734"/>
  <c r="BI42" i="734"/>
  <c r="BH42" i="734"/>
  <c r="BG42" i="734"/>
  <c r="BF42" i="734"/>
  <c r="T52" i="734"/>
  <c r="V52" i="734"/>
  <c r="U52" i="734"/>
  <c r="AT52" i="734"/>
  <c r="BX52" i="734"/>
  <c r="M43" i="734"/>
  <c r="N43" i="734"/>
  <c r="O43" i="734"/>
  <c r="H43" i="734" s="1"/>
  <c r="M42" i="734"/>
  <c r="N42" i="734"/>
  <c r="O42" i="734"/>
  <c r="H42" i="734" s="1"/>
  <c r="AD54" i="734"/>
  <c r="AC54" i="734"/>
  <c r="AB54" i="734"/>
  <c r="BH50" i="734"/>
  <c r="BG50" i="734"/>
  <c r="BF50" i="734"/>
  <c r="BI50" i="734"/>
  <c r="BV41" i="734"/>
  <c r="AJ40" i="734"/>
  <c r="AM40" i="734"/>
  <c r="AL40" i="734"/>
  <c r="AK40" i="734"/>
  <c r="J40" i="734"/>
  <c r="AH39" i="734"/>
  <c r="AG39" i="734"/>
  <c r="Q39" i="734" s="1"/>
  <c r="AB50" i="734"/>
  <c r="AD50" i="734"/>
  <c r="AC50" i="734"/>
  <c r="J50" i="734"/>
  <c r="O47" i="734"/>
  <c r="H47" i="734" s="1"/>
  <c r="N47" i="734"/>
  <c r="M47" i="734"/>
  <c r="BC37" i="734"/>
  <c r="BV29" i="734"/>
  <c r="BX65" i="734"/>
  <c r="AH47" i="734"/>
  <c r="AZ36" i="734"/>
  <c r="BF21" i="734"/>
  <c r="BI21" i="734"/>
  <c r="BH21" i="734"/>
  <c r="BG21" i="734"/>
  <c r="AD60" i="734"/>
  <c r="AC60" i="734"/>
  <c r="AB60" i="734"/>
  <c r="BV60" i="734"/>
  <c r="BZ49" i="734"/>
  <c r="BK49" i="734"/>
  <c r="BN49" i="734"/>
  <c r="BR49" i="734" s="1"/>
  <c r="BM49" i="734"/>
  <c r="BL49" i="734"/>
  <c r="V49" i="734"/>
  <c r="U49" i="734"/>
  <c r="T49" i="734"/>
  <c r="R35" i="734"/>
  <c r="Z35" i="734" s="1"/>
  <c r="AH30" i="734"/>
  <c r="BV63" i="734"/>
  <c r="AD63" i="734"/>
  <c r="AC63" i="734"/>
  <c r="AB63" i="734"/>
  <c r="J63" i="734"/>
  <c r="BK64" i="734"/>
  <c r="BN64" i="734"/>
  <c r="BR64" i="734" s="1"/>
  <c r="BM64" i="734"/>
  <c r="BL64" i="734"/>
  <c r="AG64" i="734"/>
  <c r="Q64" i="734" s="1"/>
  <c r="BZ63" i="734"/>
  <c r="BZ62" i="734"/>
  <c r="BV61" i="734"/>
  <c r="AT61" i="734"/>
  <c r="AZ59" i="734"/>
  <c r="J58" i="734"/>
  <c r="J59" i="734"/>
  <c r="BD58" i="734"/>
  <c r="BC58" i="734"/>
  <c r="BC57" i="734"/>
  <c r="BV57" i="734"/>
  <c r="BC66" i="734"/>
  <c r="BD66" i="734"/>
  <c r="BH66" i="734"/>
  <c r="BG66" i="734"/>
  <c r="BF66" i="734"/>
  <c r="BI66" i="734"/>
  <c r="AB66" i="734"/>
  <c r="AD66" i="734"/>
  <c r="AC66" i="734"/>
  <c r="AT66" i="734"/>
  <c r="CE55" i="734"/>
  <c r="CF55" i="734"/>
  <c r="AH55" i="734"/>
  <c r="BD55" i="734"/>
  <c r="AM55" i="734"/>
  <c r="AL55" i="734"/>
  <c r="AK55" i="734"/>
  <c r="AJ55" i="734"/>
  <c r="BZ67" i="734"/>
  <c r="AJ67" i="734"/>
  <c r="AM67" i="734"/>
  <c r="AL67" i="734"/>
  <c r="AK67" i="734"/>
  <c r="AH67" i="734"/>
  <c r="J67" i="734"/>
  <c r="BZ56" i="734"/>
  <c r="BD56" i="734"/>
  <c r="AM56" i="734"/>
  <c r="AL56" i="734"/>
  <c r="AK56" i="734"/>
  <c r="AJ56" i="734"/>
  <c r="BV53" i="734"/>
  <c r="T68" i="734"/>
  <c r="U68" i="734"/>
  <c r="V68" i="734"/>
  <c r="AZ68" i="734"/>
  <c r="BX68" i="734"/>
  <c r="CF68" i="734"/>
  <c r="CE68" i="734"/>
  <c r="J53" i="734"/>
  <c r="BK53" i="734"/>
  <c r="BN53" i="734"/>
  <c r="BR53" i="734" s="1"/>
  <c r="BM53" i="734"/>
  <c r="BL53" i="734"/>
  <c r="V53" i="734"/>
  <c r="U53" i="734"/>
  <c r="T53" i="734"/>
  <c r="BX53" i="734"/>
  <c r="BL51" i="734"/>
  <c r="BK51" i="734"/>
  <c r="BN51" i="734"/>
  <c r="BR51" i="734" s="1"/>
  <c r="BM51" i="734"/>
  <c r="T51" i="734"/>
  <c r="V51" i="734"/>
  <c r="U51" i="734"/>
  <c r="AZ51" i="734"/>
  <c r="BX51" i="734"/>
  <c r="CF51" i="734"/>
  <c r="CE51" i="734"/>
  <c r="BC46" i="734"/>
  <c r="BI45" i="734"/>
  <c r="BH45" i="734"/>
  <c r="BG45" i="734"/>
  <c r="BF45" i="734"/>
  <c r="BI43" i="734"/>
  <c r="BH43" i="734"/>
  <c r="BG43" i="734"/>
  <c r="BF43" i="734"/>
  <c r="AG52" i="734"/>
  <c r="Q52" i="734" s="1"/>
  <c r="J52" i="734"/>
  <c r="AH52" i="734"/>
  <c r="J48" i="734"/>
  <c r="BK48" i="734"/>
  <c r="BN48" i="734"/>
  <c r="BR48" i="734" s="1"/>
  <c r="BM48" i="734"/>
  <c r="BL48" i="734"/>
  <c r="V48" i="734"/>
  <c r="T48" i="734"/>
  <c r="U48" i="734"/>
  <c r="AZ48" i="734"/>
  <c r="BX48" i="734"/>
  <c r="CF45" i="734"/>
  <c r="CE45" i="734"/>
  <c r="CF44" i="734"/>
  <c r="CE44" i="734"/>
  <c r="CF42" i="734"/>
  <c r="CE42" i="734"/>
  <c r="O54" i="734"/>
  <c r="H54" i="734" s="1"/>
  <c r="N54" i="734"/>
  <c r="M54" i="734"/>
  <c r="BZ54" i="734"/>
  <c r="BD54" i="734"/>
  <c r="AM54" i="734"/>
  <c r="AL54" i="734"/>
  <c r="AK54" i="734"/>
  <c r="AJ54" i="734"/>
  <c r="BD41" i="734"/>
  <c r="AH41" i="734"/>
  <c r="J41" i="734"/>
  <c r="BC41" i="734"/>
  <c r="BZ40" i="734"/>
  <c r="BH40" i="734"/>
  <c r="BI40" i="734"/>
  <c r="BF40" i="734"/>
  <c r="BG40" i="734"/>
  <c r="AT40" i="734"/>
  <c r="BZ39" i="734"/>
  <c r="AT39" i="734"/>
  <c r="BC50" i="734"/>
  <c r="BD50" i="734"/>
  <c r="AJ50" i="734"/>
  <c r="AM50" i="734"/>
  <c r="AL50" i="734"/>
  <c r="AK50" i="734"/>
  <c r="AT50" i="734"/>
  <c r="AZ40" i="734"/>
  <c r="AT27" i="734"/>
  <c r="BX27" i="734"/>
  <c r="BV37" i="734"/>
  <c r="AT37" i="734"/>
  <c r="AZ37" i="734"/>
  <c r="BX37" i="734"/>
  <c r="J33" i="734"/>
  <c r="CE30" i="734"/>
  <c r="CF30" i="734"/>
  <c r="R29" i="734"/>
  <c r="Z29" i="734" s="1"/>
  <c r="BC29" i="734"/>
  <c r="AG29" i="734"/>
  <c r="Q29" i="734" s="1"/>
  <c r="BL65" i="734"/>
  <c r="BK65" i="734"/>
  <c r="BN65" i="734"/>
  <c r="BR65" i="734" s="1"/>
  <c r="BM65" i="734"/>
  <c r="BV65" i="734"/>
  <c r="O65" i="734"/>
  <c r="H65" i="734" s="1"/>
  <c r="N65" i="734"/>
  <c r="M65" i="734"/>
  <c r="AT47" i="734"/>
  <c r="BZ47" i="734"/>
  <c r="BD47" i="734"/>
  <c r="R36" i="734"/>
  <c r="Z36" i="734" s="1"/>
  <c r="BC36" i="734"/>
  <c r="AG36" i="734"/>
  <c r="Q36" i="734" s="1"/>
  <c r="J32" i="734"/>
  <c r="BD38" i="734"/>
  <c r="BH38" i="734"/>
  <c r="BI38" i="734"/>
  <c r="BG38" i="734"/>
  <c r="BF38" i="734"/>
  <c r="CE64" i="734"/>
  <c r="CF64" i="734"/>
  <c r="BG63" i="734"/>
  <c r="BF63" i="734"/>
  <c r="BI63" i="734"/>
  <c r="BH63" i="734"/>
  <c r="AG63" i="734"/>
  <c r="Q63" i="734" s="1"/>
  <c r="BD62" i="734"/>
  <c r="BD61" i="734"/>
  <c r="J64" i="734"/>
  <c r="AM64" i="734"/>
  <c r="AL64" i="734"/>
  <c r="AJ64" i="734"/>
  <c r="AK64" i="734"/>
  <c r="BC63" i="734"/>
  <c r="BV62" i="734"/>
  <c r="AT62" i="734"/>
  <c r="BF61" i="734"/>
  <c r="BI61" i="734"/>
  <c r="BH61" i="734"/>
  <c r="BG61" i="734"/>
  <c r="AG59" i="734"/>
  <c r="Q59" i="734" s="1"/>
  <c r="AL58" i="734"/>
  <c r="AM58" i="734"/>
  <c r="AK58" i="734"/>
  <c r="AJ58" i="734"/>
  <c r="AL59" i="734"/>
  <c r="AJ59" i="734"/>
  <c r="AM59" i="734"/>
  <c r="AK59" i="734"/>
  <c r="BN58" i="734"/>
  <c r="BR58" i="734" s="1"/>
  <c r="BM58" i="734"/>
  <c r="BL58" i="734"/>
  <c r="BK58" i="734"/>
  <c r="N59" i="734"/>
  <c r="O59" i="734"/>
  <c r="H59" i="734" s="1"/>
  <c r="M59" i="734"/>
  <c r="BF57" i="734"/>
  <c r="BH57" i="734"/>
  <c r="BG57" i="734"/>
  <c r="BI57" i="734"/>
  <c r="BL66" i="734"/>
  <c r="BK66" i="734"/>
  <c r="BN66" i="734"/>
  <c r="BR66" i="734" s="1"/>
  <c r="BM66" i="734"/>
  <c r="BV66" i="734"/>
  <c r="AG66" i="734"/>
  <c r="Q66" i="734" s="1"/>
  <c r="O66" i="734"/>
  <c r="H66" i="734" s="1"/>
  <c r="N66" i="734"/>
  <c r="M66" i="734"/>
  <c r="J55" i="734"/>
  <c r="BK55" i="734"/>
  <c r="BN55" i="734"/>
  <c r="BR55" i="734" s="1"/>
  <c r="BL55" i="734"/>
  <c r="BM55" i="734"/>
  <c r="V55" i="734"/>
  <c r="U55" i="734"/>
  <c r="T55" i="734"/>
  <c r="AZ55" i="734"/>
  <c r="BX55" i="734"/>
  <c r="T67" i="734"/>
  <c r="U67" i="734"/>
  <c r="V67" i="734"/>
  <c r="AZ67" i="734"/>
  <c r="BX67" i="734"/>
  <c r="CF67" i="734"/>
  <c r="CE67" i="734"/>
  <c r="BC56" i="734"/>
  <c r="BK56" i="734"/>
  <c r="BN56" i="734"/>
  <c r="BR56" i="734" s="1"/>
  <c r="BM56" i="734"/>
  <c r="BL56" i="734"/>
  <c r="V56" i="734"/>
  <c r="U56" i="734"/>
  <c r="T56" i="734"/>
  <c r="AZ56" i="734"/>
  <c r="BX56" i="734"/>
  <c r="BG53" i="734"/>
  <c r="BF53" i="734"/>
  <c r="BH53" i="734"/>
  <c r="BI53" i="734"/>
  <c r="BC68" i="734"/>
  <c r="BD68" i="734"/>
  <c r="BH68" i="734"/>
  <c r="BG68" i="734"/>
  <c r="BF68" i="734"/>
  <c r="BI68" i="734"/>
  <c r="AB68" i="734"/>
  <c r="AD68" i="734"/>
  <c r="AC68" i="734"/>
  <c r="AT68" i="734"/>
  <c r="AT55" i="734"/>
  <c r="AD53" i="734"/>
  <c r="AB53" i="734"/>
  <c r="AC53" i="734"/>
  <c r="AB51" i="734"/>
  <c r="AD51" i="734"/>
  <c r="AC51" i="734"/>
  <c r="AT51" i="734"/>
  <c r="BV46" i="734"/>
  <c r="BC45" i="734"/>
  <c r="BV44" i="734"/>
  <c r="BC43" i="734"/>
  <c r="BV42" i="734"/>
  <c r="AJ52" i="734"/>
  <c r="AM52" i="734"/>
  <c r="AL52" i="734"/>
  <c r="AK52" i="734"/>
  <c r="CE52" i="734"/>
  <c r="CF52" i="734"/>
  <c r="BV52" i="734"/>
  <c r="AD48" i="734"/>
  <c r="AC48" i="734"/>
  <c r="AB48" i="734"/>
  <c r="J46" i="734"/>
  <c r="AH46" i="734"/>
  <c r="AG46" i="734"/>
  <c r="Q46" i="734" s="1"/>
  <c r="J45" i="734"/>
  <c r="AH45" i="734"/>
  <c r="AG45" i="734"/>
  <c r="Q45" i="734" s="1"/>
  <c r="J44" i="734"/>
  <c r="AH44" i="734"/>
  <c r="AG44" i="734"/>
  <c r="Q44" i="734" s="1"/>
  <c r="J43" i="734"/>
  <c r="AH43" i="734"/>
  <c r="AG43" i="734"/>
  <c r="Q43" i="734" s="1"/>
  <c r="J42" i="734"/>
  <c r="AH42" i="734"/>
  <c r="AG42" i="734"/>
  <c r="Q42" i="734" s="1"/>
  <c r="AT54" i="734"/>
  <c r="BK54" i="734"/>
  <c r="BN54" i="734"/>
  <c r="BR54" i="734" s="1"/>
  <c r="BM54" i="734"/>
  <c r="BL54" i="734"/>
  <c r="V54" i="734"/>
  <c r="U54" i="734"/>
  <c r="T54" i="734"/>
  <c r="AZ54" i="734"/>
  <c r="BX54" i="734"/>
  <c r="AG41" i="734"/>
  <c r="Q41" i="734" s="1"/>
  <c r="AC41" i="734"/>
  <c r="AB41" i="734"/>
  <c r="AD41" i="734"/>
  <c r="BX41" i="734"/>
  <c r="CF41" i="734"/>
  <c r="CE41" i="734"/>
  <c r="BI41" i="734"/>
  <c r="BH41" i="734"/>
  <c r="BG41" i="734"/>
  <c r="BF41" i="734"/>
  <c r="T40" i="734"/>
  <c r="U40" i="734"/>
  <c r="V40" i="734"/>
  <c r="BL40" i="734"/>
  <c r="BK40" i="734"/>
  <c r="BN40" i="734"/>
  <c r="BR40" i="734" s="1"/>
  <c r="BM40" i="734"/>
  <c r="O40" i="734"/>
  <c r="H40" i="734" s="1"/>
  <c r="N40" i="734"/>
  <c r="M40" i="734"/>
  <c r="T39" i="734"/>
  <c r="U39" i="734"/>
  <c r="V39" i="734"/>
  <c r="BL39" i="734"/>
  <c r="BK39" i="734"/>
  <c r="BM39" i="734"/>
  <c r="BN39" i="734"/>
  <c r="BR39" i="734" s="1"/>
  <c r="O39" i="734"/>
  <c r="H39" i="734" s="1"/>
  <c r="N39" i="734"/>
  <c r="M39" i="734"/>
  <c r="BV50" i="734"/>
  <c r="BL50" i="734"/>
  <c r="BK50" i="734"/>
  <c r="BN50" i="734"/>
  <c r="BR50" i="734" s="1"/>
  <c r="BM50" i="734"/>
  <c r="V50" i="734"/>
  <c r="U50" i="734"/>
  <c r="T50" i="734"/>
  <c r="AZ50" i="734"/>
  <c r="BX50" i="734"/>
  <c r="BV26" i="734"/>
  <c r="AT26" i="734"/>
  <c r="BC25" i="734"/>
  <c r="BV24" i="734"/>
  <c r="AT24" i="734"/>
  <c r="BC23" i="734"/>
  <c r="BC49" i="734"/>
  <c r="BV33" i="734"/>
  <c r="AT33" i="734"/>
  <c r="BZ33" i="734"/>
  <c r="AZ33" i="734"/>
  <c r="BX33" i="734"/>
  <c r="J29" i="734"/>
  <c r="R28" i="734"/>
  <c r="Z28" i="734" s="1"/>
  <c r="BZ65" i="734"/>
  <c r="AJ65" i="734"/>
  <c r="AM65" i="734"/>
  <c r="AL65" i="734"/>
  <c r="AK65" i="734"/>
  <c r="AH65" i="734"/>
  <c r="J65" i="734"/>
  <c r="BV47" i="734"/>
  <c r="J47" i="734"/>
  <c r="BK47" i="734"/>
  <c r="BN47" i="734"/>
  <c r="BR47" i="734" s="1"/>
  <c r="BL47" i="734"/>
  <c r="BM47" i="734"/>
  <c r="V47" i="734"/>
  <c r="T47" i="734"/>
  <c r="U47" i="734"/>
  <c r="AZ47" i="734"/>
  <c r="BX47" i="734"/>
  <c r="J36" i="734"/>
  <c r="BV32" i="734"/>
  <c r="AT32" i="734"/>
  <c r="BZ32" i="734"/>
  <c r="T32" i="734"/>
  <c r="V32" i="734"/>
  <c r="U32" i="734"/>
  <c r="AZ32" i="734"/>
  <c r="BX32" i="734"/>
  <c r="BG30" i="734"/>
  <c r="BI30" i="734"/>
  <c r="BH30" i="734"/>
  <c r="BF30" i="734"/>
  <c r="BC22" i="734"/>
  <c r="BV21" i="734"/>
  <c r="AT21" i="734"/>
  <c r="BV19" i="734"/>
  <c r="AT19" i="734"/>
  <c r="BV17" i="734"/>
  <c r="AT17" i="734"/>
  <c r="BC16" i="734"/>
  <c r="BV15" i="734"/>
  <c r="AT15" i="734"/>
  <c r="BV13" i="734"/>
  <c r="AT13" i="734"/>
  <c r="BV11" i="734"/>
  <c r="AT11" i="734"/>
  <c r="BC10" i="734"/>
  <c r="O38" i="734"/>
  <c r="H38" i="734" s="1"/>
  <c r="N38" i="734"/>
  <c r="M38" i="734"/>
  <c r="BX38" i="734"/>
  <c r="BZ38" i="734"/>
  <c r="T38" i="734"/>
  <c r="U38" i="734"/>
  <c r="V38" i="734"/>
  <c r="BL38" i="734"/>
  <c r="BK38" i="734"/>
  <c r="BM38" i="734"/>
  <c r="BN38" i="734"/>
  <c r="BR38" i="734" s="1"/>
  <c r="CF38" i="734"/>
  <c r="CE38" i="734"/>
  <c r="AZ60" i="734"/>
  <c r="AT60" i="734"/>
  <c r="BF60" i="734"/>
  <c r="BI60" i="734"/>
  <c r="BH60" i="734"/>
  <c r="BG60" i="734"/>
  <c r="J49" i="734"/>
  <c r="AT49" i="734"/>
  <c r="BD49" i="734"/>
  <c r="AM49" i="734"/>
  <c r="AL49" i="734"/>
  <c r="AJ49" i="734"/>
  <c r="AK49" i="734"/>
  <c r="BN35" i="734"/>
  <c r="BC34" i="734"/>
  <c r="BN31" i="734"/>
  <c r="BC30" i="734"/>
  <c r="BC38" i="734"/>
  <c r="AT34" i="734"/>
  <c r="BZ34" i="734"/>
  <c r="AZ34" i="734"/>
  <c r="BX34" i="734"/>
  <c r="AC30" i="734"/>
  <c r="AB30" i="734"/>
  <c r="AD30" i="734"/>
  <c r="AO44" i="734"/>
  <c r="B11" i="1524"/>
  <c r="B182" i="1000"/>
  <c r="G3" i="1000"/>
  <c r="C2" i="1000"/>
  <c r="B180" i="1000"/>
  <c r="B178" i="1000"/>
  <c r="B176" i="1000"/>
  <c r="B174" i="1000"/>
  <c r="B172" i="1000"/>
  <c r="B170" i="1000"/>
  <c r="B168" i="1000"/>
  <c r="B164" i="1000"/>
  <c r="B162" i="1000"/>
  <c r="B154" i="1000"/>
  <c r="B152" i="1000"/>
  <c r="B150" i="1000"/>
  <c r="B146" i="1000"/>
  <c r="B144" i="1000"/>
  <c r="B142" i="1000"/>
  <c r="B140" i="1000"/>
  <c r="B136" i="1000"/>
  <c r="B134" i="1000"/>
  <c r="B132" i="1000"/>
  <c r="A1" i="1507"/>
  <c r="C69" i="1507"/>
  <c r="G69" i="1507" s="1"/>
  <c r="H69" i="1507" s="1"/>
  <c r="H68" i="1507"/>
  <c r="G68" i="1507"/>
  <c r="C68" i="1507"/>
  <c r="G67" i="1507"/>
  <c r="H67" i="1507" s="1"/>
  <c r="C67" i="1507"/>
  <c r="C66" i="1507"/>
  <c r="G66" i="1507" s="1"/>
  <c r="H66" i="1507" s="1"/>
  <c r="H65" i="1507"/>
  <c r="C65" i="1507"/>
  <c r="G65" i="1507" s="1"/>
  <c r="G64" i="1507"/>
  <c r="H64" i="1507" s="1"/>
  <c r="C64" i="1507"/>
  <c r="C63" i="1507"/>
  <c r="G63" i="1507" s="1"/>
  <c r="H63" i="1507" s="1"/>
  <c r="G62" i="1507"/>
  <c r="H62" i="1507" s="1"/>
  <c r="C62" i="1507"/>
  <c r="C61" i="1507"/>
  <c r="G61" i="1507" s="1"/>
  <c r="H61" i="1507" s="1"/>
  <c r="H60" i="1507"/>
  <c r="G60" i="1507"/>
  <c r="C60" i="1507"/>
  <c r="G59" i="1507"/>
  <c r="H59" i="1507" s="1"/>
  <c r="C59" i="1507"/>
  <c r="C58" i="1507"/>
  <c r="G58" i="1507" s="1"/>
  <c r="H58" i="1507" s="1"/>
  <c r="H57" i="1507"/>
  <c r="C57" i="1507"/>
  <c r="G57" i="1507" s="1"/>
  <c r="G56" i="1507"/>
  <c r="H56" i="1507" s="1"/>
  <c r="C56" i="1507"/>
  <c r="C55" i="1507"/>
  <c r="G55" i="1507" s="1"/>
  <c r="H55" i="1507" s="1"/>
  <c r="G54" i="1507"/>
  <c r="H54" i="1507" s="1"/>
  <c r="C54" i="1507"/>
  <c r="C53" i="1507"/>
  <c r="G53" i="1507" s="1"/>
  <c r="H53" i="1507" s="1"/>
  <c r="H52" i="1507"/>
  <c r="G52" i="1507"/>
  <c r="C52" i="1507"/>
  <c r="G51" i="1507"/>
  <c r="H51" i="1507" s="1"/>
  <c r="C51" i="1507"/>
  <c r="C50" i="1507"/>
  <c r="G50" i="1507" s="1"/>
  <c r="H50" i="1507" s="1"/>
  <c r="H49" i="1507"/>
  <c r="C49" i="1507"/>
  <c r="G49" i="1507" s="1"/>
  <c r="G48" i="1507"/>
  <c r="H48" i="1507" s="1"/>
  <c r="C48" i="1507"/>
  <c r="C47" i="1507"/>
  <c r="G47" i="1507" s="1"/>
  <c r="H47" i="1507" s="1"/>
  <c r="G46" i="1507"/>
  <c r="H46" i="1507" s="1"/>
  <c r="C46" i="1507"/>
  <c r="C45" i="1507"/>
  <c r="G45" i="1507" s="1"/>
  <c r="H45" i="1507" s="1"/>
  <c r="H44" i="1507"/>
  <c r="G44" i="1507"/>
  <c r="C44" i="1507"/>
  <c r="H43" i="1507"/>
  <c r="G43" i="1507"/>
  <c r="C43" i="1507"/>
  <c r="C42" i="1507"/>
  <c r="G42" i="1507" s="1"/>
  <c r="H42" i="1507" s="1"/>
  <c r="H41" i="1507"/>
  <c r="C41" i="1507"/>
  <c r="G41" i="1507" s="1"/>
  <c r="G40" i="1507"/>
  <c r="H40" i="1507" s="1"/>
  <c r="C40" i="1507"/>
  <c r="C39" i="1507"/>
  <c r="G39" i="1507" s="1"/>
  <c r="H39" i="1507" s="1"/>
  <c r="G38" i="1507"/>
  <c r="H38" i="1507" s="1"/>
  <c r="C38" i="1507"/>
  <c r="C37" i="1507"/>
  <c r="G37" i="1507" s="1"/>
  <c r="H37" i="1507" s="1"/>
  <c r="H36" i="1507"/>
  <c r="G36" i="1507"/>
  <c r="C36" i="1507"/>
  <c r="G35" i="1507"/>
  <c r="H35" i="1507" s="1"/>
  <c r="C35" i="1507"/>
  <c r="C34" i="1507"/>
  <c r="G34" i="1507" s="1"/>
  <c r="H34" i="1507" s="1"/>
  <c r="H33" i="1507"/>
  <c r="C33" i="1507"/>
  <c r="G33" i="1507" s="1"/>
  <c r="G32" i="1507"/>
  <c r="H32" i="1507" s="1"/>
  <c r="C32" i="1507"/>
  <c r="C31" i="1507"/>
  <c r="G31" i="1507" s="1"/>
  <c r="H31" i="1507" s="1"/>
  <c r="G30" i="1507"/>
  <c r="H30" i="1507" s="1"/>
  <c r="C30" i="1507"/>
  <c r="C29" i="1507"/>
  <c r="G29" i="1507" s="1"/>
  <c r="H29" i="1507" s="1"/>
  <c r="H28" i="1507"/>
  <c r="G28" i="1507"/>
  <c r="C28" i="1507"/>
  <c r="G27" i="1507"/>
  <c r="H27" i="1507" s="1"/>
  <c r="C27" i="1507"/>
  <c r="C26" i="1507"/>
  <c r="G26" i="1507" s="1"/>
  <c r="H26" i="1507" s="1"/>
  <c r="H25" i="1507"/>
  <c r="C25" i="1507"/>
  <c r="G25" i="1507" s="1"/>
  <c r="G24" i="1507"/>
  <c r="H24" i="1507" s="1"/>
  <c r="C24" i="1507"/>
  <c r="C23" i="1507"/>
  <c r="G23" i="1507" s="1"/>
  <c r="H23" i="1507" s="1"/>
  <c r="G22" i="1507"/>
  <c r="H22" i="1507" s="1"/>
  <c r="C22" i="1507"/>
  <c r="C21" i="1507"/>
  <c r="G21" i="1507" s="1"/>
  <c r="H21" i="1507" s="1"/>
  <c r="H20" i="1507"/>
  <c r="G20" i="1507"/>
  <c r="C20" i="1507"/>
  <c r="G19" i="1507"/>
  <c r="H19" i="1507" s="1"/>
  <c r="C19" i="1507"/>
  <c r="C18" i="1507"/>
  <c r="G18" i="1507" s="1"/>
  <c r="H18" i="1507" s="1"/>
  <c r="H17" i="1507"/>
  <c r="C17" i="1507"/>
  <c r="G17" i="1507" s="1"/>
  <c r="G16" i="1507"/>
  <c r="H16" i="1507" s="1"/>
  <c r="C16" i="1507"/>
  <c r="C15" i="1507"/>
  <c r="G15" i="1507" s="1"/>
  <c r="H15" i="1507" s="1"/>
  <c r="G14" i="1507"/>
  <c r="H14" i="1507" s="1"/>
  <c r="C14" i="1507"/>
  <c r="C13" i="1507"/>
  <c r="G13" i="1507" s="1"/>
  <c r="H13" i="1507" s="1"/>
  <c r="H12" i="1507"/>
  <c r="G12" i="1507"/>
  <c r="C12" i="1507"/>
  <c r="H11" i="1507"/>
  <c r="G11" i="1507"/>
  <c r="C11" i="1507"/>
  <c r="C10" i="1507"/>
  <c r="G10" i="1507" s="1"/>
  <c r="H10" i="1507" s="1"/>
  <c r="B120" i="1000"/>
  <c r="B114" i="1000"/>
  <c r="B112" i="1000"/>
  <c r="B108" i="1000"/>
  <c r="B106" i="1000"/>
  <c r="B104" i="1000"/>
  <c r="B102" i="1000"/>
  <c r="B100" i="1000"/>
  <c r="B88" i="1000"/>
  <c r="B86" i="1000"/>
  <c r="A1" i="1506"/>
  <c r="C69" i="1506"/>
  <c r="G69" i="1506" s="1"/>
  <c r="H69" i="1506" s="1"/>
  <c r="C68" i="1506"/>
  <c r="G68" i="1506" s="1"/>
  <c r="H68" i="1506" s="1"/>
  <c r="G67" i="1506"/>
  <c r="H67" i="1506" s="1"/>
  <c r="C67" i="1506"/>
  <c r="C66" i="1506"/>
  <c r="G66" i="1506" s="1"/>
  <c r="H66" i="1506" s="1"/>
  <c r="C65" i="1506"/>
  <c r="G65" i="1506" s="1"/>
  <c r="H65" i="1506" s="1"/>
  <c r="C64" i="1506"/>
  <c r="G64" i="1506" s="1"/>
  <c r="H64" i="1506" s="1"/>
  <c r="G63" i="1506"/>
  <c r="H63" i="1506" s="1"/>
  <c r="C63" i="1506"/>
  <c r="C62" i="1506"/>
  <c r="G62" i="1506" s="1"/>
  <c r="H62" i="1506" s="1"/>
  <c r="C61" i="1506"/>
  <c r="G61" i="1506" s="1"/>
  <c r="H61" i="1506" s="1"/>
  <c r="H60" i="1506"/>
  <c r="C60" i="1506"/>
  <c r="G60" i="1506" s="1"/>
  <c r="G59" i="1506"/>
  <c r="H59" i="1506" s="1"/>
  <c r="C59" i="1506"/>
  <c r="H58" i="1506"/>
  <c r="C58" i="1506"/>
  <c r="G58" i="1506" s="1"/>
  <c r="C57" i="1506"/>
  <c r="G57" i="1506" s="1"/>
  <c r="H57" i="1506" s="1"/>
  <c r="C56" i="1506"/>
  <c r="G56" i="1506" s="1"/>
  <c r="H56" i="1506" s="1"/>
  <c r="G55" i="1506"/>
  <c r="H55" i="1506" s="1"/>
  <c r="C55" i="1506"/>
  <c r="G54" i="1506"/>
  <c r="H54" i="1506" s="1"/>
  <c r="C54" i="1506"/>
  <c r="C53" i="1506"/>
  <c r="G53" i="1506" s="1"/>
  <c r="H53" i="1506" s="1"/>
  <c r="C52" i="1506"/>
  <c r="G52" i="1506" s="1"/>
  <c r="H52" i="1506" s="1"/>
  <c r="G51" i="1506"/>
  <c r="H51" i="1506" s="1"/>
  <c r="C51" i="1506"/>
  <c r="C50" i="1506"/>
  <c r="G50" i="1506" s="1"/>
  <c r="H50" i="1506" s="1"/>
  <c r="C49" i="1506"/>
  <c r="G49" i="1506" s="1"/>
  <c r="H49" i="1506" s="1"/>
  <c r="C48" i="1506"/>
  <c r="G48" i="1506" s="1"/>
  <c r="H48" i="1506" s="1"/>
  <c r="H47" i="1506"/>
  <c r="G47" i="1506"/>
  <c r="C47" i="1506"/>
  <c r="C46" i="1506"/>
  <c r="G46" i="1506" s="1"/>
  <c r="H46" i="1506" s="1"/>
  <c r="C45" i="1506"/>
  <c r="G45" i="1506" s="1"/>
  <c r="H45" i="1506" s="1"/>
  <c r="C44" i="1506"/>
  <c r="G44" i="1506" s="1"/>
  <c r="H44" i="1506" s="1"/>
  <c r="G43" i="1506"/>
  <c r="H43" i="1506" s="1"/>
  <c r="C43" i="1506"/>
  <c r="C42" i="1506"/>
  <c r="G42" i="1506" s="1"/>
  <c r="H42" i="1506" s="1"/>
  <c r="G41" i="1506"/>
  <c r="H41" i="1506" s="1"/>
  <c r="C41" i="1506"/>
  <c r="C40" i="1506"/>
  <c r="G40" i="1506" s="1"/>
  <c r="H40" i="1506" s="1"/>
  <c r="G39" i="1506"/>
  <c r="H39" i="1506" s="1"/>
  <c r="C39" i="1506"/>
  <c r="C38" i="1506"/>
  <c r="G38" i="1506" s="1"/>
  <c r="H38" i="1506" s="1"/>
  <c r="C37" i="1506"/>
  <c r="G37" i="1506" s="1"/>
  <c r="H37" i="1506" s="1"/>
  <c r="C36" i="1506"/>
  <c r="G36" i="1506" s="1"/>
  <c r="H36" i="1506" s="1"/>
  <c r="G35" i="1506"/>
  <c r="H35" i="1506" s="1"/>
  <c r="C35" i="1506"/>
  <c r="C34" i="1506"/>
  <c r="G34" i="1506" s="1"/>
  <c r="H34" i="1506" s="1"/>
  <c r="C33" i="1506"/>
  <c r="G33" i="1506" s="1"/>
  <c r="H33" i="1506" s="1"/>
  <c r="C32" i="1506"/>
  <c r="G32" i="1506" s="1"/>
  <c r="H32" i="1506" s="1"/>
  <c r="G31" i="1506"/>
  <c r="H31" i="1506" s="1"/>
  <c r="C31" i="1506"/>
  <c r="C30" i="1506"/>
  <c r="G30" i="1506" s="1"/>
  <c r="H30" i="1506" s="1"/>
  <c r="C29" i="1506"/>
  <c r="G29" i="1506" s="1"/>
  <c r="H29" i="1506" s="1"/>
  <c r="H28" i="1506"/>
  <c r="C28" i="1506"/>
  <c r="G28" i="1506" s="1"/>
  <c r="G27" i="1506"/>
  <c r="H27" i="1506" s="1"/>
  <c r="C27" i="1506"/>
  <c r="H26" i="1506"/>
  <c r="C26" i="1506"/>
  <c r="G26" i="1506" s="1"/>
  <c r="C25" i="1506"/>
  <c r="G25" i="1506" s="1"/>
  <c r="H25" i="1506" s="1"/>
  <c r="C24" i="1506"/>
  <c r="G24" i="1506" s="1"/>
  <c r="H24" i="1506" s="1"/>
  <c r="G23" i="1506"/>
  <c r="H23" i="1506" s="1"/>
  <c r="C23" i="1506"/>
  <c r="G22" i="1506"/>
  <c r="H22" i="1506" s="1"/>
  <c r="C22" i="1506"/>
  <c r="C21" i="1506"/>
  <c r="G21" i="1506" s="1"/>
  <c r="H21" i="1506" s="1"/>
  <c r="C20" i="1506"/>
  <c r="G20" i="1506" s="1"/>
  <c r="H20" i="1506" s="1"/>
  <c r="G19" i="1506"/>
  <c r="H19" i="1506" s="1"/>
  <c r="C19" i="1506"/>
  <c r="C18" i="1506"/>
  <c r="G18" i="1506" s="1"/>
  <c r="H18" i="1506" s="1"/>
  <c r="C17" i="1506"/>
  <c r="G17" i="1506" s="1"/>
  <c r="H17" i="1506" s="1"/>
  <c r="C16" i="1506"/>
  <c r="G16" i="1506" s="1"/>
  <c r="H16" i="1506" s="1"/>
  <c r="H15" i="1506"/>
  <c r="G15" i="1506"/>
  <c r="C15" i="1506"/>
  <c r="C14" i="1506"/>
  <c r="G14" i="1506" s="1"/>
  <c r="H14" i="1506" s="1"/>
  <c r="C13" i="1506"/>
  <c r="G13" i="1506" s="1"/>
  <c r="H13" i="1506" s="1"/>
  <c r="C12" i="1506"/>
  <c r="G12" i="1506" s="1"/>
  <c r="H12" i="1506" s="1"/>
  <c r="G11" i="1506"/>
  <c r="H11" i="1506" s="1"/>
  <c r="C11" i="1506"/>
  <c r="C10" i="1506"/>
  <c r="G10" i="1506" s="1"/>
  <c r="H10" i="1506" s="1"/>
  <c r="B78" i="1000"/>
  <c r="B76" i="1000"/>
  <c r="B72" i="1000"/>
  <c r="B70" i="1000"/>
  <c r="B66" i="1000"/>
  <c r="B64" i="1000"/>
  <c r="B62" i="1000"/>
  <c r="B58" i="1000"/>
  <c r="B46" i="1000"/>
  <c r="B44" i="1000"/>
  <c r="B42" i="1000"/>
  <c r="A1" i="1505"/>
  <c r="C69" i="1505"/>
  <c r="G69" i="1505" s="1"/>
  <c r="H69" i="1505" s="1"/>
  <c r="C68" i="1505"/>
  <c r="G68" i="1505" s="1"/>
  <c r="H68" i="1505" s="1"/>
  <c r="C67" i="1505"/>
  <c r="G67" i="1505" s="1"/>
  <c r="H67" i="1505" s="1"/>
  <c r="G66" i="1505"/>
  <c r="H66" i="1505" s="1"/>
  <c r="C66" i="1505"/>
  <c r="C65" i="1505"/>
  <c r="G65" i="1505" s="1"/>
  <c r="H65" i="1505" s="1"/>
  <c r="C64" i="1505"/>
  <c r="G64" i="1505" s="1"/>
  <c r="H64" i="1505" s="1"/>
  <c r="C63" i="1505"/>
  <c r="G63" i="1505" s="1"/>
  <c r="H63" i="1505" s="1"/>
  <c r="G62" i="1505"/>
  <c r="H62" i="1505" s="1"/>
  <c r="C62" i="1505"/>
  <c r="C61" i="1505"/>
  <c r="G61" i="1505" s="1"/>
  <c r="H61" i="1505" s="1"/>
  <c r="C60" i="1505"/>
  <c r="G60" i="1505" s="1"/>
  <c r="H60" i="1505" s="1"/>
  <c r="C59" i="1505"/>
  <c r="G59" i="1505" s="1"/>
  <c r="H59" i="1505" s="1"/>
  <c r="G58" i="1505"/>
  <c r="H58" i="1505" s="1"/>
  <c r="C58" i="1505"/>
  <c r="C57" i="1505"/>
  <c r="G57" i="1505" s="1"/>
  <c r="H57" i="1505" s="1"/>
  <c r="C56" i="1505"/>
  <c r="G56" i="1505" s="1"/>
  <c r="H56" i="1505" s="1"/>
  <c r="C55" i="1505"/>
  <c r="G55" i="1505" s="1"/>
  <c r="H55" i="1505" s="1"/>
  <c r="G54" i="1505"/>
  <c r="H54" i="1505" s="1"/>
  <c r="C54" i="1505"/>
  <c r="C53" i="1505"/>
  <c r="G53" i="1505" s="1"/>
  <c r="H53" i="1505" s="1"/>
  <c r="C52" i="1505"/>
  <c r="G52" i="1505" s="1"/>
  <c r="H52" i="1505" s="1"/>
  <c r="C51" i="1505"/>
  <c r="G51" i="1505" s="1"/>
  <c r="H51" i="1505" s="1"/>
  <c r="G50" i="1505"/>
  <c r="H50" i="1505" s="1"/>
  <c r="C50" i="1505"/>
  <c r="C49" i="1505"/>
  <c r="G49" i="1505" s="1"/>
  <c r="H49" i="1505" s="1"/>
  <c r="C48" i="1505"/>
  <c r="G48" i="1505" s="1"/>
  <c r="H48" i="1505" s="1"/>
  <c r="C47" i="1505"/>
  <c r="G47" i="1505" s="1"/>
  <c r="H47" i="1505" s="1"/>
  <c r="G46" i="1505"/>
  <c r="H46" i="1505" s="1"/>
  <c r="C46" i="1505"/>
  <c r="C45" i="1505"/>
  <c r="G45" i="1505" s="1"/>
  <c r="H45" i="1505" s="1"/>
  <c r="C44" i="1505"/>
  <c r="G44" i="1505" s="1"/>
  <c r="H44" i="1505" s="1"/>
  <c r="C43" i="1505"/>
  <c r="G43" i="1505" s="1"/>
  <c r="H43" i="1505" s="1"/>
  <c r="G42" i="1505"/>
  <c r="H42" i="1505" s="1"/>
  <c r="C42" i="1505"/>
  <c r="C41" i="1505"/>
  <c r="G41" i="1505" s="1"/>
  <c r="H41" i="1505" s="1"/>
  <c r="C40" i="1505"/>
  <c r="G40" i="1505" s="1"/>
  <c r="H40" i="1505" s="1"/>
  <c r="C39" i="1505"/>
  <c r="G39" i="1505" s="1"/>
  <c r="H39" i="1505" s="1"/>
  <c r="G38" i="1505"/>
  <c r="H38" i="1505" s="1"/>
  <c r="C38" i="1505"/>
  <c r="C37" i="1505"/>
  <c r="G37" i="1505" s="1"/>
  <c r="H37" i="1505" s="1"/>
  <c r="C36" i="1505"/>
  <c r="G36" i="1505" s="1"/>
  <c r="H36" i="1505" s="1"/>
  <c r="C35" i="1505"/>
  <c r="G35" i="1505" s="1"/>
  <c r="H35" i="1505" s="1"/>
  <c r="G34" i="1505"/>
  <c r="H34" i="1505" s="1"/>
  <c r="C34" i="1505"/>
  <c r="C33" i="1505"/>
  <c r="G33" i="1505" s="1"/>
  <c r="H33" i="1505" s="1"/>
  <c r="C32" i="1505"/>
  <c r="G32" i="1505" s="1"/>
  <c r="H32" i="1505" s="1"/>
  <c r="C31" i="1505"/>
  <c r="G31" i="1505" s="1"/>
  <c r="H31" i="1505" s="1"/>
  <c r="G30" i="1505"/>
  <c r="H30" i="1505" s="1"/>
  <c r="C30" i="1505"/>
  <c r="C29" i="1505"/>
  <c r="G29" i="1505" s="1"/>
  <c r="H29" i="1505" s="1"/>
  <c r="C28" i="1505"/>
  <c r="G28" i="1505" s="1"/>
  <c r="H28" i="1505" s="1"/>
  <c r="C27" i="1505"/>
  <c r="G27" i="1505" s="1"/>
  <c r="H27" i="1505" s="1"/>
  <c r="G26" i="1505"/>
  <c r="H26" i="1505" s="1"/>
  <c r="C26" i="1505"/>
  <c r="C25" i="1505"/>
  <c r="G25" i="1505" s="1"/>
  <c r="H25" i="1505" s="1"/>
  <c r="C24" i="1505"/>
  <c r="G24" i="1505" s="1"/>
  <c r="H24" i="1505" s="1"/>
  <c r="C23" i="1505"/>
  <c r="G23" i="1505" s="1"/>
  <c r="H23" i="1505" s="1"/>
  <c r="G22" i="1505"/>
  <c r="H22" i="1505" s="1"/>
  <c r="C22" i="1505"/>
  <c r="H21" i="1505"/>
  <c r="C21" i="1505"/>
  <c r="G21" i="1505" s="1"/>
  <c r="C20" i="1505"/>
  <c r="G20" i="1505" s="1"/>
  <c r="H20" i="1505" s="1"/>
  <c r="C19" i="1505"/>
  <c r="G19" i="1505" s="1"/>
  <c r="H19" i="1505" s="1"/>
  <c r="G18" i="1505"/>
  <c r="H18" i="1505" s="1"/>
  <c r="C18" i="1505"/>
  <c r="C17" i="1505"/>
  <c r="G17" i="1505" s="1"/>
  <c r="H17" i="1505" s="1"/>
  <c r="C16" i="1505"/>
  <c r="G16" i="1505" s="1"/>
  <c r="H16" i="1505" s="1"/>
  <c r="C15" i="1505"/>
  <c r="G15" i="1505" s="1"/>
  <c r="H15" i="1505" s="1"/>
  <c r="G14" i="1505"/>
  <c r="H14" i="1505" s="1"/>
  <c r="C14" i="1505"/>
  <c r="C13" i="1505"/>
  <c r="G13" i="1505" s="1"/>
  <c r="H13" i="1505" s="1"/>
  <c r="C12" i="1505"/>
  <c r="G12" i="1505" s="1"/>
  <c r="H12" i="1505" s="1"/>
  <c r="C11" i="1505"/>
  <c r="G11" i="1505" s="1"/>
  <c r="H11" i="1505" s="1"/>
  <c r="G10" i="1505"/>
  <c r="H10" i="1505" s="1"/>
  <c r="C10" i="1505"/>
  <c r="B40" i="1000"/>
  <c r="B38" i="1000"/>
  <c r="B36" i="1000"/>
  <c r="B34" i="1000"/>
  <c r="B32" i="1000"/>
  <c r="B30" i="1000"/>
  <c r="B28" i="1000"/>
  <c r="B26" i="1000"/>
  <c r="B24" i="1000"/>
  <c r="B22" i="1000"/>
  <c r="B20" i="1000"/>
  <c r="B18" i="1000"/>
  <c r="B16" i="1000"/>
  <c r="B14" i="1000"/>
  <c r="B12" i="1000"/>
  <c r="C1" i="1000"/>
  <c r="B122" i="900"/>
  <c r="G3" i="900"/>
  <c r="C2" i="900"/>
  <c r="B118" i="900"/>
  <c r="B116" i="900"/>
  <c r="B114" i="900"/>
  <c r="B112" i="900"/>
  <c r="B110" i="900"/>
  <c r="B100" i="900"/>
  <c r="B98" i="900"/>
  <c r="B96" i="900"/>
  <c r="B94" i="900"/>
  <c r="B92" i="900"/>
  <c r="B90" i="900"/>
  <c r="B88" i="900"/>
  <c r="B86" i="900"/>
  <c r="B84" i="900"/>
  <c r="B80" i="900"/>
  <c r="B78" i="900"/>
  <c r="B76" i="900"/>
  <c r="B74" i="900"/>
  <c r="A1" i="1504"/>
  <c r="C69" i="1504"/>
  <c r="G69" i="1504" s="1"/>
  <c r="H69" i="1504" s="1"/>
  <c r="C68" i="1504"/>
  <c r="G68" i="1504" s="1"/>
  <c r="H68" i="1504" s="1"/>
  <c r="C67" i="1504"/>
  <c r="G67" i="1504" s="1"/>
  <c r="H67" i="1504" s="1"/>
  <c r="G66" i="1504"/>
  <c r="H66" i="1504" s="1"/>
  <c r="C66" i="1504"/>
  <c r="H65" i="1504"/>
  <c r="C65" i="1504"/>
  <c r="G65" i="1504" s="1"/>
  <c r="C64" i="1504"/>
  <c r="G64" i="1504" s="1"/>
  <c r="H64" i="1504" s="1"/>
  <c r="C63" i="1504"/>
  <c r="G63" i="1504" s="1"/>
  <c r="H63" i="1504" s="1"/>
  <c r="G62" i="1504"/>
  <c r="H62" i="1504" s="1"/>
  <c r="C62" i="1504"/>
  <c r="C61" i="1504"/>
  <c r="G61" i="1504" s="1"/>
  <c r="H61" i="1504" s="1"/>
  <c r="C60" i="1504"/>
  <c r="G60" i="1504" s="1"/>
  <c r="H60" i="1504" s="1"/>
  <c r="C59" i="1504"/>
  <c r="G59" i="1504" s="1"/>
  <c r="H59" i="1504" s="1"/>
  <c r="G58" i="1504"/>
  <c r="H58" i="1504" s="1"/>
  <c r="C58" i="1504"/>
  <c r="C57" i="1504"/>
  <c r="G57" i="1504" s="1"/>
  <c r="H57" i="1504" s="1"/>
  <c r="C56" i="1504"/>
  <c r="G56" i="1504" s="1"/>
  <c r="H56" i="1504" s="1"/>
  <c r="C55" i="1504"/>
  <c r="G55" i="1504" s="1"/>
  <c r="H55" i="1504" s="1"/>
  <c r="G54" i="1504"/>
  <c r="H54" i="1504" s="1"/>
  <c r="C54" i="1504"/>
  <c r="C53" i="1504"/>
  <c r="G53" i="1504" s="1"/>
  <c r="H53" i="1504" s="1"/>
  <c r="C52" i="1504"/>
  <c r="G52" i="1504" s="1"/>
  <c r="H52" i="1504" s="1"/>
  <c r="C51" i="1504"/>
  <c r="G51" i="1504" s="1"/>
  <c r="H51" i="1504" s="1"/>
  <c r="G50" i="1504"/>
  <c r="H50" i="1504" s="1"/>
  <c r="C50" i="1504"/>
  <c r="C49" i="1504"/>
  <c r="G49" i="1504" s="1"/>
  <c r="H49" i="1504" s="1"/>
  <c r="C48" i="1504"/>
  <c r="G48" i="1504" s="1"/>
  <c r="H48" i="1504" s="1"/>
  <c r="C47" i="1504"/>
  <c r="G47" i="1504" s="1"/>
  <c r="H47" i="1504" s="1"/>
  <c r="G46" i="1504"/>
  <c r="H46" i="1504" s="1"/>
  <c r="C46" i="1504"/>
  <c r="C45" i="1504"/>
  <c r="G45" i="1504" s="1"/>
  <c r="H45" i="1504" s="1"/>
  <c r="C44" i="1504"/>
  <c r="G44" i="1504" s="1"/>
  <c r="H44" i="1504" s="1"/>
  <c r="C43" i="1504"/>
  <c r="G43" i="1504" s="1"/>
  <c r="H43" i="1504" s="1"/>
  <c r="G42" i="1504"/>
  <c r="H42" i="1504" s="1"/>
  <c r="C42" i="1504"/>
  <c r="C41" i="1504"/>
  <c r="G41" i="1504" s="1"/>
  <c r="H41" i="1504" s="1"/>
  <c r="C40" i="1504"/>
  <c r="G40" i="1504" s="1"/>
  <c r="H40" i="1504" s="1"/>
  <c r="C39" i="1504"/>
  <c r="G39" i="1504" s="1"/>
  <c r="H39" i="1504" s="1"/>
  <c r="G38" i="1504"/>
  <c r="H38" i="1504" s="1"/>
  <c r="C38" i="1504"/>
  <c r="C37" i="1504"/>
  <c r="G37" i="1504" s="1"/>
  <c r="H37" i="1504" s="1"/>
  <c r="C36" i="1504"/>
  <c r="G36" i="1504" s="1"/>
  <c r="H36" i="1504" s="1"/>
  <c r="C35" i="1504"/>
  <c r="G35" i="1504" s="1"/>
  <c r="H35" i="1504" s="1"/>
  <c r="G34" i="1504"/>
  <c r="H34" i="1504" s="1"/>
  <c r="C34" i="1504"/>
  <c r="H33" i="1504"/>
  <c r="C33" i="1504"/>
  <c r="G33" i="1504" s="1"/>
  <c r="C32" i="1504"/>
  <c r="G32" i="1504" s="1"/>
  <c r="H32" i="1504" s="1"/>
  <c r="C31" i="1504"/>
  <c r="G31" i="1504" s="1"/>
  <c r="H31" i="1504" s="1"/>
  <c r="G30" i="1504"/>
  <c r="H30" i="1504" s="1"/>
  <c r="C30" i="1504"/>
  <c r="G29" i="1504"/>
  <c r="H29" i="1504" s="1"/>
  <c r="C29" i="1504"/>
  <c r="C28" i="1504"/>
  <c r="G28" i="1504" s="1"/>
  <c r="H28" i="1504" s="1"/>
  <c r="C27" i="1504"/>
  <c r="G27" i="1504" s="1"/>
  <c r="H27" i="1504" s="1"/>
  <c r="G26" i="1504"/>
  <c r="H26" i="1504" s="1"/>
  <c r="C26" i="1504"/>
  <c r="C25" i="1504"/>
  <c r="G25" i="1504" s="1"/>
  <c r="H25" i="1504" s="1"/>
  <c r="C24" i="1504"/>
  <c r="G24" i="1504" s="1"/>
  <c r="H24" i="1504" s="1"/>
  <c r="C23" i="1504"/>
  <c r="G23" i="1504" s="1"/>
  <c r="H23" i="1504" s="1"/>
  <c r="H22" i="1504"/>
  <c r="G22" i="1504"/>
  <c r="C22" i="1504"/>
  <c r="C21" i="1504"/>
  <c r="G21" i="1504" s="1"/>
  <c r="H21" i="1504" s="1"/>
  <c r="C20" i="1504"/>
  <c r="G20" i="1504" s="1"/>
  <c r="H20" i="1504" s="1"/>
  <c r="C19" i="1504"/>
  <c r="G19" i="1504" s="1"/>
  <c r="H19" i="1504" s="1"/>
  <c r="G18" i="1504"/>
  <c r="H18" i="1504" s="1"/>
  <c r="C18" i="1504"/>
  <c r="C17" i="1504"/>
  <c r="G17" i="1504" s="1"/>
  <c r="H17" i="1504" s="1"/>
  <c r="G16" i="1504"/>
  <c r="H16" i="1504" s="1"/>
  <c r="C16" i="1504"/>
  <c r="C15" i="1504"/>
  <c r="G15" i="1504" s="1"/>
  <c r="H15" i="1504" s="1"/>
  <c r="G14" i="1504"/>
  <c r="H14" i="1504" s="1"/>
  <c r="C14" i="1504"/>
  <c r="C13" i="1504"/>
  <c r="G13" i="1504" s="1"/>
  <c r="H13" i="1504" s="1"/>
  <c r="C12" i="1504"/>
  <c r="G12" i="1504" s="1"/>
  <c r="H12" i="1504" s="1"/>
  <c r="C11" i="1504"/>
  <c r="G11" i="1504" s="1"/>
  <c r="H11" i="1504" s="1"/>
  <c r="G10" i="1504"/>
  <c r="H10" i="1504" s="1"/>
  <c r="C10" i="1504"/>
  <c r="B70" i="900"/>
  <c r="B68" i="900"/>
  <c r="B66" i="900"/>
  <c r="B64" i="900"/>
  <c r="B62" i="900"/>
  <c r="B60" i="900"/>
  <c r="B58" i="900"/>
  <c r="B56" i="900"/>
  <c r="B54" i="900"/>
  <c r="B52" i="900"/>
  <c r="B50" i="900"/>
  <c r="B48" i="900"/>
  <c r="B46" i="900"/>
  <c r="B44" i="900"/>
  <c r="B42" i="900"/>
  <c r="B40" i="900"/>
  <c r="A1" i="1503"/>
  <c r="G69" i="1503"/>
  <c r="H69" i="1503" s="1"/>
  <c r="C69" i="1503"/>
  <c r="C68" i="1503"/>
  <c r="G68" i="1503" s="1"/>
  <c r="H68" i="1503" s="1"/>
  <c r="H67" i="1503"/>
  <c r="G67" i="1503"/>
  <c r="C67" i="1503"/>
  <c r="G66" i="1503"/>
  <c r="H66" i="1503" s="1"/>
  <c r="C66" i="1503"/>
  <c r="C65" i="1503"/>
  <c r="G65" i="1503" s="1"/>
  <c r="H65" i="1503" s="1"/>
  <c r="H64" i="1503"/>
  <c r="C64" i="1503"/>
  <c r="G64" i="1503" s="1"/>
  <c r="G63" i="1503"/>
  <c r="H63" i="1503" s="1"/>
  <c r="C63" i="1503"/>
  <c r="C62" i="1503"/>
  <c r="G62" i="1503" s="1"/>
  <c r="H62" i="1503" s="1"/>
  <c r="G61" i="1503"/>
  <c r="H61" i="1503" s="1"/>
  <c r="C61" i="1503"/>
  <c r="C60" i="1503"/>
  <c r="G60" i="1503" s="1"/>
  <c r="H60" i="1503" s="1"/>
  <c r="H59" i="1503"/>
  <c r="G59" i="1503"/>
  <c r="C59" i="1503"/>
  <c r="G58" i="1503"/>
  <c r="H58" i="1503" s="1"/>
  <c r="C58" i="1503"/>
  <c r="C57" i="1503"/>
  <c r="G57" i="1503" s="1"/>
  <c r="H57" i="1503" s="1"/>
  <c r="H56" i="1503"/>
  <c r="C56" i="1503"/>
  <c r="G56" i="1503" s="1"/>
  <c r="G55" i="1503"/>
  <c r="H55" i="1503" s="1"/>
  <c r="C55" i="1503"/>
  <c r="C54" i="1503"/>
  <c r="G54" i="1503" s="1"/>
  <c r="H54" i="1503" s="1"/>
  <c r="G53" i="1503"/>
  <c r="H53" i="1503" s="1"/>
  <c r="C53" i="1503"/>
  <c r="C52" i="1503"/>
  <c r="G52" i="1503" s="1"/>
  <c r="H52" i="1503" s="1"/>
  <c r="H51" i="1503"/>
  <c r="G51" i="1503"/>
  <c r="C51" i="1503"/>
  <c r="G50" i="1503"/>
  <c r="H50" i="1503" s="1"/>
  <c r="C50" i="1503"/>
  <c r="C49" i="1503"/>
  <c r="G49" i="1503" s="1"/>
  <c r="H49" i="1503" s="1"/>
  <c r="H48" i="1503"/>
  <c r="C48" i="1503"/>
  <c r="G48" i="1503" s="1"/>
  <c r="G47" i="1503"/>
  <c r="H47" i="1503" s="1"/>
  <c r="C47" i="1503"/>
  <c r="C46" i="1503"/>
  <c r="G46" i="1503" s="1"/>
  <c r="H46" i="1503" s="1"/>
  <c r="G45" i="1503"/>
  <c r="H45" i="1503" s="1"/>
  <c r="C45" i="1503"/>
  <c r="C44" i="1503"/>
  <c r="G44" i="1503" s="1"/>
  <c r="H44" i="1503" s="1"/>
  <c r="H43" i="1503"/>
  <c r="G43" i="1503"/>
  <c r="C43" i="1503"/>
  <c r="H42" i="1503"/>
  <c r="G42" i="1503"/>
  <c r="C42" i="1503"/>
  <c r="C41" i="1503"/>
  <c r="G41" i="1503" s="1"/>
  <c r="H41" i="1503" s="1"/>
  <c r="H40" i="1503"/>
  <c r="C40" i="1503"/>
  <c r="G40" i="1503" s="1"/>
  <c r="G39" i="1503"/>
  <c r="H39" i="1503" s="1"/>
  <c r="C39" i="1503"/>
  <c r="C38" i="1503"/>
  <c r="G38" i="1503" s="1"/>
  <c r="H38" i="1503" s="1"/>
  <c r="G37" i="1503"/>
  <c r="H37" i="1503" s="1"/>
  <c r="C37" i="1503"/>
  <c r="C36" i="1503"/>
  <c r="G36" i="1503" s="1"/>
  <c r="H36" i="1503" s="1"/>
  <c r="H35" i="1503"/>
  <c r="G35" i="1503"/>
  <c r="C35" i="1503"/>
  <c r="G34" i="1503"/>
  <c r="H34" i="1503" s="1"/>
  <c r="C34" i="1503"/>
  <c r="C33" i="1503"/>
  <c r="G33" i="1503" s="1"/>
  <c r="H33" i="1503" s="1"/>
  <c r="H32" i="1503"/>
  <c r="C32" i="1503"/>
  <c r="G32" i="1503" s="1"/>
  <c r="G31" i="1503"/>
  <c r="H31" i="1503" s="1"/>
  <c r="C31" i="1503"/>
  <c r="C30" i="1503"/>
  <c r="G30" i="1503" s="1"/>
  <c r="H30" i="1503" s="1"/>
  <c r="G29" i="1503"/>
  <c r="H29" i="1503" s="1"/>
  <c r="C29" i="1503"/>
  <c r="C28" i="1503"/>
  <c r="G28" i="1503" s="1"/>
  <c r="H28" i="1503" s="1"/>
  <c r="H27" i="1503"/>
  <c r="G27" i="1503"/>
  <c r="C27" i="1503"/>
  <c r="G26" i="1503"/>
  <c r="H26" i="1503" s="1"/>
  <c r="C26" i="1503"/>
  <c r="C25" i="1503"/>
  <c r="G25" i="1503" s="1"/>
  <c r="H25" i="1503" s="1"/>
  <c r="H24" i="1503"/>
  <c r="C24" i="1503"/>
  <c r="G24" i="1503" s="1"/>
  <c r="G23" i="1503"/>
  <c r="H23" i="1503" s="1"/>
  <c r="C23" i="1503"/>
  <c r="C22" i="1503"/>
  <c r="G22" i="1503" s="1"/>
  <c r="H22" i="1503" s="1"/>
  <c r="C21" i="1503"/>
  <c r="G21" i="1503" s="1"/>
  <c r="H21" i="1503" s="1"/>
  <c r="G20" i="1503"/>
  <c r="H20" i="1503" s="1"/>
  <c r="C20" i="1503"/>
  <c r="G19" i="1503"/>
  <c r="H19" i="1503" s="1"/>
  <c r="C19" i="1503"/>
  <c r="C18" i="1503"/>
  <c r="G18" i="1503" s="1"/>
  <c r="H18" i="1503" s="1"/>
  <c r="C17" i="1503"/>
  <c r="G17" i="1503" s="1"/>
  <c r="H17" i="1503" s="1"/>
  <c r="G16" i="1503"/>
  <c r="H16" i="1503" s="1"/>
  <c r="C16" i="1503"/>
  <c r="G15" i="1503"/>
  <c r="H15" i="1503" s="1"/>
  <c r="C15" i="1503"/>
  <c r="C14" i="1503"/>
  <c r="G14" i="1503" s="1"/>
  <c r="H14" i="1503" s="1"/>
  <c r="C13" i="1503"/>
  <c r="G13" i="1503" s="1"/>
  <c r="H13" i="1503" s="1"/>
  <c r="G12" i="1503"/>
  <c r="H12" i="1503" s="1"/>
  <c r="C12" i="1503"/>
  <c r="G11" i="1503"/>
  <c r="H11" i="1503" s="1"/>
  <c r="C11" i="1503"/>
  <c r="C10" i="1503"/>
  <c r="G10" i="1503" s="1"/>
  <c r="H10" i="1503" s="1"/>
  <c r="B38" i="900"/>
  <c r="B36" i="900"/>
  <c r="B34" i="900"/>
  <c r="B32" i="900"/>
  <c r="B30" i="900"/>
  <c r="B28" i="900"/>
  <c r="B24" i="900"/>
  <c r="B22" i="900"/>
  <c r="B20" i="900"/>
  <c r="B18" i="900"/>
  <c r="B16" i="900"/>
  <c r="C15" i="900"/>
  <c r="C17" i="900" s="1"/>
  <c r="C19" i="900" s="1"/>
  <c r="C21" i="900" s="1"/>
  <c r="C23" i="900" s="1"/>
  <c r="C25" i="900" s="1"/>
  <c r="C29" i="900" s="1"/>
  <c r="C31" i="900" s="1"/>
  <c r="C33" i="900" s="1"/>
  <c r="C35" i="900" s="1"/>
  <c r="C37" i="900" s="1"/>
  <c r="C39" i="900" s="1"/>
  <c r="C41" i="900" s="1"/>
  <c r="C1" i="900"/>
  <c r="C3" i="900"/>
  <c r="C4" i="1000"/>
  <c r="C3" i="1000"/>
  <c r="BL19" i="734"/>
  <c r="BL23" i="734"/>
  <c r="BL20" i="734"/>
  <c r="BL11" i="734"/>
  <c r="BK13" i="734"/>
  <c r="BK19" i="734"/>
  <c r="BK23" i="734"/>
  <c r="BK20" i="734"/>
  <c r="BM11" i="734"/>
  <c r="BL15" i="734"/>
  <c r="BM15" i="734" s="1"/>
  <c r="BL24" i="734"/>
  <c r="BL35" i="734"/>
  <c r="BM35" i="734" s="1"/>
  <c r="BK35" i="734"/>
  <c r="BL31" i="734"/>
  <c r="BM31" i="734" s="1"/>
  <c r="BM23" i="734"/>
  <c r="BK11" i="734"/>
  <c r="BK15" i="734"/>
  <c r="BM24" i="734"/>
  <c r="BL36" i="734"/>
  <c r="BM36" i="734" s="1"/>
  <c r="BM19" i="734"/>
  <c r="BM20" i="734"/>
  <c r="BL13" i="734"/>
  <c r="BM13" i="734" s="1"/>
  <c r="BK24" i="734"/>
  <c r="BK36" i="734"/>
  <c r="BK31" i="734"/>
  <c r="AC19" i="734"/>
  <c r="AB19" i="734"/>
  <c r="AC28" i="734"/>
  <c r="AB28" i="734"/>
  <c r="AC10" i="734"/>
  <c r="AB10" i="734"/>
  <c r="AC26" i="734"/>
  <c r="AB26" i="734"/>
  <c r="AC25" i="734"/>
  <c r="AB25" i="734"/>
  <c r="AB35" i="734"/>
  <c r="AC35" i="734"/>
  <c r="AC37" i="734"/>
  <c r="AB37" i="734"/>
  <c r="AC32" i="734"/>
  <c r="AB32" i="734"/>
  <c r="AC36" i="734"/>
  <c r="AB36" i="734"/>
  <c r="AB34" i="734"/>
  <c r="AC34" i="734"/>
  <c r="AC33" i="734"/>
  <c r="AB33" i="734"/>
  <c r="AC22" i="734"/>
  <c r="AB22" i="734"/>
  <c r="AB27" i="734"/>
  <c r="AC27" i="734"/>
  <c r="AB23" i="734"/>
  <c r="AC23" i="734"/>
  <c r="AC24" i="734"/>
  <c r="AB24" i="734"/>
  <c r="AB31" i="734"/>
  <c r="AC31" i="734"/>
  <c r="AC20" i="734"/>
  <c r="AB20" i="734"/>
  <c r="AB29" i="734"/>
  <c r="AC29" i="734"/>
  <c r="AB18" i="734"/>
  <c r="AC18" i="734"/>
  <c r="AC17" i="734"/>
  <c r="AB17" i="734"/>
  <c r="AC12" i="734"/>
  <c r="AB12" i="734"/>
  <c r="AB16" i="734"/>
  <c r="AC16" i="734"/>
  <c r="AC14" i="734"/>
  <c r="AB14" i="734"/>
  <c r="AC15" i="734"/>
  <c r="AB15" i="734"/>
  <c r="AB13" i="734"/>
  <c r="AC13" i="734"/>
  <c r="AC11" i="734"/>
  <c r="AB11" i="734"/>
  <c r="BC27" i="734"/>
  <c r="BC20" i="734"/>
  <c r="BC18" i="734"/>
  <c r="BC14" i="734"/>
  <c r="BC13" i="734"/>
  <c r="BC12" i="734"/>
  <c r="BC11" i="734"/>
  <c r="T19" i="734"/>
  <c r="U19" i="734"/>
  <c r="U10" i="734"/>
  <c r="T10" i="734"/>
  <c r="U37" i="734"/>
  <c r="T37" i="734"/>
  <c r="U35" i="734"/>
  <c r="T35" i="734"/>
  <c r="U36" i="734"/>
  <c r="T36" i="734"/>
  <c r="T34" i="734"/>
  <c r="U34" i="734"/>
  <c r="T33" i="734"/>
  <c r="U33" i="734"/>
  <c r="T31" i="734"/>
  <c r="U31" i="734"/>
  <c r="T29" i="734"/>
  <c r="U29" i="734"/>
  <c r="U28" i="734"/>
  <c r="T28" i="734"/>
  <c r="T23" i="734"/>
  <c r="U23" i="734"/>
  <c r="U16" i="734"/>
  <c r="T16" i="734"/>
  <c r="T15" i="734"/>
  <c r="U15" i="734"/>
  <c r="U14" i="734"/>
  <c r="T14" i="734"/>
  <c r="T13" i="734"/>
  <c r="U13" i="734"/>
  <c r="N21" i="734"/>
  <c r="M21" i="734"/>
  <c r="M30" i="734"/>
  <c r="N10" i="734"/>
  <c r="N30" i="734"/>
  <c r="M10" i="734"/>
  <c r="AG35" i="734"/>
  <c r="AG10" i="734"/>
  <c r="AG31" i="734"/>
  <c r="AG37" i="734"/>
  <c r="AG34" i="734"/>
  <c r="AG33" i="734"/>
  <c r="AG28" i="734"/>
  <c r="AG23" i="734"/>
  <c r="AG19" i="734"/>
  <c r="AG22" i="734"/>
  <c r="AG13" i="734"/>
  <c r="CA27" i="734"/>
  <c r="CE27" i="734" s="1"/>
  <c r="CA10" i="734"/>
  <c r="CE10" i="734" s="1"/>
  <c r="CA36" i="734"/>
  <c r="CE36" i="734" s="1"/>
  <c r="CA37" i="734"/>
  <c r="CE37" i="734" s="1"/>
  <c r="CA29" i="734"/>
  <c r="CE29" i="734" s="1"/>
  <c r="CA26" i="734"/>
  <c r="CE26" i="734" s="1"/>
  <c r="CA24" i="734"/>
  <c r="CE24" i="734" s="1"/>
  <c r="CA18" i="734"/>
  <c r="CE18" i="734" s="1"/>
  <c r="CA11" i="734"/>
  <c r="CE11" i="734" s="1"/>
  <c r="CA23" i="734"/>
  <c r="CE23" i="734" s="1"/>
  <c r="CA12" i="734"/>
  <c r="CE12" i="734" s="1"/>
  <c r="CA15" i="734"/>
  <c r="CE15" i="734" s="1"/>
  <c r="CA16" i="734"/>
  <c r="CE16" i="734" s="1"/>
  <c r="CA22" i="734"/>
  <c r="CE22" i="734" s="1"/>
  <c r="CA17" i="734"/>
  <c r="CE17" i="734" s="1"/>
  <c r="CA13" i="734"/>
  <c r="CE13" i="734" s="1"/>
  <c r="CA25" i="734"/>
  <c r="CE25" i="734" s="1"/>
  <c r="CA14" i="734"/>
  <c r="CE14" i="734" s="1"/>
  <c r="CA20" i="734"/>
  <c r="CE20" i="734" s="1"/>
  <c r="CA19" i="734"/>
  <c r="CE19" i="734" s="1"/>
  <c r="CA34" i="734"/>
  <c r="CE34" i="734" s="1"/>
  <c r="CA33" i="734"/>
  <c r="CE33" i="734" s="1"/>
  <c r="CA35" i="734"/>
  <c r="CE35" i="734" s="1"/>
  <c r="CA28" i="734"/>
  <c r="CE28" i="734" s="1"/>
  <c r="CA32" i="734"/>
  <c r="CE32" i="734" s="1"/>
  <c r="CA31" i="734"/>
  <c r="CE31" i="734" s="1"/>
  <c r="AQ44" i="734" l="1"/>
  <c r="X67" i="734"/>
  <c r="Y67" i="734" s="1"/>
  <c r="BP44" i="734"/>
  <c r="AP45" i="734"/>
  <c r="BP66" i="734"/>
  <c r="AQ43" i="734"/>
  <c r="I43" i="734" s="1"/>
  <c r="AO62" i="734"/>
  <c r="AO21" i="734"/>
  <c r="BP67" i="734"/>
  <c r="AO43" i="734"/>
  <c r="BR44" i="734"/>
  <c r="AQ11" i="734"/>
  <c r="AQ21" i="734"/>
  <c r="I21" i="734" s="1"/>
  <c r="AO11" i="734"/>
  <c r="BQ45" i="734"/>
  <c r="O30" i="734"/>
  <c r="H30" i="734" s="1"/>
  <c r="G30" i="734" s="1"/>
  <c r="O21" i="734"/>
  <c r="H21" i="734" s="1"/>
  <c r="G21" i="734" s="1"/>
  <c r="Q35" i="734"/>
  <c r="Q10" i="734"/>
  <c r="Q31" i="734"/>
  <c r="Q37" i="734"/>
  <c r="Q34" i="734"/>
  <c r="Q33" i="734"/>
  <c r="BP61" i="734"/>
  <c r="BP62" i="734"/>
  <c r="AP42" i="734"/>
  <c r="AQ42" i="734"/>
  <c r="I42" i="734" s="1"/>
  <c r="Q28" i="734"/>
  <c r="Q23" i="734"/>
  <c r="Q19" i="734"/>
  <c r="Q22" i="734"/>
  <c r="AP57" i="734"/>
  <c r="Q13" i="734"/>
  <c r="AQ45" i="734"/>
  <c r="I45" i="734" s="1"/>
  <c r="BQ61" i="734"/>
  <c r="BQ62" i="734"/>
  <c r="AO46" i="734"/>
  <c r="AO57" i="734"/>
  <c r="AQ46" i="734"/>
  <c r="I46" i="734" s="1"/>
  <c r="X53" i="734"/>
  <c r="Y53" i="734" s="1"/>
  <c r="AP62" i="734"/>
  <c r="BQ43" i="734"/>
  <c r="BP43" i="734"/>
  <c r="AQ61" i="734"/>
  <c r="I61" i="734" s="1"/>
  <c r="X17" i="734"/>
  <c r="Y17" i="734" s="1"/>
  <c r="BQ21" i="734"/>
  <c r="BQ11" i="734"/>
  <c r="X48" i="734"/>
  <c r="Y48" i="734" s="1"/>
  <c r="BP21" i="734"/>
  <c r="AO61" i="734"/>
  <c r="BQ42" i="734"/>
  <c r="BP11" i="734"/>
  <c r="X62" i="734"/>
  <c r="Y62" i="734" s="1"/>
  <c r="BP42" i="734"/>
  <c r="BP45" i="734"/>
  <c r="BQ64" i="734"/>
  <c r="X37" i="734"/>
  <c r="BP63" i="734"/>
  <c r="X31" i="734"/>
  <c r="X32" i="734"/>
  <c r="Y32" i="734" s="1"/>
  <c r="X47" i="734"/>
  <c r="Y47" i="734" s="1"/>
  <c r="BP46" i="734"/>
  <c r="BP64" i="734"/>
  <c r="BQ52" i="734"/>
  <c r="X66" i="734"/>
  <c r="Y66" i="734" s="1"/>
  <c r="X27" i="734"/>
  <c r="Y27" i="734" s="1"/>
  <c r="X49" i="734"/>
  <c r="Y49" i="734" s="1"/>
  <c r="X35" i="734"/>
  <c r="X39" i="734"/>
  <c r="Y39" i="734" s="1"/>
  <c r="X29" i="734"/>
  <c r="Y29" i="734" s="1"/>
  <c r="BP59" i="734"/>
  <c r="X26" i="734"/>
  <c r="Y26" i="734" s="1"/>
  <c r="BP68" i="734"/>
  <c r="BP30" i="734"/>
  <c r="BP60" i="734"/>
  <c r="X13" i="734"/>
  <c r="X21" i="734"/>
  <c r="Y21" i="734" s="1"/>
  <c r="X33" i="734"/>
  <c r="Y33" i="734" s="1"/>
  <c r="BQ65" i="734"/>
  <c r="BP41" i="734"/>
  <c r="X24" i="734"/>
  <c r="Y24" i="734" s="1"/>
  <c r="X51" i="734"/>
  <c r="Y51" i="734" s="1"/>
  <c r="BP58" i="734"/>
  <c r="X50" i="734"/>
  <c r="Y50" i="734" s="1"/>
  <c r="BQ41" i="734"/>
  <c r="BP52" i="734"/>
  <c r="BQ68" i="734"/>
  <c r="BQ49" i="734"/>
  <c r="BQ60" i="734"/>
  <c r="X55" i="734"/>
  <c r="Y55" i="734" s="1"/>
  <c r="BQ48" i="734"/>
  <c r="BP40" i="734"/>
  <c r="BQ55" i="734"/>
  <c r="X63" i="734"/>
  <c r="Y63" i="734" s="1"/>
  <c r="I62" i="734"/>
  <c r="X15" i="734"/>
  <c r="Y15" i="734" s="1"/>
  <c r="X68" i="734"/>
  <c r="Y68" i="734" s="1"/>
  <c r="X61" i="734"/>
  <c r="Y61" i="734" s="1"/>
  <c r="BP48" i="734"/>
  <c r="BP53" i="734"/>
  <c r="X54" i="734"/>
  <c r="Y54" i="734" s="1"/>
  <c r="BQ46" i="734"/>
  <c r="X25" i="734"/>
  <c r="Y25" i="734" s="1"/>
  <c r="X43" i="734"/>
  <c r="Y43" i="734" s="1"/>
  <c r="BP39" i="734"/>
  <c r="BP49" i="734"/>
  <c r="X59" i="734"/>
  <c r="Y59" i="734" s="1"/>
  <c r="AO39" i="734"/>
  <c r="AP39" i="734"/>
  <c r="AQ39" i="734"/>
  <c r="I39" i="734" s="1"/>
  <c r="AQ63" i="734"/>
  <c r="I63" i="734" s="1"/>
  <c r="AP63" i="734"/>
  <c r="AO63" i="734"/>
  <c r="AQ30" i="734"/>
  <c r="I30" i="734" s="1"/>
  <c r="AO30" i="734"/>
  <c r="AP30" i="734"/>
  <c r="X28" i="734"/>
  <c r="X12" i="734"/>
  <c r="Y12" i="734" s="1"/>
  <c r="X20" i="734"/>
  <c r="Y20" i="734" s="1"/>
  <c r="X65" i="734"/>
  <c r="Y65" i="734" s="1"/>
  <c r="X23" i="734"/>
  <c r="BQ50" i="734"/>
  <c r="X44" i="734"/>
  <c r="Y44" i="734" s="1"/>
  <c r="BQ30" i="734"/>
  <c r="X41" i="734"/>
  <c r="Y41" i="734" s="1"/>
  <c r="BQ51" i="734"/>
  <c r="X56" i="734"/>
  <c r="Y56" i="734" s="1"/>
  <c r="AQ54" i="734"/>
  <c r="I54" i="734" s="1"/>
  <c r="AP54" i="734"/>
  <c r="AO54" i="734"/>
  <c r="X14" i="734"/>
  <c r="Y14" i="734" s="1"/>
  <c r="X22" i="734"/>
  <c r="AQ51" i="734"/>
  <c r="I51" i="734" s="1"/>
  <c r="AP51" i="734"/>
  <c r="AO51" i="734"/>
  <c r="BQ63" i="734"/>
  <c r="AQ50" i="734"/>
  <c r="I50" i="734" s="1"/>
  <c r="AP50" i="734"/>
  <c r="AO50" i="734"/>
  <c r="X40" i="734"/>
  <c r="Y40" i="734" s="1"/>
  <c r="AQ55" i="734"/>
  <c r="I55" i="734" s="1"/>
  <c r="AP55" i="734"/>
  <c r="AO55" i="734"/>
  <c r="X34" i="734"/>
  <c r="AQ52" i="734"/>
  <c r="I52" i="734" s="1"/>
  <c r="AP52" i="734"/>
  <c r="AO52" i="734"/>
  <c r="BQ66" i="734"/>
  <c r="BQ58" i="734"/>
  <c r="BP65" i="734"/>
  <c r="AQ56" i="734"/>
  <c r="I56" i="734" s="1"/>
  <c r="AP56" i="734"/>
  <c r="AO56" i="734"/>
  <c r="X52" i="734"/>
  <c r="Y52" i="734" s="1"/>
  <c r="AO38" i="734"/>
  <c r="AP38" i="734"/>
  <c r="AQ38" i="734"/>
  <c r="I38" i="734" s="1"/>
  <c r="X36" i="734"/>
  <c r="Y36" i="734" s="1"/>
  <c r="AP60" i="734"/>
  <c r="AO60" i="734"/>
  <c r="AQ60" i="734"/>
  <c r="I60" i="734" s="1"/>
  <c r="X10" i="734"/>
  <c r="X18" i="734"/>
  <c r="Y18" i="734" s="1"/>
  <c r="BP47" i="734"/>
  <c r="BP50" i="734"/>
  <c r="BP54" i="734"/>
  <c r="X45" i="734"/>
  <c r="Y45" i="734" s="1"/>
  <c r="AQ68" i="734"/>
  <c r="I68" i="734" s="1"/>
  <c r="AP68" i="734"/>
  <c r="AO68" i="734"/>
  <c r="BP56" i="734"/>
  <c r="BQ38" i="734"/>
  <c r="BP51" i="734"/>
  <c r="X58" i="734"/>
  <c r="Y58" i="734" s="1"/>
  <c r="AP59" i="734"/>
  <c r="AO59" i="734"/>
  <c r="AQ59" i="734"/>
  <c r="I59" i="734" s="1"/>
  <c r="AQ64" i="734"/>
  <c r="I64" i="734" s="1"/>
  <c r="AP64" i="734"/>
  <c r="AO64" i="734"/>
  <c r="AQ66" i="734"/>
  <c r="I66" i="734" s="1"/>
  <c r="AP66" i="734"/>
  <c r="AO66" i="734"/>
  <c r="AQ65" i="734"/>
  <c r="I65" i="734" s="1"/>
  <c r="AP65" i="734"/>
  <c r="AO65" i="734"/>
  <c r="AQ49" i="734"/>
  <c r="I49" i="734" s="1"/>
  <c r="AP49" i="734"/>
  <c r="AO49" i="734"/>
  <c r="X60" i="734"/>
  <c r="Y60" i="734" s="1"/>
  <c r="X11" i="734"/>
  <c r="Y11" i="734" s="1"/>
  <c r="X19" i="734"/>
  <c r="BQ59" i="734"/>
  <c r="AP58" i="734"/>
  <c r="AQ58" i="734"/>
  <c r="I58" i="734" s="1"/>
  <c r="AO58" i="734"/>
  <c r="AQ67" i="734"/>
  <c r="I67" i="734" s="1"/>
  <c r="AP67" i="734"/>
  <c r="AO67" i="734"/>
  <c r="AO40" i="734"/>
  <c r="AP40" i="734"/>
  <c r="AQ40" i="734"/>
  <c r="I40" i="734" s="1"/>
  <c r="X57" i="734"/>
  <c r="Y57" i="734" s="1"/>
  <c r="X30" i="734"/>
  <c r="Y30" i="734" s="1"/>
  <c r="AQ47" i="734"/>
  <c r="I47" i="734" s="1"/>
  <c r="AP47" i="734"/>
  <c r="AO47" i="734"/>
  <c r="X38" i="734"/>
  <c r="Y38" i="734" s="1"/>
  <c r="BQ40" i="734"/>
  <c r="X16" i="734"/>
  <c r="Y16" i="734" s="1"/>
  <c r="BQ47" i="734"/>
  <c r="BQ54" i="734"/>
  <c r="X42" i="734"/>
  <c r="Y42" i="734" s="1"/>
  <c r="X46" i="734"/>
  <c r="Y46" i="734" s="1"/>
  <c r="AQ48" i="734"/>
  <c r="I48" i="734" s="1"/>
  <c r="AP48" i="734"/>
  <c r="AO48" i="734"/>
  <c r="AQ53" i="734"/>
  <c r="I53" i="734" s="1"/>
  <c r="AP53" i="734"/>
  <c r="AO53" i="734"/>
  <c r="BQ56" i="734"/>
  <c r="BQ67" i="734"/>
  <c r="BP55" i="734"/>
  <c r="BR57" i="734"/>
  <c r="I57" i="734" s="1"/>
  <c r="BQ57" i="734"/>
  <c r="BP57" i="734"/>
  <c r="BP38" i="734"/>
  <c r="BQ39" i="734"/>
  <c r="AO41" i="734"/>
  <c r="AQ41" i="734"/>
  <c r="I41" i="734" s="1"/>
  <c r="AP41" i="734"/>
  <c r="BQ53" i="734"/>
  <c r="X64" i="734"/>
  <c r="Y64" i="734" s="1"/>
  <c r="H71" i="1503"/>
  <c r="H72" i="1503" s="1"/>
  <c r="A10" i="1503"/>
  <c r="C43" i="900"/>
  <c r="H71" i="1504"/>
  <c r="H71" i="1505"/>
  <c r="H71" i="1506"/>
  <c r="H71" i="1507"/>
  <c r="BQ15" i="734"/>
  <c r="BR15" i="734" s="1"/>
  <c r="BP19" i="734"/>
  <c r="BP23" i="734"/>
  <c r="BQ36" i="734"/>
  <c r="BR36" i="734" s="1"/>
  <c r="BQ31" i="734"/>
  <c r="BR31" i="734" s="1"/>
  <c r="BP20" i="734"/>
  <c r="BQ19" i="734"/>
  <c r="BR19" i="734" s="1"/>
  <c r="BQ35" i="734"/>
  <c r="BR35" i="734" s="1"/>
  <c r="BQ24" i="734"/>
  <c r="BR24" i="734" s="1"/>
  <c r="BQ13" i="734"/>
  <c r="BR13" i="734" s="1"/>
  <c r="BQ20" i="734"/>
  <c r="BR20" i="734" s="1"/>
  <c r="BP13" i="734"/>
  <c r="BP24" i="734"/>
  <c r="BQ23" i="734"/>
  <c r="BR23" i="734" s="1"/>
  <c r="BP15" i="734"/>
  <c r="BP36" i="734"/>
  <c r="BP31" i="734"/>
  <c r="BP35" i="734"/>
  <c r="AD26" i="734"/>
  <c r="AD25" i="734"/>
  <c r="AD35" i="734"/>
  <c r="AD37" i="734"/>
  <c r="AD32" i="734"/>
  <c r="AD36" i="734"/>
  <c r="AD34" i="734"/>
  <c r="AD33" i="734"/>
  <c r="AD27" i="734"/>
  <c r="AD23" i="734"/>
  <c r="AD24" i="734"/>
  <c r="AD31" i="734"/>
  <c r="AD20" i="734"/>
  <c r="AD29" i="734"/>
  <c r="AD18" i="734"/>
  <c r="AD17" i="734"/>
  <c r="AD12" i="734"/>
  <c r="AD16" i="734"/>
  <c r="AD14" i="734"/>
  <c r="AD15" i="734"/>
  <c r="AD13" i="734"/>
  <c r="AD11" i="734"/>
  <c r="V19" i="734"/>
  <c r="V10" i="734"/>
  <c r="V37" i="734"/>
  <c r="V35" i="734"/>
  <c r="V36" i="734"/>
  <c r="V34" i="734"/>
  <c r="V33" i="734"/>
  <c r="V31" i="734"/>
  <c r="V29" i="734"/>
  <c r="V28" i="734"/>
  <c r="V23" i="734"/>
  <c r="V16" i="734"/>
  <c r="V15" i="734"/>
  <c r="V14" i="734"/>
  <c r="V13" i="734"/>
  <c r="CD19" i="734"/>
  <c r="CD10" i="734"/>
  <c r="CD37" i="734"/>
  <c r="CD35" i="734"/>
  <c r="CD36" i="734"/>
  <c r="CD34" i="734"/>
  <c r="CD26" i="734"/>
  <c r="CD25" i="734"/>
  <c r="CD32" i="734"/>
  <c r="CD33" i="734"/>
  <c r="CD28" i="734"/>
  <c r="CD27" i="734"/>
  <c r="CD31" i="734"/>
  <c r="CD24" i="734"/>
  <c r="CD22" i="734"/>
  <c r="CD20" i="734"/>
  <c r="CD23" i="734"/>
  <c r="CD17" i="734"/>
  <c r="CD18" i="734"/>
  <c r="CD29" i="734"/>
  <c r="CD12" i="734"/>
  <c r="CD15" i="734"/>
  <c r="CD16" i="734"/>
  <c r="CD14" i="734"/>
  <c r="CD13" i="734"/>
  <c r="CD11" i="734"/>
  <c r="O10" i="734"/>
  <c r="I44" i="734" l="1"/>
  <c r="Y10" i="734"/>
  <c r="CF19" i="734"/>
  <c r="CF10" i="734"/>
  <c r="CF37" i="734"/>
  <c r="CF35" i="734"/>
  <c r="CF36" i="734"/>
  <c r="CF34" i="734"/>
  <c r="CF26" i="734"/>
  <c r="CF25" i="734"/>
  <c r="CF32" i="734"/>
  <c r="CF33" i="734"/>
  <c r="CF28" i="734"/>
  <c r="CF27" i="734"/>
  <c r="CF31" i="734"/>
  <c r="CF24" i="734"/>
  <c r="CF22" i="734"/>
  <c r="CF20" i="734"/>
  <c r="CF23" i="734"/>
  <c r="CF17" i="734"/>
  <c r="CF18" i="734"/>
  <c r="CF12" i="734"/>
  <c r="Y34" i="734"/>
  <c r="CF15" i="734"/>
  <c r="CF16" i="734"/>
  <c r="CF14" i="734"/>
  <c r="CF13" i="734"/>
  <c r="CF11" i="734"/>
  <c r="Y31" i="734"/>
  <c r="Y35" i="734"/>
  <c r="Y23" i="734"/>
  <c r="Y28" i="734"/>
  <c r="Y37" i="734"/>
  <c r="Y19" i="734"/>
  <c r="Y22" i="734"/>
  <c r="Y13" i="734"/>
  <c r="B72" i="1503"/>
  <c r="A11" i="1503"/>
  <c r="C45" i="900"/>
  <c r="C47" i="900" s="1"/>
  <c r="H72" i="1506"/>
  <c r="B72" i="1506"/>
  <c r="H72" i="1507"/>
  <c r="B72" i="1507"/>
  <c r="B72" i="1505"/>
  <c r="H72" i="1505"/>
  <c r="B72" i="1504"/>
  <c r="H72" i="1504"/>
  <c r="AD19" i="734"/>
  <c r="AD28" i="734"/>
  <c r="AD10" i="734"/>
  <c r="AD22" i="734"/>
  <c r="CF29" i="734"/>
  <c r="H10" i="734" l="1"/>
  <c r="C49" i="900"/>
  <c r="C51" i="900" s="1"/>
  <c r="C53" i="900" s="1"/>
  <c r="A12" i="1503"/>
  <c r="C55" i="900" l="1"/>
  <c r="A13" i="1503"/>
  <c r="A14" i="1503" l="1"/>
  <c r="C57" i="900"/>
  <c r="C59" i="900" s="1"/>
  <c r="C61" i="900" s="1"/>
  <c r="C63" i="900" l="1"/>
  <c r="C65" i="900" s="1"/>
  <c r="C67" i="900" s="1"/>
  <c r="C69" i="900" s="1"/>
  <c r="C71" i="900" s="1"/>
  <c r="A15" i="1503"/>
  <c r="C75" i="900" l="1"/>
  <c r="A16" i="1503"/>
  <c r="E59" i="900"/>
  <c r="C77" i="900" l="1"/>
  <c r="C79" i="900" s="1"/>
  <c r="C81" i="900" s="1"/>
  <c r="A11" i="1504"/>
  <c r="C85" i="900" l="1"/>
  <c r="C87" i="900" s="1"/>
  <c r="C89" i="900" s="1"/>
  <c r="C91" i="900" s="1"/>
  <c r="C93" i="900" s="1"/>
  <c r="C95" i="900" s="1"/>
  <c r="C97" i="900" s="1"/>
  <c r="C99" i="900" s="1"/>
  <c r="C101" i="900" s="1"/>
  <c r="C111" i="900" s="1"/>
  <c r="C113" i="900" s="1"/>
  <c r="C115" i="900" s="1"/>
  <c r="C117" i="900" s="1"/>
  <c r="C119" i="900" s="1"/>
  <c r="C123" i="900" s="1"/>
  <c r="C11" i="1000" s="1"/>
  <c r="C13" i="1000" s="1"/>
  <c r="C15" i="1000" s="1"/>
  <c r="C17" i="1000" s="1"/>
  <c r="C19" i="1000" s="1"/>
  <c r="C21" i="1000" s="1"/>
  <c r="C23" i="1000" s="1"/>
  <c r="C25" i="1000" s="1"/>
  <c r="C27" i="1000" s="1"/>
  <c r="C29" i="1000" s="1"/>
  <c r="C31" i="1000" s="1"/>
  <c r="C33" i="1000" s="1"/>
  <c r="C35" i="1000" s="1"/>
  <c r="C37" i="1000" s="1"/>
  <c r="C39" i="1000" s="1"/>
  <c r="C41" i="1000" s="1"/>
  <c r="C43" i="1000" s="1"/>
  <c r="A12" i="1504"/>
  <c r="C45" i="1000" l="1"/>
  <c r="A10" i="1505"/>
  <c r="C47" i="1000" l="1"/>
  <c r="C59" i="1000" s="1"/>
  <c r="A11" i="1505"/>
  <c r="A14" i="1505" l="1"/>
  <c r="C63" i="1000"/>
  <c r="C65" i="1000" s="1"/>
  <c r="A16" i="1505" l="1"/>
  <c r="C67" i="1000"/>
  <c r="A17" i="1505" l="1"/>
  <c r="C71" i="1000"/>
  <c r="C73" i="1000" s="1"/>
  <c r="C77" i="1000" s="1"/>
  <c r="C79" i="1000" s="1"/>
  <c r="C87" i="1000" s="1"/>
  <c r="C89" i="1000" s="1"/>
  <c r="C101" i="1000" s="1"/>
  <c r="C103" i="1000" s="1"/>
  <c r="C105" i="1000" l="1"/>
  <c r="C107" i="1000" s="1"/>
  <c r="C109" i="1000" s="1"/>
  <c r="C113" i="1000" s="1"/>
  <c r="A18" i="1506"/>
  <c r="C115" i="1000" l="1"/>
  <c r="A20" i="1506"/>
  <c r="C121" i="1000" l="1"/>
  <c r="C133" i="1000" s="1"/>
  <c r="C135" i="1000" s="1"/>
  <c r="A21" i="1506"/>
  <c r="A15" i="1507" l="1"/>
  <c r="C137" i="1000"/>
  <c r="C141" i="1000" s="1"/>
  <c r="C143" i="1000" s="1"/>
  <c r="C145" i="1000" s="1"/>
  <c r="C147" i="1000" l="1"/>
  <c r="C151" i="1000" s="1"/>
  <c r="C153" i="1000" s="1"/>
  <c r="A16" i="1507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8" i="45"/>
  <c r="N17" i="45"/>
  <c r="N16" i="45"/>
  <c r="N15" i="45"/>
  <c r="N14" i="45"/>
  <c r="N13" i="45"/>
  <c r="N12" i="45"/>
  <c r="N11" i="45"/>
  <c r="N10" i="45"/>
  <c r="C155" i="1000" l="1"/>
  <c r="C163" i="1000" s="1"/>
  <c r="A17" i="1507"/>
  <c r="W9" i="734"/>
  <c r="A21" i="1507" l="1"/>
  <c r="C165" i="1000"/>
  <c r="C169" i="1000" s="1"/>
  <c r="C171" i="1000" s="1"/>
  <c r="C173" i="1000" s="1"/>
  <c r="C175" i="1000" s="1"/>
  <c r="C177" i="1000" s="1"/>
  <c r="C179" i="1000" s="1"/>
  <c r="C181" i="1000" s="1"/>
  <c r="C183" i="1000" s="1"/>
  <c r="BA3" i="734"/>
  <c r="BD6" i="734" l="1"/>
  <c r="BI6" i="734"/>
  <c r="BN6" i="734"/>
  <c r="BN17" i="734" l="1"/>
  <c r="BN27" i="734"/>
  <c r="BN16" i="734"/>
  <c r="BN34" i="734"/>
  <c r="BN28" i="734"/>
  <c r="BN22" i="734"/>
  <c r="BN10" i="734"/>
  <c r="BN25" i="734"/>
  <c r="BN14" i="734"/>
  <c r="BN18" i="734"/>
  <c r="BN33" i="734"/>
  <c r="BN37" i="734"/>
  <c r="BN26" i="734"/>
  <c r="BN12" i="734"/>
  <c r="BN29" i="734"/>
  <c r="BN32" i="734"/>
  <c r="BI33" i="734"/>
  <c r="BI17" i="734"/>
  <c r="BI31" i="734"/>
  <c r="BI23" i="734"/>
  <c r="BI20" i="734"/>
  <c r="BI10" i="734"/>
  <c r="BI28" i="734"/>
  <c r="BI32" i="734"/>
  <c r="BI36" i="734"/>
  <c r="BI34" i="734"/>
  <c r="BI15" i="734"/>
  <c r="BI12" i="734"/>
  <c r="BI24" i="734"/>
  <c r="BI18" i="734"/>
  <c r="BI13" i="734"/>
  <c r="BI26" i="734"/>
  <c r="BI16" i="734"/>
  <c r="BI27" i="734"/>
  <c r="BI29" i="734"/>
  <c r="BI37" i="734"/>
  <c r="BI19" i="734"/>
  <c r="BI11" i="734"/>
  <c r="BI25" i="734"/>
  <c r="BI22" i="734"/>
  <c r="BI14" i="734"/>
  <c r="BI35" i="734"/>
  <c r="BD24" i="734"/>
  <c r="BD13" i="734"/>
  <c r="BD26" i="734"/>
  <c r="BD10" i="734"/>
  <c r="BD17" i="734"/>
  <c r="BD18" i="734"/>
  <c r="BD19" i="734"/>
  <c r="BD20" i="734"/>
  <c r="BD22" i="734"/>
  <c r="BD15" i="734"/>
  <c r="BD14" i="734"/>
  <c r="BD27" i="734"/>
  <c r="BD33" i="734"/>
  <c r="BD35" i="734"/>
  <c r="BD37" i="734"/>
  <c r="BD36" i="734"/>
  <c r="BD12" i="734"/>
  <c r="BD11" i="734"/>
  <c r="BD31" i="734"/>
  <c r="BD29" i="734"/>
  <c r="BD23" i="734"/>
  <c r="BD25" i="734"/>
  <c r="BD16" i="734"/>
  <c r="BD32" i="734"/>
  <c r="BD34" i="734"/>
  <c r="BD28" i="734"/>
  <c r="A44" i="1392"/>
  <c r="A23" i="1392"/>
  <c r="BP17" i="734"/>
  <c r="BQ17" i="734"/>
  <c r="BR17" i="734" s="1"/>
  <c r="BQ28" i="734"/>
  <c r="BR28" i="734" s="1"/>
  <c r="BP28" i="734"/>
  <c r="BQ14" i="734"/>
  <c r="BR14" i="734" s="1"/>
  <c r="BP14" i="734"/>
  <c r="BP26" i="734"/>
  <c r="BQ26" i="734"/>
  <c r="BR26" i="734" s="1"/>
  <c r="BL33" i="734"/>
  <c r="BM33" i="734" s="1"/>
  <c r="BK33" i="734"/>
  <c r="BK16" i="734"/>
  <c r="BL16" i="734"/>
  <c r="BM16" i="734" s="1"/>
  <c r="BK14" i="734"/>
  <c r="BL14" i="734"/>
  <c r="BM14" i="734" s="1"/>
  <c r="BF26" i="734"/>
  <c r="BG26" i="734"/>
  <c r="BH26" i="734" s="1"/>
  <c r="BF19" i="734"/>
  <c r="BG19" i="734"/>
  <c r="BH19" i="734" s="1"/>
  <c r="BF14" i="734"/>
  <c r="BG14" i="734"/>
  <c r="BH14" i="734" s="1"/>
  <c r="BF37" i="734"/>
  <c r="BG37" i="734"/>
  <c r="BH37" i="734" s="1"/>
  <c r="BG31" i="734"/>
  <c r="BH31" i="734" s="1"/>
  <c r="BF31" i="734"/>
  <c r="BF16" i="734"/>
  <c r="BG16" i="734"/>
  <c r="BH16" i="734" s="1"/>
  <c r="BF29" i="734"/>
  <c r="BG29" i="734"/>
  <c r="BH29" i="734" s="1"/>
  <c r="BP27" i="734"/>
  <c r="BQ27" i="734"/>
  <c r="BR27" i="734" s="1"/>
  <c r="BQ22" i="734"/>
  <c r="BR22" i="734" s="1"/>
  <c r="BP22" i="734"/>
  <c r="BP18" i="734"/>
  <c r="BQ18" i="734"/>
  <c r="BR18" i="734" s="1"/>
  <c r="BP12" i="734"/>
  <c r="BQ12" i="734"/>
  <c r="BR12" i="734" s="1"/>
  <c r="BK17" i="734"/>
  <c r="BL17" i="734"/>
  <c r="BM17" i="734" s="1"/>
  <c r="BK10" i="734"/>
  <c r="BL10" i="734"/>
  <c r="BM10" i="734" s="1"/>
  <c r="BK34" i="734"/>
  <c r="BL34" i="734"/>
  <c r="BM34" i="734" s="1"/>
  <c r="BK18" i="734"/>
  <c r="BL18" i="734"/>
  <c r="BM18" i="734" s="1"/>
  <c r="BL27" i="734"/>
  <c r="BM27" i="734" s="1"/>
  <c r="BK27" i="734"/>
  <c r="BG10" i="734"/>
  <c r="BH10" i="734" s="1"/>
  <c r="BF10" i="734"/>
  <c r="BG20" i="734"/>
  <c r="BH20" i="734" s="1"/>
  <c r="BF20" i="734"/>
  <c r="BG27" i="734"/>
  <c r="BH27" i="734" s="1"/>
  <c r="BF27" i="734"/>
  <c r="BG36" i="734"/>
  <c r="BH36" i="734" s="1"/>
  <c r="BF36" i="734"/>
  <c r="BF32" i="734"/>
  <c r="BG32" i="734"/>
  <c r="BH32" i="734" s="1"/>
  <c r="BG28" i="734"/>
  <c r="BH28" i="734" s="1"/>
  <c r="BF28" i="734"/>
  <c r="BQ16" i="734"/>
  <c r="BR16" i="734" s="1"/>
  <c r="BP16" i="734"/>
  <c r="BQ10" i="734"/>
  <c r="BR10" i="734" s="1"/>
  <c r="BP10" i="734"/>
  <c r="BQ33" i="734"/>
  <c r="BR33" i="734" s="1"/>
  <c r="BP33" i="734"/>
  <c r="BQ29" i="734"/>
  <c r="BR29" i="734" s="1"/>
  <c r="BP29" i="734"/>
  <c r="BK28" i="734"/>
  <c r="BL28" i="734"/>
  <c r="BM28" i="734" s="1"/>
  <c r="BK29" i="734"/>
  <c r="BL29" i="734"/>
  <c r="BM29" i="734" s="1"/>
  <c r="BK25" i="734"/>
  <c r="BL25" i="734"/>
  <c r="BM25" i="734" s="1"/>
  <c r="BG24" i="734"/>
  <c r="BH24" i="734" s="1"/>
  <c r="BF24" i="734"/>
  <c r="BF17" i="734"/>
  <c r="BG17" i="734"/>
  <c r="BH17" i="734" s="1"/>
  <c r="BF22" i="734"/>
  <c r="BG22" i="734"/>
  <c r="BH22" i="734" s="1"/>
  <c r="BG33" i="734"/>
  <c r="BH33" i="734" s="1"/>
  <c r="BF33" i="734"/>
  <c r="BG12" i="734"/>
  <c r="BH12" i="734" s="1"/>
  <c r="BF12" i="734"/>
  <c r="BG23" i="734"/>
  <c r="BH23" i="734" s="1"/>
  <c r="BF23" i="734"/>
  <c r="BG34" i="734"/>
  <c r="BH34" i="734" s="1"/>
  <c r="BF34" i="734"/>
  <c r="BG25" i="734"/>
  <c r="BH25" i="734" s="1"/>
  <c r="BF25" i="734"/>
  <c r="BQ34" i="734"/>
  <c r="BR34" i="734" s="1"/>
  <c r="BP34" i="734"/>
  <c r="BP25" i="734"/>
  <c r="BQ25" i="734"/>
  <c r="BR25" i="734" s="1"/>
  <c r="BP37" i="734"/>
  <c r="BQ37" i="734"/>
  <c r="BR37" i="734" s="1"/>
  <c r="BQ32" i="734"/>
  <c r="BR32" i="734" s="1"/>
  <c r="BP32" i="734"/>
  <c r="BK32" i="734"/>
  <c r="BL32" i="734"/>
  <c r="BM32" i="734" s="1"/>
  <c r="BL12" i="734"/>
  <c r="BM12" i="734" s="1"/>
  <c r="BK12" i="734"/>
  <c r="BK26" i="734"/>
  <c r="BL26" i="734"/>
  <c r="BM26" i="734" s="1"/>
  <c r="BK37" i="734"/>
  <c r="BL37" i="734"/>
  <c r="BM37" i="734" s="1"/>
  <c r="BL22" i="734"/>
  <c r="BM22" i="734" s="1"/>
  <c r="BK22" i="734"/>
  <c r="BG13" i="734"/>
  <c r="BH13" i="734" s="1"/>
  <c r="BF13" i="734"/>
  <c r="BF18" i="734"/>
  <c r="BG18" i="734"/>
  <c r="BH18" i="734" s="1"/>
  <c r="BG15" i="734"/>
  <c r="BH15" i="734" s="1"/>
  <c r="BF15" i="734"/>
  <c r="BG35" i="734"/>
  <c r="BH35" i="734" s="1"/>
  <c r="BF35" i="734"/>
  <c r="BF11" i="734"/>
  <c r="BG11" i="734"/>
  <c r="BH11" i="734" s="1"/>
  <c r="I11" i="734" l="1"/>
  <c r="Z3" i="734"/>
  <c r="P9" i="734"/>
  <c r="K3" i="734"/>
  <c r="R3" i="734"/>
  <c r="C5" i="1356" l="1"/>
  <c r="C8" i="1356" s="1"/>
  <c r="E122" i="900" l="1"/>
  <c r="AM6" i="734" l="1"/>
  <c r="AH6" i="734"/>
  <c r="E182" i="1000"/>
  <c r="AH25" i="734" l="1"/>
  <c r="AH36" i="734"/>
  <c r="AH24" i="734"/>
  <c r="AH12" i="734"/>
  <c r="AH32" i="734"/>
  <c r="AH14" i="734"/>
  <c r="AH22" i="734"/>
  <c r="AH35" i="734"/>
  <c r="AH18" i="734"/>
  <c r="AH19" i="734"/>
  <c r="AH34" i="734"/>
  <c r="AH28" i="734"/>
  <c r="AH17" i="734"/>
  <c r="AH13" i="734"/>
  <c r="AH20" i="734"/>
  <c r="AH29" i="734"/>
  <c r="AH26" i="734"/>
  <c r="AH31" i="734"/>
  <c r="AH15" i="734"/>
  <c r="AH37" i="734"/>
  <c r="AH23" i="734"/>
  <c r="AH27" i="734"/>
  <c r="AH10" i="734"/>
  <c r="AH11" i="734"/>
  <c r="AH16" i="734"/>
  <c r="AH33" i="734"/>
  <c r="AM25" i="734"/>
  <c r="AM18" i="734"/>
  <c r="AM16" i="734"/>
  <c r="AM24" i="734"/>
  <c r="AM15" i="734"/>
  <c r="AM14" i="734"/>
  <c r="AM19" i="734"/>
  <c r="AM35" i="734"/>
  <c r="AM34" i="734"/>
  <c r="AM17" i="734"/>
  <c r="AM27" i="734"/>
  <c r="AM23" i="734"/>
  <c r="AM28" i="734"/>
  <c r="AM22" i="734"/>
  <c r="AM26" i="734"/>
  <c r="AM20" i="734"/>
  <c r="AM13" i="734"/>
  <c r="AM31" i="734"/>
  <c r="AM33" i="734"/>
  <c r="AM32" i="734"/>
  <c r="AM29" i="734"/>
  <c r="AM12" i="734"/>
  <c r="AM10" i="734"/>
  <c r="AM37" i="734"/>
  <c r="AM36" i="734"/>
  <c r="G1" i="1329"/>
  <c r="B22" i="1329"/>
  <c r="B20" i="1329"/>
  <c r="B18" i="1329"/>
  <c r="B16" i="1329"/>
  <c r="B14" i="1329"/>
  <c r="H22" i="1329"/>
  <c r="H20" i="1329"/>
  <c r="H18" i="1329"/>
  <c r="H16" i="1329"/>
  <c r="H14" i="1329"/>
  <c r="H12" i="1329"/>
  <c r="C15" i="1329"/>
  <c r="C17" i="1329" s="1"/>
  <c r="C19" i="1329" s="1"/>
  <c r="C21" i="1329" s="1"/>
  <c r="C23" i="1329" s="1"/>
  <c r="AK25" i="734"/>
  <c r="AL25" i="734" s="1"/>
  <c r="AJ25" i="734"/>
  <c r="AK32" i="734"/>
  <c r="AL32" i="734" s="1"/>
  <c r="AJ32" i="734"/>
  <c r="AJ18" i="734"/>
  <c r="AK18" i="734"/>
  <c r="AL18" i="734" s="1"/>
  <c r="AJ17" i="734"/>
  <c r="AK17" i="734"/>
  <c r="AL17" i="734" s="1"/>
  <c r="AK26" i="734"/>
  <c r="AL26" i="734" s="1"/>
  <c r="AJ26" i="734"/>
  <c r="AK23" i="734"/>
  <c r="AL23" i="734" s="1"/>
  <c r="AJ23" i="734"/>
  <c r="AK16" i="734"/>
  <c r="AL16" i="734" s="1"/>
  <c r="AJ16" i="734"/>
  <c r="AO16" i="734"/>
  <c r="AP16" i="734"/>
  <c r="AQ16" i="734" s="1"/>
  <c r="AO19" i="734"/>
  <c r="AP19" i="734"/>
  <c r="AQ19" i="734" s="1"/>
  <c r="AO27" i="734"/>
  <c r="AP27" i="734"/>
  <c r="AQ27" i="734" s="1"/>
  <c r="AP26" i="734"/>
  <c r="AQ26" i="734" s="1"/>
  <c r="AO26" i="734"/>
  <c r="AP33" i="734"/>
  <c r="AQ33" i="734" s="1"/>
  <c r="AO33" i="734"/>
  <c r="AP10" i="734"/>
  <c r="AQ10" i="734" s="1"/>
  <c r="AO10" i="734"/>
  <c r="AO29" i="734"/>
  <c r="AP29" i="734"/>
  <c r="AQ29" i="734" s="1"/>
  <c r="AP17" i="734"/>
  <c r="AQ17" i="734" s="1"/>
  <c r="AO17" i="734"/>
  <c r="AJ36" i="734"/>
  <c r="AK36" i="734"/>
  <c r="AL36" i="734" s="1"/>
  <c r="AJ14" i="734"/>
  <c r="AK14" i="734"/>
  <c r="AL14" i="734" s="1"/>
  <c r="AJ19" i="734"/>
  <c r="AK19" i="734"/>
  <c r="AL19" i="734" s="1"/>
  <c r="AJ13" i="734"/>
  <c r="AK13" i="734"/>
  <c r="AL13" i="734" s="1"/>
  <c r="AJ31" i="734"/>
  <c r="AK31" i="734"/>
  <c r="AL31" i="734" s="1"/>
  <c r="AJ27" i="734"/>
  <c r="AK27" i="734"/>
  <c r="AL27" i="734" s="1"/>
  <c r="AJ33" i="734"/>
  <c r="AK33" i="734"/>
  <c r="AL33" i="734" s="1"/>
  <c r="AP24" i="734"/>
  <c r="AQ24" i="734" s="1"/>
  <c r="AO24" i="734"/>
  <c r="AO35" i="734"/>
  <c r="AP35" i="734"/>
  <c r="AQ35" i="734" s="1"/>
  <c r="AO23" i="734"/>
  <c r="AP23" i="734"/>
  <c r="AQ23" i="734" s="1"/>
  <c r="AP20" i="734"/>
  <c r="AQ20" i="734" s="1"/>
  <c r="AO20" i="734"/>
  <c r="AO32" i="734"/>
  <c r="AP32" i="734"/>
  <c r="AQ32" i="734" s="1"/>
  <c r="AP37" i="734"/>
  <c r="AQ37" i="734" s="1"/>
  <c r="AO37" i="734"/>
  <c r="AO36" i="734"/>
  <c r="AP36" i="734"/>
  <c r="AQ36" i="734" s="1"/>
  <c r="AO22" i="734"/>
  <c r="AP22" i="734"/>
  <c r="AQ22" i="734" s="1"/>
  <c r="AJ24" i="734"/>
  <c r="AK24" i="734"/>
  <c r="AL24" i="734" s="1"/>
  <c r="AJ22" i="734"/>
  <c r="AK22" i="734"/>
  <c r="AL22" i="734" s="1"/>
  <c r="AJ34" i="734"/>
  <c r="AK34" i="734"/>
  <c r="AL34" i="734" s="1"/>
  <c r="AJ20" i="734"/>
  <c r="AK20" i="734"/>
  <c r="AL20" i="734" s="1"/>
  <c r="AJ15" i="734"/>
  <c r="AK15" i="734"/>
  <c r="AL15" i="734" s="1"/>
  <c r="AK10" i="734"/>
  <c r="AL10" i="734" s="1"/>
  <c r="AJ10" i="734"/>
  <c r="AO25" i="734"/>
  <c r="AP25" i="734"/>
  <c r="AQ25" i="734" s="1"/>
  <c r="AP15" i="734"/>
  <c r="AQ15" i="734" s="1"/>
  <c r="AO15" i="734"/>
  <c r="AP34" i="734"/>
  <c r="AQ34" i="734" s="1"/>
  <c r="AO34" i="734"/>
  <c r="AP28" i="734"/>
  <c r="AQ28" i="734" s="1"/>
  <c r="AO28" i="734"/>
  <c r="AO13" i="734"/>
  <c r="AP13" i="734"/>
  <c r="AQ13" i="734" s="1"/>
  <c r="AO31" i="734"/>
  <c r="AP31" i="734"/>
  <c r="AQ31" i="734" s="1"/>
  <c r="AJ12" i="734"/>
  <c r="AK12" i="734"/>
  <c r="AL12" i="734" s="1"/>
  <c r="AK35" i="734"/>
  <c r="AL35" i="734" s="1"/>
  <c r="AJ35" i="734"/>
  <c r="AK28" i="734"/>
  <c r="AL28" i="734" s="1"/>
  <c r="AJ28" i="734"/>
  <c r="AJ29" i="734"/>
  <c r="AK29" i="734"/>
  <c r="AL29" i="734" s="1"/>
  <c r="AJ37" i="734"/>
  <c r="AK37" i="734"/>
  <c r="AL37" i="734" s="1"/>
  <c r="AO18" i="734"/>
  <c r="AP18" i="734"/>
  <c r="AQ18" i="734" s="1"/>
  <c r="AO14" i="734"/>
  <c r="AP14" i="734"/>
  <c r="AQ14" i="734" s="1"/>
  <c r="AO12" i="734"/>
  <c r="AP12" i="734"/>
  <c r="AQ12" i="734" s="1"/>
  <c r="I37" i="734" l="1"/>
  <c r="I29" i="734"/>
  <c r="I28" i="734"/>
  <c r="I35" i="734"/>
  <c r="I12" i="734"/>
  <c r="I10" i="734"/>
  <c r="G10" i="734" s="1"/>
  <c r="I15" i="734"/>
  <c r="I20" i="734"/>
  <c r="I34" i="734"/>
  <c r="I22" i="734"/>
  <c r="I24" i="734"/>
  <c r="I33" i="734"/>
  <c r="I27" i="734"/>
  <c r="I31" i="734"/>
  <c r="I13" i="734"/>
  <c r="I19" i="734"/>
  <c r="I14" i="734"/>
  <c r="I36" i="734"/>
  <c r="I16" i="734"/>
  <c r="I23" i="734"/>
  <c r="I26" i="734"/>
  <c r="I17" i="734"/>
  <c r="I18" i="734"/>
  <c r="I32" i="734"/>
  <c r="I25" i="734"/>
  <c r="U41" i="1102"/>
  <c r="U20" i="1102"/>
  <c r="O2" i="1102"/>
  <c r="O7" i="1102"/>
  <c r="O23" i="1102"/>
  <c r="O12" i="1102"/>
  <c r="O41" i="1102"/>
  <c r="O33" i="1102"/>
  <c r="O20" i="1102"/>
  <c r="H41" i="1102" l="1"/>
  <c r="H20" i="1102"/>
  <c r="B2" i="1102"/>
  <c r="B41" i="1102"/>
  <c r="B12" i="1102"/>
  <c r="B20" i="1102"/>
  <c r="B23" i="1102"/>
  <c r="B7" i="1102"/>
  <c r="B33" i="1102"/>
  <c r="E42" i="1000" l="1"/>
  <c r="E30" i="1000"/>
  <c r="E28" i="1000"/>
  <c r="A43" i="1017" l="1"/>
  <c r="A22" i="1017"/>
  <c r="E10" i="1000"/>
  <c r="E13" i="900" l="1"/>
  <c r="H20" i="910" l="1"/>
  <c r="B23" i="910"/>
  <c r="B7" i="910"/>
  <c r="B20" i="910"/>
  <c r="E10" i="26" l="1"/>
  <c r="E11" i="26"/>
  <c r="E12" i="26"/>
  <c r="E13" i="26"/>
  <c r="E16" i="26"/>
  <c r="E31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40" i="900"/>
  <c r="E12" i="900" l="1"/>
  <c r="F147" i="960" l="1"/>
  <c r="B147" i="960"/>
  <c r="A88" i="960"/>
  <c r="A89" i="960" s="1"/>
  <c r="A90" i="960" s="1"/>
  <c r="A91" i="960" s="1"/>
  <c r="A92" i="960" s="1"/>
  <c r="A93" i="960" s="1"/>
  <c r="A94" i="960" s="1"/>
  <c r="A95" i="960" s="1"/>
  <c r="A96" i="960" s="1"/>
  <c r="A97" i="960" s="1"/>
  <c r="A98" i="960" s="1"/>
  <c r="A99" i="960" s="1"/>
  <c r="A100" i="960" s="1"/>
  <c r="A101" i="960" s="1"/>
  <c r="A102" i="960" s="1"/>
  <c r="A103" i="960" s="1"/>
  <c r="A104" i="960" s="1"/>
  <c r="A105" i="960" s="1"/>
  <c r="A106" i="960" s="1"/>
  <c r="A107" i="960" s="1"/>
  <c r="A108" i="960" s="1"/>
  <c r="A109" i="960" s="1"/>
  <c r="A110" i="960" s="1"/>
  <c r="A111" i="960" s="1"/>
  <c r="A112" i="960" s="1"/>
  <c r="A113" i="960" s="1"/>
  <c r="A114" i="960" s="1"/>
  <c r="A115" i="960" s="1"/>
  <c r="A116" i="960" s="1"/>
  <c r="A117" i="960" s="1"/>
  <c r="A118" i="960" s="1"/>
  <c r="A119" i="960" s="1"/>
  <c r="A120" i="960" s="1"/>
  <c r="A121" i="960" s="1"/>
  <c r="A122" i="960" s="1"/>
  <c r="A123" i="960" s="1"/>
  <c r="A124" i="960" s="1"/>
  <c r="A125" i="960" s="1"/>
  <c r="A126" i="960" s="1"/>
  <c r="A127" i="960" s="1"/>
  <c r="A128" i="960" s="1"/>
  <c r="A129" i="960" s="1"/>
  <c r="A130" i="960" s="1"/>
  <c r="A131" i="960" s="1"/>
  <c r="A132" i="960" s="1"/>
  <c r="A133" i="960" s="1"/>
  <c r="A134" i="960" s="1"/>
  <c r="A135" i="960" s="1"/>
  <c r="A136" i="960" s="1"/>
  <c r="A137" i="960" s="1"/>
  <c r="A138" i="960" s="1"/>
  <c r="A139" i="960" s="1"/>
  <c r="A140" i="960" s="1"/>
  <c r="A141" i="960" s="1"/>
  <c r="A142" i="960" s="1"/>
  <c r="A143" i="960" s="1"/>
  <c r="A144" i="960" s="1"/>
  <c r="A145" i="960" s="1"/>
  <c r="A146" i="960" s="1"/>
  <c r="A79" i="960"/>
  <c r="A78" i="960"/>
  <c r="F70" i="960"/>
  <c r="B70" i="960"/>
  <c r="A2" i="960"/>
  <c r="A1" i="960"/>
  <c r="A11" i="960"/>
  <c r="B2" i="734"/>
  <c r="A81" i="960" l="1"/>
  <c r="A4" i="960"/>
  <c r="A12" i="960"/>
  <c r="B2" i="910"/>
  <c r="O2" i="910"/>
  <c r="Q50" i="910"/>
  <c r="S50" i="910" s="1"/>
  <c r="U50" i="910" s="1"/>
  <c r="W50" i="910" s="1"/>
  <c r="O52" i="910" s="1"/>
  <c r="Q52" i="910" s="1"/>
  <c r="S52" i="910" s="1"/>
  <c r="U52" i="910" s="1"/>
  <c r="W52" i="910" s="1"/>
  <c r="O54" i="910" s="1"/>
  <c r="Q54" i="910" s="1"/>
  <c r="S54" i="910" s="1"/>
  <c r="U54" i="910" s="1"/>
  <c r="W54" i="910" s="1"/>
  <c r="O23" i="910"/>
  <c r="A13" i="960" l="1"/>
  <c r="U20" i="910"/>
  <c r="O20" i="910"/>
  <c r="O7" i="910"/>
  <c r="O12" i="910"/>
  <c r="A14" i="960" l="1"/>
  <c r="A15" i="960" l="1"/>
  <c r="A16" i="960" l="1"/>
  <c r="A72" i="778"/>
  <c r="A17" i="960" l="1"/>
  <c r="D50" i="910"/>
  <c r="F50" i="910" s="1"/>
  <c r="H50" i="910" s="1"/>
  <c r="J50" i="910" s="1"/>
  <c r="B52" i="910" s="1"/>
  <c r="D52" i="910" s="1"/>
  <c r="F52" i="910" s="1"/>
  <c r="H52" i="910" s="1"/>
  <c r="J52" i="910" s="1"/>
  <c r="B54" i="910" s="1"/>
  <c r="D54" i="910" s="1"/>
  <c r="F54" i="910" s="1"/>
  <c r="H54" i="910" s="1"/>
  <c r="J54" i="910" s="1"/>
  <c r="B1" i="734"/>
  <c r="A18" i="960" l="1"/>
  <c r="B12" i="910"/>
  <c r="A19" i="960" l="1"/>
  <c r="A20" i="960" l="1"/>
  <c r="A21" i="960" l="1"/>
  <c r="C69" i="434"/>
  <c r="G69" i="434" s="1"/>
  <c r="H69" i="434" s="1"/>
  <c r="C68" i="434"/>
  <c r="G68" i="434" s="1"/>
  <c r="H68" i="434" s="1"/>
  <c r="C67" i="434"/>
  <c r="G67" i="434" s="1"/>
  <c r="H67" i="434" s="1"/>
  <c r="C66" i="434"/>
  <c r="G66" i="434" s="1"/>
  <c r="H66" i="434" s="1"/>
  <c r="C65" i="434"/>
  <c r="G65" i="434" s="1"/>
  <c r="H65" i="434" s="1"/>
  <c r="C64" i="434"/>
  <c r="G64" i="434" s="1"/>
  <c r="H64" i="434" s="1"/>
  <c r="C63" i="434"/>
  <c r="G63" i="434" s="1"/>
  <c r="H63" i="434" s="1"/>
  <c r="C62" i="434"/>
  <c r="G62" i="434" s="1"/>
  <c r="H62" i="434" s="1"/>
  <c r="C61" i="434"/>
  <c r="G61" i="434" s="1"/>
  <c r="H61" i="434" s="1"/>
  <c r="C60" i="434"/>
  <c r="G60" i="434" s="1"/>
  <c r="H60" i="434" s="1"/>
  <c r="C59" i="434"/>
  <c r="G59" i="434" s="1"/>
  <c r="H59" i="434" s="1"/>
  <c r="C58" i="434"/>
  <c r="G58" i="434" s="1"/>
  <c r="H58" i="434" s="1"/>
  <c r="C57" i="434"/>
  <c r="G57" i="434" s="1"/>
  <c r="H57" i="434" s="1"/>
  <c r="C56" i="434"/>
  <c r="G56" i="434" s="1"/>
  <c r="H56" i="434" s="1"/>
  <c r="C55" i="434"/>
  <c r="G55" i="434" s="1"/>
  <c r="H55" i="434" s="1"/>
  <c r="C54" i="434"/>
  <c r="G54" i="434" s="1"/>
  <c r="H54" i="434" s="1"/>
  <c r="C53" i="434"/>
  <c r="G53" i="434" s="1"/>
  <c r="H53" i="434" s="1"/>
  <c r="C52" i="434"/>
  <c r="G52" i="434" s="1"/>
  <c r="H52" i="434" s="1"/>
  <c r="C51" i="434"/>
  <c r="G51" i="434" s="1"/>
  <c r="H51" i="434" s="1"/>
  <c r="C50" i="434"/>
  <c r="G50" i="434" s="1"/>
  <c r="H50" i="434" s="1"/>
  <c r="C49" i="434"/>
  <c r="G49" i="434" s="1"/>
  <c r="H49" i="434" s="1"/>
  <c r="C48" i="434"/>
  <c r="G48" i="434" s="1"/>
  <c r="H48" i="434" s="1"/>
  <c r="C47" i="434"/>
  <c r="G47" i="434" s="1"/>
  <c r="H47" i="434" s="1"/>
  <c r="C46" i="434"/>
  <c r="G46" i="434" s="1"/>
  <c r="H46" i="434" s="1"/>
  <c r="C45" i="434"/>
  <c r="G45" i="434" s="1"/>
  <c r="H45" i="434" s="1"/>
  <c r="C44" i="434"/>
  <c r="G44" i="434" s="1"/>
  <c r="H44" i="434" s="1"/>
  <c r="C43" i="434"/>
  <c r="G43" i="434" s="1"/>
  <c r="H43" i="434" s="1"/>
  <c r="C42" i="434"/>
  <c r="G42" i="434" s="1"/>
  <c r="H42" i="434" s="1"/>
  <c r="C41" i="434"/>
  <c r="G41" i="434" s="1"/>
  <c r="H41" i="434" s="1"/>
  <c r="C40" i="434"/>
  <c r="G40" i="434" s="1"/>
  <c r="H40" i="434" s="1"/>
  <c r="C39" i="434"/>
  <c r="G39" i="434" s="1"/>
  <c r="H39" i="434" s="1"/>
  <c r="C38" i="434"/>
  <c r="G38" i="434" s="1"/>
  <c r="H38" i="434" s="1"/>
  <c r="C37" i="434"/>
  <c r="G37" i="434" s="1"/>
  <c r="H37" i="434" s="1"/>
  <c r="C36" i="434"/>
  <c r="G36" i="434" s="1"/>
  <c r="H36" i="434" s="1"/>
  <c r="C35" i="434"/>
  <c r="G35" i="434" s="1"/>
  <c r="H35" i="434" s="1"/>
  <c r="C34" i="434"/>
  <c r="G34" i="434" s="1"/>
  <c r="H34" i="434" s="1"/>
  <c r="C33" i="434"/>
  <c r="G33" i="434" s="1"/>
  <c r="H33" i="434" s="1"/>
  <c r="C32" i="434"/>
  <c r="G32" i="434" s="1"/>
  <c r="H32" i="434" s="1"/>
  <c r="C31" i="434"/>
  <c r="G31" i="434" s="1"/>
  <c r="H31" i="434" s="1"/>
  <c r="C30" i="434"/>
  <c r="G30" i="434" s="1"/>
  <c r="H30" i="434" s="1"/>
  <c r="C29" i="434"/>
  <c r="G29" i="434" s="1"/>
  <c r="H29" i="434" s="1"/>
  <c r="C28" i="434"/>
  <c r="G28" i="434" s="1"/>
  <c r="H28" i="434" s="1"/>
  <c r="C27" i="434"/>
  <c r="G27" i="434" s="1"/>
  <c r="H27" i="434" s="1"/>
  <c r="C26" i="434"/>
  <c r="G26" i="434" s="1"/>
  <c r="H26" i="434" s="1"/>
  <c r="C25" i="434"/>
  <c r="G25" i="434" s="1"/>
  <c r="H25" i="434" s="1"/>
  <c r="C24" i="434"/>
  <c r="G24" i="434" s="1"/>
  <c r="H24" i="434" s="1"/>
  <c r="C23" i="434"/>
  <c r="G23" i="434" s="1"/>
  <c r="H23" i="434" s="1"/>
  <c r="C22" i="434"/>
  <c r="G22" i="434" s="1"/>
  <c r="H22" i="434" s="1"/>
  <c r="C21" i="434"/>
  <c r="G21" i="434" s="1"/>
  <c r="H21" i="434" s="1"/>
  <c r="C20" i="434"/>
  <c r="G20" i="434" s="1"/>
  <c r="H20" i="434" s="1"/>
  <c r="C19" i="434"/>
  <c r="G19" i="434" s="1"/>
  <c r="H19" i="434" s="1"/>
  <c r="C18" i="434"/>
  <c r="G18" i="434" s="1"/>
  <c r="H18" i="434" s="1"/>
  <c r="C17" i="434"/>
  <c r="G17" i="434" s="1"/>
  <c r="H17" i="434" s="1"/>
  <c r="C16" i="434"/>
  <c r="G16" i="434" s="1"/>
  <c r="H16" i="434" s="1"/>
  <c r="C15" i="434"/>
  <c r="G15" i="434" s="1"/>
  <c r="H15" i="434" s="1"/>
  <c r="C14" i="434"/>
  <c r="G14" i="434" s="1"/>
  <c r="H14" i="434" s="1"/>
  <c r="C13" i="434"/>
  <c r="G13" i="434" s="1"/>
  <c r="H13" i="434" s="1"/>
  <c r="C12" i="434"/>
  <c r="G12" i="434" s="1"/>
  <c r="H12" i="434" s="1"/>
  <c r="C11" i="434"/>
  <c r="G11" i="434" s="1"/>
  <c r="H11" i="434" s="1"/>
  <c r="C10" i="434"/>
  <c r="G10" i="434" s="1"/>
  <c r="H10" i="434" s="1"/>
  <c r="A22" i="960" l="1"/>
  <c r="J69" i="26"/>
  <c r="M69" i="26" s="1"/>
  <c r="I69" i="26"/>
  <c r="B69" i="26"/>
  <c r="J68" i="26"/>
  <c r="M68" i="26" s="1"/>
  <c r="I68" i="26"/>
  <c r="B68" i="26"/>
  <c r="J67" i="26"/>
  <c r="M67" i="26" s="1"/>
  <c r="I67" i="26"/>
  <c r="B67" i="26"/>
  <c r="J66" i="26"/>
  <c r="M66" i="26" s="1"/>
  <c r="I66" i="26"/>
  <c r="B66" i="26"/>
  <c r="J65" i="26"/>
  <c r="M65" i="26" s="1"/>
  <c r="I65" i="26"/>
  <c r="B65" i="26"/>
  <c r="J64" i="26"/>
  <c r="M64" i="26" s="1"/>
  <c r="I64" i="26"/>
  <c r="B64" i="26"/>
  <c r="J63" i="26"/>
  <c r="M63" i="26" s="1"/>
  <c r="I63" i="26"/>
  <c r="B63" i="26"/>
  <c r="J62" i="26"/>
  <c r="M62" i="26" s="1"/>
  <c r="I62" i="26"/>
  <c r="B62" i="26"/>
  <c r="J61" i="26"/>
  <c r="M61" i="26" s="1"/>
  <c r="I61" i="26"/>
  <c r="B61" i="26"/>
  <c r="J60" i="26"/>
  <c r="M60" i="26" s="1"/>
  <c r="I60" i="26"/>
  <c r="B60" i="26"/>
  <c r="J59" i="26"/>
  <c r="M59" i="26" s="1"/>
  <c r="I59" i="26"/>
  <c r="B59" i="26"/>
  <c r="J58" i="26"/>
  <c r="M58" i="26" s="1"/>
  <c r="I58" i="26"/>
  <c r="B58" i="26"/>
  <c r="J57" i="26"/>
  <c r="M57" i="26" s="1"/>
  <c r="I57" i="26"/>
  <c r="B57" i="26"/>
  <c r="J56" i="26"/>
  <c r="M56" i="26" s="1"/>
  <c r="I56" i="26"/>
  <c r="B56" i="26"/>
  <c r="J55" i="26"/>
  <c r="M55" i="26" s="1"/>
  <c r="I55" i="26"/>
  <c r="B55" i="26"/>
  <c r="J54" i="26"/>
  <c r="M54" i="26" s="1"/>
  <c r="I54" i="26"/>
  <c r="B54" i="26"/>
  <c r="J53" i="26"/>
  <c r="M53" i="26" s="1"/>
  <c r="I53" i="26"/>
  <c r="B53" i="26"/>
  <c r="J52" i="26"/>
  <c r="M52" i="26" s="1"/>
  <c r="I52" i="26"/>
  <c r="B52" i="26"/>
  <c r="J51" i="26"/>
  <c r="M51" i="26" s="1"/>
  <c r="I51" i="26"/>
  <c r="B51" i="26"/>
  <c r="J50" i="26"/>
  <c r="M50" i="26" s="1"/>
  <c r="I50" i="26"/>
  <c r="B50" i="26"/>
  <c r="J49" i="26"/>
  <c r="M49" i="26" s="1"/>
  <c r="I49" i="26"/>
  <c r="B49" i="26"/>
  <c r="J48" i="26"/>
  <c r="M48" i="26" s="1"/>
  <c r="I48" i="26"/>
  <c r="B48" i="26"/>
  <c r="J47" i="26"/>
  <c r="M47" i="26" s="1"/>
  <c r="I47" i="26"/>
  <c r="B47" i="26"/>
  <c r="J46" i="26"/>
  <c r="M46" i="26" s="1"/>
  <c r="I46" i="26"/>
  <c r="B46" i="26"/>
  <c r="J45" i="26"/>
  <c r="M45" i="26" s="1"/>
  <c r="I45" i="26"/>
  <c r="B45" i="26"/>
  <c r="J44" i="26"/>
  <c r="M44" i="26" s="1"/>
  <c r="I44" i="26"/>
  <c r="B44" i="26"/>
  <c r="J43" i="26"/>
  <c r="M43" i="26" s="1"/>
  <c r="I43" i="26"/>
  <c r="B43" i="26"/>
  <c r="J42" i="26"/>
  <c r="M42" i="26" s="1"/>
  <c r="I42" i="26"/>
  <c r="B42" i="26"/>
  <c r="J41" i="26"/>
  <c r="M41" i="26" s="1"/>
  <c r="I41" i="26"/>
  <c r="B41" i="26"/>
  <c r="J40" i="26"/>
  <c r="M40" i="26" s="1"/>
  <c r="I40" i="26"/>
  <c r="B40" i="26"/>
  <c r="J39" i="26"/>
  <c r="M39" i="26" s="1"/>
  <c r="I39" i="26"/>
  <c r="B39" i="26"/>
  <c r="J38" i="26"/>
  <c r="M38" i="26" s="1"/>
  <c r="I38" i="26"/>
  <c r="B38" i="26"/>
  <c r="J37" i="26"/>
  <c r="M37" i="26" s="1"/>
  <c r="I37" i="26"/>
  <c r="B37" i="26"/>
  <c r="J36" i="26"/>
  <c r="M36" i="26" s="1"/>
  <c r="I36" i="26"/>
  <c r="B36" i="26"/>
  <c r="J35" i="26"/>
  <c r="M35" i="26" s="1"/>
  <c r="I35" i="26"/>
  <c r="B35" i="26"/>
  <c r="J34" i="26"/>
  <c r="M34" i="26" s="1"/>
  <c r="I34" i="26"/>
  <c r="B34" i="26"/>
  <c r="J33" i="26"/>
  <c r="M33" i="26" s="1"/>
  <c r="I33" i="26"/>
  <c r="B33" i="26"/>
  <c r="I32" i="26"/>
  <c r="B32" i="26"/>
  <c r="I31" i="26"/>
  <c r="B31" i="26"/>
  <c r="I30" i="26"/>
  <c r="B30" i="26"/>
  <c r="I29" i="26"/>
  <c r="B29" i="26"/>
  <c r="I28" i="26"/>
  <c r="B28" i="26"/>
  <c r="I27" i="26"/>
  <c r="B27" i="26"/>
  <c r="I26" i="26"/>
  <c r="B26" i="26"/>
  <c r="I25" i="26"/>
  <c r="B25" i="26"/>
  <c r="I24" i="26"/>
  <c r="B24" i="26"/>
  <c r="I23" i="26"/>
  <c r="B23" i="26"/>
  <c r="I22" i="26"/>
  <c r="B22" i="26"/>
  <c r="I21" i="26"/>
  <c r="B21" i="26"/>
  <c r="I20" i="26"/>
  <c r="B20" i="26"/>
  <c r="I19" i="26"/>
  <c r="B19" i="26"/>
  <c r="I18" i="26"/>
  <c r="B18" i="26"/>
  <c r="I17" i="26"/>
  <c r="B17" i="26"/>
  <c r="I16" i="26"/>
  <c r="B16" i="26"/>
  <c r="I15" i="26"/>
  <c r="B15" i="26"/>
  <c r="I14" i="26"/>
  <c r="B14" i="26"/>
  <c r="I13" i="26"/>
  <c r="B13" i="26"/>
  <c r="I12" i="26"/>
  <c r="B12" i="26"/>
  <c r="I11" i="26"/>
  <c r="B11" i="26"/>
  <c r="H116" i="900" l="1"/>
  <c r="H100" i="900"/>
  <c r="H92" i="900"/>
  <c r="H84" i="900"/>
  <c r="H80" i="900"/>
  <c r="H66" i="900"/>
  <c r="H56" i="900"/>
  <c r="H54" i="900"/>
  <c r="H52" i="900"/>
  <c r="H118" i="900"/>
  <c r="H112" i="900"/>
  <c r="H94" i="900"/>
  <c r="H88" i="900"/>
  <c r="H74" i="900"/>
  <c r="H70" i="900"/>
  <c r="H46" i="900"/>
  <c r="H40" i="900"/>
  <c r="H38" i="900"/>
  <c r="H30" i="900"/>
  <c r="H20" i="900"/>
  <c r="H114" i="900"/>
  <c r="H90" i="900"/>
  <c r="H76" i="900"/>
  <c r="H48" i="900"/>
  <c r="H14" i="900"/>
  <c r="H122" i="900"/>
  <c r="H60" i="900"/>
  <c r="H42" i="900"/>
  <c r="H32" i="900"/>
  <c r="H22" i="900"/>
  <c r="G1" i="900"/>
  <c r="H110" i="900"/>
  <c r="H96" i="900"/>
  <c r="H86" i="900"/>
  <c r="H78" i="900"/>
  <c r="H98" i="900"/>
  <c r="H62" i="900"/>
  <c r="H44" i="900"/>
  <c r="H68" i="900"/>
  <c r="H64" i="900"/>
  <c r="H58" i="900"/>
  <c r="H36" i="900"/>
  <c r="H28" i="900"/>
  <c r="H18" i="900"/>
  <c r="H50" i="900"/>
  <c r="H34" i="900"/>
  <c r="H24" i="900"/>
  <c r="H16" i="900"/>
  <c r="H182" i="1000"/>
  <c r="G1" i="1000"/>
  <c r="H176" i="1000"/>
  <c r="H168" i="1000"/>
  <c r="H146" i="1000"/>
  <c r="H144" i="1000"/>
  <c r="H132" i="1000"/>
  <c r="H104" i="1000"/>
  <c r="H102" i="1000"/>
  <c r="H78" i="1000"/>
  <c r="H62" i="1000"/>
  <c r="H58" i="1000"/>
  <c r="H180" i="1000"/>
  <c r="H170" i="1000"/>
  <c r="H154" i="1000"/>
  <c r="H140" i="1000"/>
  <c r="H106" i="1000"/>
  <c r="H100" i="1000"/>
  <c r="H76" i="1000"/>
  <c r="H66" i="1000"/>
  <c r="H36" i="1000"/>
  <c r="H28" i="1000"/>
  <c r="H26" i="1000"/>
  <c r="H18" i="1000"/>
  <c r="H10" i="1000"/>
  <c r="H164" i="1000"/>
  <c r="H162" i="1000"/>
  <c r="H150" i="1000"/>
  <c r="H142" i="1000"/>
  <c r="H134" i="1000"/>
  <c r="H86" i="1000"/>
  <c r="H70" i="1000"/>
  <c r="H178" i="1000"/>
  <c r="H174" i="1000"/>
  <c r="H88" i="1000"/>
  <c r="H38" i="1000"/>
  <c r="H32" i="1000"/>
  <c r="H16" i="1000"/>
  <c r="H64" i="1000"/>
  <c r="H172" i="1000"/>
  <c r="H40" i="1000"/>
  <c r="H30" i="1000"/>
  <c r="H24" i="1000"/>
  <c r="H152" i="1000"/>
  <c r="H112" i="1000"/>
  <c r="H42" i="1000"/>
  <c r="H34" i="1000"/>
  <c r="H22" i="1000"/>
  <c r="H12" i="1000"/>
  <c r="H114" i="1000"/>
  <c r="H44" i="1000"/>
  <c r="H136" i="1000"/>
  <c r="H120" i="1000"/>
  <c r="H108" i="1000"/>
  <c r="H46" i="1000"/>
  <c r="H20" i="1000"/>
  <c r="H72" i="1000"/>
  <c r="H14" i="1000"/>
  <c r="H120" i="900"/>
  <c r="H82" i="900"/>
  <c r="H72" i="900"/>
  <c r="A23" i="960"/>
  <c r="A22" i="436"/>
  <c r="A1" i="436"/>
  <c r="A24" i="960" l="1"/>
  <c r="A1" i="47"/>
  <c r="F59" i="778"/>
  <c r="C59" i="778"/>
  <c r="A59" i="778"/>
  <c r="F58" i="778"/>
  <c r="C58" i="778"/>
  <c r="A58" i="778"/>
  <c r="F57" i="778"/>
  <c r="C57" i="778"/>
  <c r="A57" i="778"/>
  <c r="F56" i="778"/>
  <c r="C56" i="778"/>
  <c r="A56" i="778"/>
  <c r="F55" i="778"/>
  <c r="C55" i="778"/>
  <c r="A55" i="778"/>
  <c r="F54" i="778"/>
  <c r="C54" i="778"/>
  <c r="A54" i="778"/>
  <c r="F53" i="778"/>
  <c r="C53" i="778"/>
  <c r="A53" i="778"/>
  <c r="F52" i="778"/>
  <c r="C52" i="778"/>
  <c r="A52" i="778"/>
  <c r="F51" i="778"/>
  <c r="C51" i="778"/>
  <c r="A51" i="778"/>
  <c r="F50" i="778"/>
  <c r="C50" i="778"/>
  <c r="A50" i="778"/>
  <c r="B10" i="26"/>
  <c r="G10" i="26"/>
  <c r="I10" i="26"/>
  <c r="L10" i="26"/>
  <c r="B50" i="778"/>
  <c r="E50" i="778"/>
  <c r="B51" i="778"/>
  <c r="E51" i="778"/>
  <c r="B52" i="778"/>
  <c r="E52" i="778"/>
  <c r="B53" i="778"/>
  <c r="E53" i="778"/>
  <c r="B54" i="778"/>
  <c r="E54" i="778"/>
  <c r="B55" i="778"/>
  <c r="E55" i="778"/>
  <c r="B56" i="778"/>
  <c r="E56" i="778"/>
  <c r="B57" i="778"/>
  <c r="E57" i="778"/>
  <c r="B58" i="778"/>
  <c r="E58" i="778"/>
  <c r="B59" i="778"/>
  <c r="E59" i="778"/>
  <c r="C70" i="26"/>
  <c r="S70" i="26"/>
  <c r="L11" i="26" l="1"/>
  <c r="D11" i="26" s="1"/>
  <c r="D10" i="26"/>
  <c r="A25" i="960"/>
  <c r="B70" i="26"/>
  <c r="A1" i="778"/>
  <c r="L12" i="26" l="1"/>
  <c r="D12" i="26" s="1"/>
  <c r="A26" i="960"/>
  <c r="L13" i="26" l="1"/>
  <c r="D13" i="26" s="1"/>
  <c r="A27" i="960"/>
  <c r="L14" i="26" l="1"/>
  <c r="D14" i="26" s="1"/>
  <c r="E14" i="26" s="1"/>
  <c r="A28" i="960"/>
  <c r="L15" i="26"/>
  <c r="D15" i="26" s="1"/>
  <c r="E15" i="26" s="1"/>
  <c r="A69" i="778"/>
  <c r="A68" i="778"/>
  <c r="A67" i="778"/>
  <c r="A66" i="778"/>
  <c r="A65" i="778"/>
  <c r="A64" i="778"/>
  <c r="A63" i="778"/>
  <c r="A62" i="778"/>
  <c r="A61" i="778"/>
  <c r="A60" i="778"/>
  <c r="A49" i="778"/>
  <c r="A48" i="778"/>
  <c r="A47" i="778"/>
  <c r="A46" i="778"/>
  <c r="A45" i="778"/>
  <c r="A44" i="778"/>
  <c r="A43" i="778"/>
  <c r="A42" i="778"/>
  <c r="A41" i="778"/>
  <c r="A40" i="778"/>
  <c r="A39" i="778"/>
  <c r="A38" i="778"/>
  <c r="A37" i="778"/>
  <c r="A36" i="778"/>
  <c r="A35" i="778"/>
  <c r="A34" i="778"/>
  <c r="A33" i="778"/>
  <c r="A32" i="778"/>
  <c r="A31" i="778"/>
  <c r="A30" i="778"/>
  <c r="A29" i="778"/>
  <c r="A28" i="778"/>
  <c r="A27" i="778"/>
  <c r="A26" i="778"/>
  <c r="A25" i="778"/>
  <c r="A24" i="778"/>
  <c r="A23" i="778"/>
  <c r="A22" i="778"/>
  <c r="A21" i="778"/>
  <c r="A20" i="778"/>
  <c r="A19" i="778"/>
  <c r="A18" i="778"/>
  <c r="A17" i="778"/>
  <c r="A16" i="778"/>
  <c r="A15" i="778"/>
  <c r="A14" i="778"/>
  <c r="A13" i="778"/>
  <c r="A12" i="778"/>
  <c r="A11" i="778"/>
  <c r="A10" i="778"/>
  <c r="F69" i="778"/>
  <c r="E69" i="778"/>
  <c r="C69" i="778"/>
  <c r="B69" i="778"/>
  <c r="F68" i="778"/>
  <c r="E68" i="778"/>
  <c r="C68" i="778"/>
  <c r="B68" i="778"/>
  <c r="F67" i="778"/>
  <c r="E67" i="778"/>
  <c r="C67" i="778"/>
  <c r="B67" i="778"/>
  <c r="F66" i="778"/>
  <c r="E66" i="778"/>
  <c r="C66" i="778"/>
  <c r="B66" i="778"/>
  <c r="F65" i="778"/>
  <c r="E65" i="778"/>
  <c r="C65" i="778"/>
  <c r="B65" i="778"/>
  <c r="F64" i="778"/>
  <c r="E64" i="778"/>
  <c r="C64" i="778"/>
  <c r="B64" i="778"/>
  <c r="F63" i="778"/>
  <c r="E63" i="778"/>
  <c r="C63" i="778"/>
  <c r="B63" i="778"/>
  <c r="F62" i="778"/>
  <c r="E62" i="778"/>
  <c r="C62" i="778"/>
  <c r="B62" i="778"/>
  <c r="F61" i="778"/>
  <c r="E61" i="778"/>
  <c r="C61" i="778"/>
  <c r="B61" i="778"/>
  <c r="F60" i="778"/>
  <c r="E60" i="778"/>
  <c r="C60" i="778"/>
  <c r="B60" i="778"/>
  <c r="F49" i="778"/>
  <c r="E49" i="778"/>
  <c r="C49" i="778"/>
  <c r="B49" i="778"/>
  <c r="F48" i="778"/>
  <c r="E48" i="778"/>
  <c r="C48" i="778"/>
  <c r="B48" i="778"/>
  <c r="F47" i="778"/>
  <c r="E47" i="778"/>
  <c r="C47" i="778"/>
  <c r="B47" i="778"/>
  <c r="F46" i="778"/>
  <c r="E46" i="778"/>
  <c r="C46" i="778"/>
  <c r="B46" i="778"/>
  <c r="F45" i="778"/>
  <c r="E45" i="778"/>
  <c r="C45" i="778"/>
  <c r="B45" i="778"/>
  <c r="F44" i="778"/>
  <c r="E44" i="778"/>
  <c r="C44" i="778"/>
  <c r="B44" i="778"/>
  <c r="F43" i="778"/>
  <c r="E43" i="778"/>
  <c r="C43" i="778"/>
  <c r="B43" i="778"/>
  <c r="F42" i="778"/>
  <c r="E42" i="778"/>
  <c r="C42" i="778"/>
  <c r="B42" i="778"/>
  <c r="F41" i="778"/>
  <c r="E41" i="778"/>
  <c r="C41" i="778"/>
  <c r="B41" i="778"/>
  <c r="F40" i="778"/>
  <c r="E40" i="778"/>
  <c r="C40" i="778"/>
  <c r="B40" i="778"/>
  <c r="F39" i="778"/>
  <c r="E39" i="778"/>
  <c r="C39" i="778"/>
  <c r="B39" i="778"/>
  <c r="F38" i="778"/>
  <c r="E38" i="778"/>
  <c r="C38" i="778"/>
  <c r="B38" i="778"/>
  <c r="F37" i="778"/>
  <c r="E37" i="778"/>
  <c r="C37" i="778"/>
  <c r="B37" i="778"/>
  <c r="F36" i="778"/>
  <c r="E36" i="778"/>
  <c r="C36" i="778"/>
  <c r="B36" i="778"/>
  <c r="F35" i="778"/>
  <c r="E35" i="778"/>
  <c r="C35" i="778"/>
  <c r="B35" i="778"/>
  <c r="F34" i="778"/>
  <c r="E34" i="778"/>
  <c r="C34" i="778"/>
  <c r="B34" i="778"/>
  <c r="F33" i="778"/>
  <c r="E33" i="778"/>
  <c r="C33" i="778"/>
  <c r="B33" i="778"/>
  <c r="F32" i="778"/>
  <c r="C32" i="778"/>
  <c r="B32" i="778"/>
  <c r="F31" i="778"/>
  <c r="E31" i="778"/>
  <c r="C31" i="778"/>
  <c r="B31" i="778"/>
  <c r="F30" i="778"/>
  <c r="C30" i="778"/>
  <c r="B30" i="778"/>
  <c r="F29" i="778"/>
  <c r="C29" i="778"/>
  <c r="B29" i="778"/>
  <c r="F28" i="778"/>
  <c r="C28" i="778"/>
  <c r="B28" i="778"/>
  <c r="F27" i="778"/>
  <c r="C27" i="778"/>
  <c r="B27" i="778"/>
  <c r="F26" i="778"/>
  <c r="C26" i="778"/>
  <c r="B26" i="778"/>
  <c r="F25" i="778"/>
  <c r="C25" i="778"/>
  <c r="B25" i="778"/>
  <c r="F24" i="778"/>
  <c r="C24" i="778"/>
  <c r="B24" i="778"/>
  <c r="F23" i="778"/>
  <c r="C23" i="778"/>
  <c r="B23" i="778"/>
  <c r="F22" i="778"/>
  <c r="C22" i="778"/>
  <c r="B22" i="778"/>
  <c r="F21" i="778"/>
  <c r="C21" i="778"/>
  <c r="B21" i="778"/>
  <c r="F20" i="778"/>
  <c r="C20" i="778"/>
  <c r="B20" i="778"/>
  <c r="F19" i="778"/>
  <c r="C19" i="778"/>
  <c r="B19" i="778"/>
  <c r="F18" i="778"/>
  <c r="C18" i="778"/>
  <c r="B18" i="778"/>
  <c r="F17" i="778"/>
  <c r="C17" i="778"/>
  <c r="B17" i="778"/>
  <c r="F16" i="778"/>
  <c r="C16" i="778"/>
  <c r="B16" i="778"/>
  <c r="F15" i="778"/>
  <c r="C15" i="778"/>
  <c r="B15" i="778"/>
  <c r="F14" i="778"/>
  <c r="E14" i="778"/>
  <c r="C14" i="778"/>
  <c r="B14" i="778"/>
  <c r="F13" i="778"/>
  <c r="E13" i="778"/>
  <c r="D13" i="778"/>
  <c r="C13" i="778"/>
  <c r="B13" i="778"/>
  <c r="F12" i="778"/>
  <c r="E12" i="778"/>
  <c r="D12" i="778"/>
  <c r="C12" i="778"/>
  <c r="B12" i="778"/>
  <c r="F11" i="778"/>
  <c r="E11" i="778"/>
  <c r="D11" i="778"/>
  <c r="C11" i="778"/>
  <c r="B11" i="778"/>
  <c r="G10" i="778"/>
  <c r="F10" i="778"/>
  <c r="E10" i="778"/>
  <c r="D10" i="778"/>
  <c r="C10" i="778"/>
  <c r="B10" i="778"/>
  <c r="A29" i="960" l="1"/>
  <c r="L16" i="26"/>
  <c r="D16" i="26" s="1"/>
  <c r="C70" i="778"/>
  <c r="D14" i="778"/>
  <c r="B70" i="778"/>
  <c r="A30" i="960" l="1"/>
  <c r="J10" i="26"/>
  <c r="M10" i="26" s="1"/>
  <c r="E15" i="778"/>
  <c r="L17" i="26"/>
  <c r="D17" i="26" s="1"/>
  <c r="E17" i="26" s="1"/>
  <c r="E16" i="778"/>
  <c r="D15" i="778"/>
  <c r="A31" i="960" l="1"/>
  <c r="L18" i="26"/>
  <c r="D18" i="26" s="1"/>
  <c r="E18" i="26" s="1"/>
  <c r="D16" i="778"/>
  <c r="E18" i="778" l="1"/>
  <c r="J11" i="26"/>
  <c r="M11" i="26" s="1"/>
  <c r="G11" i="26" s="1"/>
  <c r="G11" i="778" s="1"/>
  <c r="A32" i="960"/>
  <c r="E17" i="778"/>
  <c r="L19" i="26"/>
  <c r="D19" i="26" s="1"/>
  <c r="E19" i="26" s="1"/>
  <c r="D17" i="778"/>
  <c r="CC9" i="734"/>
  <c r="A33" i="960" l="1"/>
  <c r="L20" i="26"/>
  <c r="D20" i="26" s="1"/>
  <c r="E20" i="26" s="1"/>
  <c r="E20" i="778" s="1"/>
  <c r="D18" i="778"/>
  <c r="A34" i="960" l="1"/>
  <c r="E19" i="778"/>
  <c r="L21" i="26"/>
  <c r="D21" i="26" s="1"/>
  <c r="E21" i="26" s="1"/>
  <c r="E21" i="778" s="1"/>
  <c r="D19" i="778"/>
  <c r="A35" i="960" l="1"/>
  <c r="L22" i="26"/>
  <c r="D22" i="26" s="1"/>
  <c r="E22" i="26" s="1"/>
  <c r="J14" i="26" s="1"/>
  <c r="M14" i="26" s="1"/>
  <c r="D20" i="778"/>
  <c r="J16" i="26" l="1"/>
  <c r="M16" i="26" s="1"/>
  <c r="J13" i="26"/>
  <c r="M13" i="26" s="1"/>
  <c r="J15" i="26"/>
  <c r="M15" i="26" s="1"/>
  <c r="J12" i="26"/>
  <c r="M12" i="26" s="1"/>
  <c r="G12" i="26" s="1"/>
  <c r="G12" i="778" s="1"/>
  <c r="A36" i="960"/>
  <c r="L23" i="26"/>
  <c r="D23" i="26" s="1"/>
  <c r="E23" i="26" s="1"/>
  <c r="D21" i="778"/>
  <c r="G13" i="26" l="1"/>
  <c r="G13" i="778" s="1"/>
  <c r="E23" i="778"/>
  <c r="A37" i="960"/>
  <c r="J18" i="26"/>
  <c r="M18" i="26" s="1"/>
  <c r="E22" i="778"/>
  <c r="J17" i="26"/>
  <c r="M17" i="26" s="1"/>
  <c r="L24" i="26"/>
  <c r="D24" i="26" s="1"/>
  <c r="E24" i="26" s="1"/>
  <c r="J19" i="26" s="1"/>
  <c r="M19" i="26" s="1"/>
  <c r="D22" i="778"/>
  <c r="G14" i="26" l="1"/>
  <c r="E24" i="778"/>
  <c r="A38" i="960"/>
  <c r="L25" i="26"/>
  <c r="D25" i="26" s="1"/>
  <c r="E25" i="26" s="1"/>
  <c r="D23" i="778"/>
  <c r="G14" i="778" l="1"/>
  <c r="G15" i="26"/>
  <c r="E25" i="778"/>
  <c r="A39" i="960"/>
  <c r="L26" i="26"/>
  <c r="D26" i="26" s="1"/>
  <c r="E26" i="26" s="1"/>
  <c r="D24" i="778"/>
  <c r="H71" i="434"/>
  <c r="B72" i="434" s="1"/>
  <c r="G15" i="778" l="1"/>
  <c r="G16" i="26"/>
  <c r="E26" i="778"/>
  <c r="A40" i="960"/>
  <c r="L27" i="26"/>
  <c r="D27" i="26" s="1"/>
  <c r="E27" i="26" s="1"/>
  <c r="E27" i="778" s="1"/>
  <c r="D25" i="778"/>
  <c r="A1" i="45"/>
  <c r="G16" i="778" l="1"/>
  <c r="G17" i="26"/>
  <c r="A41" i="960"/>
  <c r="L28" i="26"/>
  <c r="D28" i="26" s="1"/>
  <c r="E28" i="26" s="1"/>
  <c r="D26" i="778"/>
  <c r="A44" i="655"/>
  <c r="A1" i="655"/>
  <c r="K11" i="734"/>
  <c r="M11" i="734"/>
  <c r="N11" i="734"/>
  <c r="O11" i="734" s="1"/>
  <c r="H11" i="734" l="1"/>
  <c r="G11" i="734" s="1"/>
  <c r="B12" i="1524"/>
  <c r="G18" i="26"/>
  <c r="G17" i="778"/>
  <c r="E28" i="778"/>
  <c r="J20" i="26"/>
  <c r="M20" i="26" s="1"/>
  <c r="A42" i="960"/>
  <c r="L29" i="26"/>
  <c r="D29" i="26" s="1"/>
  <c r="E29" i="26" s="1"/>
  <c r="D27" i="778"/>
  <c r="H13" i="47"/>
  <c r="K12" i="734"/>
  <c r="M12" i="734"/>
  <c r="N12" i="734"/>
  <c r="O12" i="734" s="1"/>
  <c r="H12" i="734" l="1"/>
  <c r="G12" i="734" s="1"/>
  <c r="B13" i="1524"/>
  <c r="G18" i="778"/>
  <c r="G19" i="26"/>
  <c r="G19" i="778" s="1"/>
  <c r="E29" i="778"/>
  <c r="J21" i="26"/>
  <c r="M21" i="26" s="1"/>
  <c r="A43" i="960"/>
  <c r="L30" i="26"/>
  <c r="D30" i="26" s="1"/>
  <c r="E30" i="26" s="1"/>
  <c r="D28" i="778"/>
  <c r="H14" i="47"/>
  <c r="K13" i="734"/>
  <c r="M13" i="734"/>
  <c r="N13" i="734"/>
  <c r="O13" i="734" s="1"/>
  <c r="H13" i="734" l="1"/>
  <c r="G13" i="734" s="1"/>
  <c r="B14" i="1524"/>
  <c r="G20" i="26"/>
  <c r="G20" i="778" s="1"/>
  <c r="E30" i="778"/>
  <c r="A44" i="960"/>
  <c r="L31" i="26"/>
  <c r="D31" i="26" s="1"/>
  <c r="D29" i="778"/>
  <c r="H15" i="47"/>
  <c r="K14" i="734"/>
  <c r="M14" i="734"/>
  <c r="N14" i="734"/>
  <c r="O14" i="734" s="1"/>
  <c r="H14" i="734" l="1"/>
  <c r="G14" i="734" s="1"/>
  <c r="B15" i="1524"/>
  <c r="G21" i="26"/>
  <c r="G21" i="778" s="1"/>
  <c r="A45" i="960"/>
  <c r="L32" i="26"/>
  <c r="D32" i="26" s="1"/>
  <c r="E32" i="26" s="1"/>
  <c r="D30" i="778"/>
  <c r="H16" i="47"/>
  <c r="K15" i="734"/>
  <c r="M15" i="734"/>
  <c r="N15" i="734"/>
  <c r="O15" i="734" s="1"/>
  <c r="H15" i="734" l="1"/>
  <c r="G15" i="734" s="1"/>
  <c r="B16" i="1524"/>
  <c r="J31" i="26"/>
  <c r="M31" i="26" s="1"/>
  <c r="J32" i="26"/>
  <c r="M32" i="26" s="1"/>
  <c r="E32" i="778"/>
  <c r="J27" i="26"/>
  <c r="M27" i="26" s="1"/>
  <c r="J23" i="26"/>
  <c r="M23" i="26" s="1"/>
  <c r="J26" i="26"/>
  <c r="M26" i="26" s="1"/>
  <c r="J29" i="26"/>
  <c r="M29" i="26" s="1"/>
  <c r="J25" i="26"/>
  <c r="M25" i="26" s="1"/>
  <c r="J22" i="26"/>
  <c r="M22" i="26" s="1"/>
  <c r="G22" i="26" s="1"/>
  <c r="J30" i="26"/>
  <c r="M30" i="26" s="1"/>
  <c r="J24" i="26"/>
  <c r="M24" i="26" s="1"/>
  <c r="J28" i="26"/>
  <c r="M28" i="26" s="1"/>
  <c r="A46" i="960"/>
  <c r="L33" i="26"/>
  <c r="D33" i="26" s="1"/>
  <c r="D31" i="778"/>
  <c r="H17" i="47"/>
  <c r="K16" i="734"/>
  <c r="N16" i="734"/>
  <c r="M16" i="734"/>
  <c r="O16" i="734" s="1"/>
  <c r="H16" i="734" l="1"/>
  <c r="G16" i="734" s="1"/>
  <c r="B17" i="1524"/>
  <c r="G22" i="778"/>
  <c r="G23" i="26"/>
  <c r="A47" i="960"/>
  <c r="L34" i="26"/>
  <c r="D34" i="26" s="1"/>
  <c r="D32" i="778"/>
  <c r="AT3" i="734"/>
  <c r="H18" i="47"/>
  <c r="K17" i="734"/>
  <c r="M17" i="734"/>
  <c r="N17" i="734"/>
  <c r="O17" i="734" s="1"/>
  <c r="H17" i="734" l="1"/>
  <c r="G17" i="734" s="1"/>
  <c r="B18" i="1524"/>
  <c r="G23" i="778"/>
  <c r="G24" i="26"/>
  <c r="A48" i="960"/>
  <c r="L35" i="26"/>
  <c r="D35" i="26" s="1"/>
  <c r="D33" i="778"/>
  <c r="H19" i="47"/>
  <c r="K18" i="734"/>
  <c r="N18" i="734"/>
  <c r="M18" i="734"/>
  <c r="O18" i="734" s="1"/>
  <c r="H18" i="734" l="1"/>
  <c r="G18" i="734" s="1"/>
  <c r="B19" i="1524"/>
  <c r="G25" i="26"/>
  <c r="G24" i="778"/>
  <c r="A49" i="960"/>
  <c r="L36" i="26"/>
  <c r="D36" i="26" s="1"/>
  <c r="D34" i="778"/>
  <c r="H20" i="47"/>
  <c r="K19" i="734"/>
  <c r="M19" i="734"/>
  <c r="N19" i="734"/>
  <c r="O19" i="734" s="1"/>
  <c r="H19" i="734" l="1"/>
  <c r="G19" i="734" s="1"/>
  <c r="B20" i="1524"/>
  <c r="G25" i="778"/>
  <c r="G26" i="26"/>
  <c r="A50" i="960"/>
  <c r="L37" i="26"/>
  <c r="D37" i="26" s="1"/>
  <c r="D35" i="778"/>
  <c r="H21" i="47"/>
  <c r="K20" i="734"/>
  <c r="N20" i="734"/>
  <c r="M20" i="734"/>
  <c r="O20" i="734" s="1"/>
  <c r="H20" i="734" l="1"/>
  <c r="G20" i="734" s="1"/>
  <c r="B21" i="1524"/>
  <c r="G26" i="778"/>
  <c r="G27" i="26"/>
  <c r="A51" i="960"/>
  <c r="L38" i="26"/>
  <c r="D38" i="26" s="1"/>
  <c r="D36" i="778"/>
  <c r="H22" i="47"/>
  <c r="K21" i="734"/>
  <c r="CA21" i="734"/>
  <c r="CD21" i="734" l="1"/>
  <c r="R21" i="734"/>
  <c r="Z21" i="734" s="1"/>
  <c r="B22" i="1524"/>
  <c r="G28" i="26"/>
  <c r="G27" i="778"/>
  <c r="A52" i="960"/>
  <c r="L39" i="26"/>
  <c r="D39" i="26" s="1"/>
  <c r="D37" i="778"/>
  <c r="H23" i="47"/>
  <c r="BS3" i="734"/>
  <c r="AE3" i="734"/>
  <c r="K22" i="734"/>
  <c r="M22" i="734"/>
  <c r="N22" i="734"/>
  <c r="O22" i="734" s="1"/>
  <c r="H22" i="734" l="1"/>
  <c r="G22" i="734" s="1"/>
  <c r="B23" i="1524"/>
  <c r="G28" i="778"/>
  <c r="G29" i="26"/>
  <c r="A53" i="960"/>
  <c r="L40" i="26"/>
  <c r="D40" i="26" s="1"/>
  <c r="D38" i="778"/>
  <c r="H24" i="47"/>
  <c r="K23" i="734"/>
  <c r="M23" i="734"/>
  <c r="N23" i="734"/>
  <c r="O23" i="734" s="1"/>
  <c r="H23" i="734" l="1"/>
  <c r="G23" i="734" s="1"/>
  <c r="B24" i="1524"/>
  <c r="G29" i="778"/>
  <c r="G30" i="26"/>
  <c r="A54" i="960"/>
  <c r="L41" i="26"/>
  <c r="D41" i="26" s="1"/>
  <c r="D39" i="778"/>
  <c r="H25" i="47"/>
  <c r="K24" i="734"/>
  <c r="M24" i="734"/>
  <c r="N24" i="734"/>
  <c r="O24" i="734" s="1"/>
  <c r="H24" i="734" l="1"/>
  <c r="G24" i="734" s="1"/>
  <c r="B25" i="1524"/>
  <c r="G30" i="778"/>
  <c r="G31" i="26"/>
  <c r="A55" i="960"/>
  <c r="L42" i="26"/>
  <c r="D42" i="26" s="1"/>
  <c r="D40" i="778"/>
  <c r="H26" i="47"/>
  <c r="K25" i="734"/>
  <c r="M25" i="734"/>
  <c r="N25" i="734"/>
  <c r="O25" i="734" s="1"/>
  <c r="H25" i="734" l="1"/>
  <c r="G25" i="734" s="1"/>
  <c r="B26" i="1524"/>
  <c r="G31" i="778"/>
  <c r="G32" i="26"/>
  <c r="A56" i="960"/>
  <c r="L43" i="26"/>
  <c r="D43" i="26" s="1"/>
  <c r="D41" i="778"/>
  <c r="H27" i="47"/>
  <c r="K26" i="734"/>
  <c r="M26" i="734"/>
  <c r="N26" i="734"/>
  <c r="O26" i="734" s="1"/>
  <c r="H26" i="734" l="1"/>
  <c r="G26" i="734" s="1"/>
  <c r="B27" i="1524"/>
  <c r="G32" i="778"/>
  <c r="G33" i="26"/>
  <c r="A57" i="960"/>
  <c r="L44" i="26"/>
  <c r="D44" i="26" s="1"/>
  <c r="D42" i="778"/>
  <c r="H28" i="47"/>
  <c r="K27" i="734"/>
  <c r="A3" i="665"/>
  <c r="A3" i="100"/>
  <c r="A1" i="665"/>
  <c r="A2" i="665"/>
  <c r="A5" i="663"/>
  <c r="A2" i="661"/>
  <c r="A3" i="98"/>
  <c r="A2" i="99"/>
  <c r="A1" i="664"/>
  <c r="A2" i="662"/>
  <c r="A1" i="98"/>
  <c r="A5" i="99"/>
  <c r="A3" i="662"/>
  <c r="A1" i="99"/>
  <c r="A4" i="99"/>
  <c r="A4" i="100"/>
  <c r="A2" i="98"/>
  <c r="A4" i="665"/>
  <c r="A5" i="661"/>
  <c r="A4" i="661"/>
  <c r="A2" i="100"/>
  <c r="A3" i="726"/>
  <c r="A5" i="100"/>
  <c r="A3" i="664"/>
  <c r="A5" i="98"/>
  <c r="A5" i="665"/>
  <c r="A4" i="726"/>
  <c r="A2" i="663"/>
  <c r="A5" i="662"/>
  <c r="A3" i="661"/>
  <c r="A4" i="98"/>
  <c r="A3" i="663"/>
  <c r="A2" i="726"/>
  <c r="A4" i="663"/>
  <c r="A1" i="726"/>
  <c r="A4" i="664"/>
  <c r="A2" i="664"/>
  <c r="A1" i="100"/>
  <c r="A1" i="663"/>
  <c r="A1" i="662"/>
  <c r="A3" i="99"/>
  <c r="A5" i="664"/>
  <c r="A5" i="726"/>
  <c r="A4" i="662"/>
  <c r="M27" i="734"/>
  <c r="N27" i="734"/>
  <c r="O27" i="734" s="1"/>
  <c r="H27" i="734" l="1"/>
  <c r="G27" i="734" s="1"/>
  <c r="B28" i="1524"/>
  <c r="G33" i="778"/>
  <c r="G34" i="26"/>
  <c r="A58" i="960"/>
  <c r="L45" i="26"/>
  <c r="D45" i="26" s="1"/>
  <c r="D43" i="778"/>
  <c r="H29" i="47"/>
  <c r="K28" i="734"/>
  <c r="M28" i="734"/>
  <c r="N28" i="734"/>
  <c r="O28" i="734" s="1"/>
  <c r="H28" i="734" l="1"/>
  <c r="G28" i="734" s="1"/>
  <c r="B29" i="1524"/>
  <c r="G34" i="778"/>
  <c r="G35" i="26"/>
  <c r="A59" i="960"/>
  <c r="L46" i="26"/>
  <c r="D46" i="26" s="1"/>
  <c r="D44" i="778"/>
  <c r="H30" i="47"/>
  <c r="K29" i="734"/>
  <c r="N29" i="734"/>
  <c r="M29" i="734"/>
  <c r="O29" i="734" s="1"/>
  <c r="H29" i="734" l="1"/>
  <c r="G29" i="734" s="1"/>
  <c r="B30" i="1524"/>
  <c r="G35" i="778"/>
  <c r="G36" i="26"/>
  <c r="A60" i="960"/>
  <c r="L47" i="26"/>
  <c r="D47" i="26" s="1"/>
  <c r="D45" i="778"/>
  <c r="H31" i="47"/>
  <c r="K30" i="734"/>
  <c r="CA30" i="734"/>
  <c r="CD30" i="734" l="1"/>
  <c r="R30" i="734"/>
  <c r="Z30" i="734" s="1"/>
  <c r="B31" i="1524"/>
  <c r="G36" i="778"/>
  <c r="G37" i="26"/>
  <c r="A61" i="960"/>
  <c r="L48" i="26"/>
  <c r="D48" i="26" s="1"/>
  <c r="D46" i="778"/>
  <c r="H32" i="47"/>
  <c r="K31" i="734"/>
  <c r="N31" i="734"/>
  <c r="M31" i="734"/>
  <c r="O31" i="734" s="1"/>
  <c r="H31" i="734" l="1"/>
  <c r="G31" i="734" s="1"/>
  <c r="B32" i="1524"/>
  <c r="G37" i="778"/>
  <c r="G38" i="26"/>
  <c r="A62" i="960"/>
  <c r="L49" i="26"/>
  <c r="D49" i="26" s="1"/>
  <c r="D47" i="778"/>
  <c r="H33" i="47"/>
  <c r="K32" i="734"/>
  <c r="M32" i="734"/>
  <c r="N32" i="734"/>
  <c r="O32" i="734" s="1"/>
  <c r="H32" i="734" l="1"/>
  <c r="G32" i="734" s="1"/>
  <c r="B33" i="1524"/>
  <c r="G38" i="778"/>
  <c r="G39" i="26"/>
  <c r="A63" i="960"/>
  <c r="L50" i="26"/>
  <c r="D50" i="26" s="1"/>
  <c r="D48" i="778"/>
  <c r="H34" i="47"/>
  <c r="K33" i="734"/>
  <c r="N33" i="734"/>
  <c r="M33" i="734"/>
  <c r="O33" i="734" s="1"/>
  <c r="H33" i="734" l="1"/>
  <c r="G33" i="734" s="1"/>
  <c r="B34" i="1524"/>
  <c r="G39" i="778"/>
  <c r="G40" i="26"/>
  <c r="A64" i="960"/>
  <c r="L51" i="26"/>
  <c r="D51" i="26" s="1"/>
  <c r="D49" i="778"/>
  <c r="H35" i="47"/>
  <c r="K34" i="734"/>
  <c r="N34" i="734"/>
  <c r="M34" i="734"/>
  <c r="O34" i="734" s="1"/>
  <c r="H34" i="734" l="1"/>
  <c r="G34" i="734" s="1"/>
  <c r="B35" i="1524"/>
  <c r="G40" i="778"/>
  <c r="G41" i="26"/>
  <c r="A65" i="960"/>
  <c r="L52" i="26"/>
  <c r="D52" i="26" s="1"/>
  <c r="H36" i="47"/>
  <c r="A1" i="438"/>
  <c r="K35" i="734"/>
  <c r="N35" i="734"/>
  <c r="M35" i="734"/>
  <c r="O35" i="734" s="1"/>
  <c r="H35" i="734" l="1"/>
  <c r="G35" i="734" s="1"/>
  <c r="B36" i="1524"/>
  <c r="G42" i="26"/>
  <c r="G41" i="778"/>
  <c r="A66" i="960"/>
  <c r="L53" i="26"/>
  <c r="D53" i="26" s="1"/>
  <c r="D50" i="778"/>
  <c r="D51" i="778"/>
  <c r="H37" i="47"/>
  <c r="K36" i="734"/>
  <c r="M36" i="734"/>
  <c r="N36" i="734"/>
  <c r="O36" i="734" s="1"/>
  <c r="H36" i="734" l="1"/>
  <c r="G36" i="734" s="1"/>
  <c r="B37" i="1524"/>
  <c r="G42" i="778"/>
  <c r="G43" i="26"/>
  <c r="A67" i="960"/>
  <c r="L54" i="26"/>
  <c r="D54" i="26" s="1"/>
  <c r="H38" i="47"/>
  <c r="K37" i="734"/>
  <c r="N37" i="734"/>
  <c r="M37" i="734"/>
  <c r="O37" i="734" s="1"/>
  <c r="H37" i="734" l="1"/>
  <c r="G37" i="734" s="1"/>
  <c r="B38" i="1524"/>
  <c r="G43" i="778"/>
  <c r="G44" i="26"/>
  <c r="A68" i="960"/>
  <c r="L55" i="26"/>
  <c r="D55" i="26" s="1"/>
  <c r="D52" i="778"/>
  <c r="D53" i="778"/>
  <c r="H39" i="47"/>
  <c r="K53" i="734"/>
  <c r="K63" i="734"/>
  <c r="K47" i="734"/>
  <c r="K60" i="734"/>
  <c r="K54" i="734"/>
  <c r="K68" i="734"/>
  <c r="K55" i="734"/>
  <c r="K51" i="734"/>
  <c r="K49" i="734"/>
  <c r="K57" i="734"/>
  <c r="K48" i="734"/>
  <c r="K66" i="734"/>
  <c r="K64" i="734"/>
  <c r="K52" i="734"/>
  <c r="K50" i="734"/>
  <c r="K67" i="734"/>
  <c r="K56" i="734"/>
  <c r="K65" i="734"/>
  <c r="K38" i="734"/>
  <c r="K46" i="734"/>
  <c r="K44" i="734"/>
  <c r="K58" i="734"/>
  <c r="K39" i="734"/>
  <c r="K62" i="734"/>
  <c r="K40" i="734"/>
  <c r="K45" i="734"/>
  <c r="K43" i="734"/>
  <c r="K61" i="734"/>
  <c r="K41" i="734"/>
  <c r="K42" i="734"/>
  <c r="K59" i="734"/>
  <c r="CA53" i="734"/>
  <c r="CA63" i="734"/>
  <c r="CA47" i="734"/>
  <c r="CA60" i="734"/>
  <c r="CA54" i="734"/>
  <c r="CA68" i="734"/>
  <c r="CA55" i="734"/>
  <c r="CA51" i="734"/>
  <c r="CA49" i="734"/>
  <c r="CA57" i="734"/>
  <c r="CA48" i="734"/>
  <c r="CA66" i="734"/>
  <c r="CA64" i="734"/>
  <c r="CA52" i="734"/>
  <c r="CA50" i="734"/>
  <c r="CA67" i="734"/>
  <c r="CA56" i="734"/>
  <c r="CA65" i="734"/>
  <c r="CA38" i="734"/>
  <c r="CA46" i="734"/>
  <c r="CA44" i="734"/>
  <c r="CA58" i="734"/>
  <c r="CA39" i="734"/>
  <c r="CA62" i="734"/>
  <c r="CA40" i="734"/>
  <c r="CA45" i="734"/>
  <c r="CA43" i="734"/>
  <c r="CA61" i="734"/>
  <c r="CA41" i="734"/>
  <c r="CA42" i="734"/>
  <c r="CA59" i="734"/>
  <c r="CD59" i="734" l="1"/>
  <c r="CD42" i="734"/>
  <c r="CD41" i="734"/>
  <c r="CD61" i="734"/>
  <c r="CD43" i="734"/>
  <c r="CD45" i="734"/>
  <c r="CD40" i="734"/>
  <c r="CD62" i="734"/>
  <c r="CD39" i="734"/>
  <c r="CD58" i="734"/>
  <c r="CD44" i="734"/>
  <c r="CD46" i="734"/>
  <c r="CD38" i="734"/>
  <c r="CD65" i="734"/>
  <c r="CD56" i="734"/>
  <c r="CD67" i="734"/>
  <c r="CD50" i="734"/>
  <c r="CD52" i="734"/>
  <c r="CD64" i="734"/>
  <c r="CD66" i="734"/>
  <c r="CD48" i="734"/>
  <c r="CD57" i="734"/>
  <c r="CD49" i="734"/>
  <c r="CD51" i="734"/>
  <c r="CD55" i="734"/>
  <c r="CD68" i="734"/>
  <c r="CD54" i="734"/>
  <c r="CD60" i="734"/>
  <c r="CD47" i="734"/>
  <c r="CD63" i="734"/>
  <c r="CD53" i="734"/>
  <c r="R59" i="734"/>
  <c r="Z59" i="734" s="1"/>
  <c r="R42" i="734"/>
  <c r="Z42" i="734" s="1"/>
  <c r="R41" i="734"/>
  <c r="Z41" i="734" s="1"/>
  <c r="R61" i="734"/>
  <c r="Z61" i="734" s="1"/>
  <c r="R43" i="734"/>
  <c r="Z43" i="734" s="1"/>
  <c r="R45" i="734"/>
  <c r="Z45" i="734" s="1"/>
  <c r="R40" i="734"/>
  <c r="Z40" i="734" s="1"/>
  <c r="R62" i="734"/>
  <c r="Z62" i="734" s="1"/>
  <c r="R39" i="734"/>
  <c r="Z39" i="734" s="1"/>
  <c r="R58" i="734"/>
  <c r="Z58" i="734" s="1"/>
  <c r="R44" i="734"/>
  <c r="Z44" i="734" s="1"/>
  <c r="R46" i="734"/>
  <c r="Z46" i="734" s="1"/>
  <c r="R38" i="734"/>
  <c r="Z38" i="734" s="1"/>
  <c r="R65" i="734"/>
  <c r="Z65" i="734" s="1"/>
  <c r="R56" i="734"/>
  <c r="Z56" i="734" s="1"/>
  <c r="R67" i="734"/>
  <c r="Z67" i="734" s="1"/>
  <c r="R50" i="734"/>
  <c r="Z50" i="734" s="1"/>
  <c r="R52" i="734"/>
  <c r="Z52" i="734" s="1"/>
  <c r="R64" i="734"/>
  <c r="Z64" i="734" s="1"/>
  <c r="R66" i="734"/>
  <c r="Z66" i="734" s="1"/>
  <c r="R48" i="734"/>
  <c r="Z48" i="734" s="1"/>
  <c r="R57" i="734"/>
  <c r="Z57" i="734" s="1"/>
  <c r="R49" i="734"/>
  <c r="Z49" i="734" s="1"/>
  <c r="R51" i="734"/>
  <c r="Z51" i="734" s="1"/>
  <c r="R55" i="734"/>
  <c r="Z55" i="734" s="1"/>
  <c r="R68" i="734"/>
  <c r="Z68" i="734" s="1"/>
  <c r="R54" i="734"/>
  <c r="Z54" i="734" s="1"/>
  <c r="R60" i="734"/>
  <c r="Z60" i="734" s="1"/>
  <c r="R47" i="734"/>
  <c r="Z47" i="734" s="1"/>
  <c r="R63" i="734"/>
  <c r="Z63" i="734" s="1"/>
  <c r="R53" i="734"/>
  <c r="Z53" i="734" s="1"/>
  <c r="G44" i="778"/>
  <c r="G45" i="26"/>
  <c r="A69" i="960"/>
  <c r="L56" i="26"/>
  <c r="D56" i="26" s="1"/>
  <c r="H40" i="47"/>
  <c r="G46" i="26" l="1"/>
  <c r="G45" i="778"/>
  <c r="L57" i="26"/>
  <c r="D57" i="26" s="1"/>
  <c r="D54" i="778"/>
  <c r="D55" i="778"/>
  <c r="H41" i="47"/>
  <c r="A44" i="438"/>
  <c r="G46" i="778" l="1"/>
  <c r="G47" i="26"/>
  <c r="L58" i="26"/>
  <c r="D58" i="26" s="1"/>
  <c r="D56" i="778"/>
  <c r="H42" i="47"/>
  <c r="G47" i="778" l="1"/>
  <c r="G48" i="26"/>
  <c r="L59" i="26"/>
  <c r="D59" i="26" s="1"/>
  <c r="H43" i="47"/>
  <c r="G48" i="778" l="1"/>
  <c r="G49" i="26"/>
  <c r="L60" i="26"/>
  <c r="D60" i="26" s="1"/>
  <c r="D58" i="778"/>
  <c r="D57" i="778"/>
  <c r="H44" i="47"/>
  <c r="H72" i="434"/>
  <c r="G49" i="778" l="1"/>
  <c r="G50" i="26"/>
  <c r="L61" i="26"/>
  <c r="D61" i="26" s="1"/>
  <c r="D59" i="778"/>
  <c r="H45" i="47"/>
  <c r="G50" i="778" l="1"/>
  <c r="G51" i="26"/>
  <c r="L62" i="26"/>
  <c r="D62" i="26" s="1"/>
  <c r="D60" i="778"/>
  <c r="H46" i="47"/>
  <c r="G52" i="26" l="1"/>
  <c r="G51" i="778"/>
  <c r="L63" i="26"/>
  <c r="D63" i="26" s="1"/>
  <c r="D61" i="778"/>
  <c r="H47" i="47"/>
  <c r="G52" i="778" l="1"/>
  <c r="G53" i="26"/>
  <c r="L64" i="26"/>
  <c r="D64" i="26" s="1"/>
  <c r="D62" i="778"/>
  <c r="H48" i="47"/>
  <c r="A11" i="47"/>
  <c r="G53" i="778" l="1"/>
  <c r="G54" i="26"/>
  <c r="L65" i="26"/>
  <c r="D65" i="26" s="1"/>
  <c r="D63" i="778"/>
  <c r="A12" i="47"/>
  <c r="A13" i="47"/>
  <c r="H49" i="47"/>
  <c r="G54" i="778" l="1"/>
  <c r="G55" i="26"/>
  <c r="H50" i="47"/>
  <c r="L66" i="26"/>
  <c r="D66" i="26" s="1"/>
  <c r="D64" i="778"/>
  <c r="A11" i="108"/>
  <c r="B11" i="108" s="1"/>
  <c r="A12" i="108"/>
  <c r="B12" i="108" s="1"/>
  <c r="A14" i="47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G56" i="26" l="1"/>
  <c r="G55" i="778"/>
  <c r="H51" i="47"/>
  <c r="L67" i="26"/>
  <c r="D67" i="26" s="1"/>
  <c r="D65" i="778"/>
  <c r="A15" i="47"/>
  <c r="A13" i="108"/>
  <c r="B13" i="108" s="1"/>
  <c r="A30" i="45"/>
  <c r="A31" i="45" s="1"/>
  <c r="G57" i="26" l="1"/>
  <c r="G56" i="778"/>
  <c r="H52" i="47"/>
  <c r="L68" i="26"/>
  <c r="D68" i="26" s="1"/>
  <c r="D66" i="778"/>
  <c r="A14" i="108"/>
  <c r="B14" i="108" s="1"/>
  <c r="A16" i="47"/>
  <c r="B70" i="45"/>
  <c r="A32" i="45"/>
  <c r="B70" i="47" l="1"/>
  <c r="A69" i="734"/>
  <c r="G58" i="26"/>
  <c r="G57" i="778"/>
  <c r="H53" i="47"/>
  <c r="L69" i="26"/>
  <c r="D69" i="26" s="1"/>
  <c r="D67" i="778"/>
  <c r="A17" i="47"/>
  <c r="A15" i="108"/>
  <c r="B15" i="108" s="1"/>
  <c r="A33" i="45"/>
  <c r="G59" i="26" l="1"/>
  <c r="G58" i="778"/>
  <c r="H54" i="47"/>
  <c r="D68" i="778"/>
  <c r="A16" i="108"/>
  <c r="B16" i="108" s="1"/>
  <c r="A18" i="47"/>
  <c r="A34" i="45"/>
  <c r="G59" i="778" l="1"/>
  <c r="G60" i="26"/>
  <c r="H55" i="47"/>
  <c r="D69" i="778"/>
  <c r="D70" i="778" s="1"/>
  <c r="D70" i="26"/>
  <c r="A19" i="47"/>
  <c r="A17" i="108"/>
  <c r="B17" i="108" s="1"/>
  <c r="A35" i="45"/>
  <c r="G60" i="778" l="1"/>
  <c r="G61" i="26"/>
  <c r="H56" i="47"/>
  <c r="A18" i="108"/>
  <c r="B18" i="108" s="1"/>
  <c r="A20" i="47"/>
  <c r="A36" i="45"/>
  <c r="A37" i="45" s="1"/>
  <c r="A38" i="45" s="1"/>
  <c r="A39" i="45" s="1"/>
  <c r="C19" i="47" s="1"/>
  <c r="E10" i="47" l="1"/>
  <c r="F10" i="47"/>
  <c r="D11" i="47"/>
  <c r="G12" i="47"/>
  <c r="F11" i="47"/>
  <c r="F12" i="47"/>
  <c r="E12" i="47"/>
  <c r="G11" i="47"/>
  <c r="C11" i="47"/>
  <c r="E11" i="47"/>
  <c r="C12" i="47"/>
  <c r="G13" i="47"/>
  <c r="F13" i="47"/>
  <c r="D13" i="47"/>
  <c r="C13" i="47"/>
  <c r="E13" i="47"/>
  <c r="D12" i="47"/>
  <c r="F14" i="47"/>
  <c r="D14" i="47"/>
  <c r="E14" i="47"/>
  <c r="G14" i="47"/>
  <c r="C14" i="47"/>
  <c r="G15" i="47"/>
  <c r="D15" i="47"/>
  <c r="C15" i="47"/>
  <c r="E15" i="47"/>
  <c r="F15" i="47"/>
  <c r="D16" i="47"/>
  <c r="G16" i="47"/>
  <c r="F16" i="47"/>
  <c r="E16" i="47"/>
  <c r="C16" i="47"/>
  <c r="C17" i="47"/>
  <c r="G17" i="47"/>
  <c r="D17" i="47"/>
  <c r="E17" i="47"/>
  <c r="F17" i="47"/>
  <c r="G18" i="47"/>
  <c r="C18" i="47"/>
  <c r="F18" i="47"/>
  <c r="E18" i="47"/>
  <c r="D18" i="47"/>
  <c r="F19" i="47"/>
  <c r="D19" i="47"/>
  <c r="E19" i="47"/>
  <c r="G19" i="47"/>
  <c r="G61" i="778"/>
  <c r="G62" i="26"/>
  <c r="H57" i="47"/>
  <c r="A21" i="47"/>
  <c r="D20" i="47"/>
  <c r="C20" i="47"/>
  <c r="F20" i="47"/>
  <c r="G20" i="47"/>
  <c r="E20" i="47"/>
  <c r="A19" i="108"/>
  <c r="B19" i="108" s="1"/>
  <c r="A40" i="45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G10" i="47"/>
  <c r="D10" i="47"/>
  <c r="C10" i="47"/>
  <c r="G62" i="778" l="1"/>
  <c r="G63" i="26"/>
  <c r="H58" i="47"/>
  <c r="A22" i="47"/>
  <c r="F21" i="47"/>
  <c r="C21" i="47"/>
  <c r="G21" i="47"/>
  <c r="E21" i="47"/>
  <c r="D21" i="47"/>
  <c r="A20" i="108"/>
  <c r="B20" i="108" s="1"/>
  <c r="A9" i="734"/>
  <c r="A10" i="108"/>
  <c r="B10" i="108" s="1"/>
  <c r="A58" i="45"/>
  <c r="E9" i="734"/>
  <c r="AS9" i="734"/>
  <c r="AI9" i="734"/>
  <c r="BB9" i="734"/>
  <c r="BO9" i="734"/>
  <c r="AF9" i="734"/>
  <c r="S9" i="734"/>
  <c r="BJ9" i="734"/>
  <c r="BT9" i="734"/>
  <c r="AR9" i="734"/>
  <c r="B9" i="734"/>
  <c r="K9" i="734"/>
  <c r="BS9" i="734"/>
  <c r="F9" i="734"/>
  <c r="BW9" i="734"/>
  <c r="BU9" i="734"/>
  <c r="C9" i="734"/>
  <c r="CB9" i="734"/>
  <c r="BY9" i="734"/>
  <c r="BA9" i="734"/>
  <c r="BN9" i="734" l="1"/>
  <c r="AZ9" i="734"/>
  <c r="AM9" i="734"/>
  <c r="J9" i="734"/>
  <c r="BZ9" i="734"/>
  <c r="BX9" i="734"/>
  <c r="BV9" i="734"/>
  <c r="R9" i="734"/>
  <c r="Z9" i="734" s="1"/>
  <c r="G63" i="778"/>
  <c r="G64" i="26"/>
  <c r="H59" i="47"/>
  <c r="A23" i="47"/>
  <c r="D22" i="47"/>
  <c r="G22" i="47"/>
  <c r="F22" i="47"/>
  <c r="E22" i="47"/>
  <c r="C22" i="47"/>
  <c r="A21" i="108"/>
  <c r="B21" i="108" s="1"/>
  <c r="AT9" i="734"/>
  <c r="AH9" i="734"/>
  <c r="A59" i="45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U9" i="734"/>
  <c r="T9" i="734"/>
  <c r="AP9" i="734"/>
  <c r="AJ9" i="734"/>
  <c r="AK9" i="734"/>
  <c r="AL9" i="734" s="1"/>
  <c r="N9" i="734"/>
  <c r="M9" i="734"/>
  <c r="BE9" i="734"/>
  <c r="AA9" i="734"/>
  <c r="D9" i="734"/>
  <c r="AE9" i="734"/>
  <c r="CA9" i="734"/>
  <c r="BI9" i="734" l="1"/>
  <c r="BD9" i="734"/>
  <c r="G65" i="26"/>
  <c r="G64" i="778"/>
  <c r="H60" i="47"/>
  <c r="H61" i="47" s="1"/>
  <c r="H62" i="47" s="1"/>
  <c r="H63" i="47" s="1"/>
  <c r="H64" i="47" s="1"/>
  <c r="H65" i="47" s="1"/>
  <c r="H66" i="47" s="1"/>
  <c r="H67" i="47" s="1"/>
  <c r="H68" i="47" s="1"/>
  <c r="H69" i="47" s="1"/>
  <c r="A24" i="47"/>
  <c r="F23" i="47"/>
  <c r="G23" i="47"/>
  <c r="D23" i="47"/>
  <c r="E23" i="47"/>
  <c r="C23" i="47"/>
  <c r="A22" i="108"/>
  <c r="B22" i="108" s="1"/>
  <c r="BC9" i="734"/>
  <c r="AG9" i="734"/>
  <c r="BL9" i="734"/>
  <c r="BK9" i="734"/>
  <c r="AB9" i="734"/>
  <c r="AC9" i="734"/>
  <c r="BF9" i="734"/>
  <c r="BG9" i="734"/>
  <c r="CD9" i="734"/>
  <c r="CE9" i="734"/>
  <c r="AO9" i="734"/>
  <c r="AQ9" i="734"/>
  <c r="O9" i="734"/>
  <c r="Q9" i="734" l="1"/>
  <c r="X9" i="734"/>
  <c r="G66" i="26"/>
  <c r="G65" i="778"/>
  <c r="A23" i="108"/>
  <c r="B23" i="108" s="1"/>
  <c r="A25" i="47"/>
  <c r="B25" i="47" s="1"/>
  <c r="D24" i="47"/>
  <c r="F24" i="47"/>
  <c r="E24" i="47"/>
  <c r="C24" i="47"/>
  <c r="G24" i="47"/>
  <c r="CF9" i="734"/>
  <c r="BM9" i="734"/>
  <c r="BH9" i="734"/>
  <c r="V9" i="734"/>
  <c r="G67" i="26" l="1"/>
  <c r="G66" i="778"/>
  <c r="A26" i="47"/>
  <c r="B26" i="47" s="1"/>
  <c r="F25" i="47"/>
  <c r="E25" i="47"/>
  <c r="C25" i="47"/>
  <c r="D25" i="47"/>
  <c r="G25" i="47"/>
  <c r="A24" i="108"/>
  <c r="B24" i="108" s="1"/>
  <c r="G67" i="778" l="1"/>
  <c r="G68" i="26"/>
  <c r="A27" i="47"/>
  <c r="B27" i="47" s="1"/>
  <c r="D26" i="47"/>
  <c r="E26" i="47"/>
  <c r="G26" i="47"/>
  <c r="C26" i="47"/>
  <c r="F26" i="47"/>
  <c r="A25" i="108"/>
  <c r="B25" i="108" s="1"/>
  <c r="G69" i="26" l="1"/>
  <c r="G69" i="778" s="1"/>
  <c r="G68" i="778"/>
  <c r="A26" i="108"/>
  <c r="B26" i="108" s="1"/>
  <c r="A28" i="47"/>
  <c r="B28" i="47" s="1"/>
  <c r="F27" i="47"/>
  <c r="D27" i="47"/>
  <c r="C27" i="47"/>
  <c r="G27" i="47"/>
  <c r="E27" i="47"/>
  <c r="A29" i="47" l="1"/>
  <c r="B29" i="47" s="1"/>
  <c r="D28" i="47"/>
  <c r="C28" i="47"/>
  <c r="F28" i="47"/>
  <c r="G28" i="47"/>
  <c r="E28" i="47"/>
  <c r="A27" i="108"/>
  <c r="B27" i="108" s="1"/>
  <c r="A30" i="47" l="1"/>
  <c r="B30" i="47" s="1"/>
  <c r="F29" i="47"/>
  <c r="C29" i="47"/>
  <c r="G29" i="47"/>
  <c r="E29" i="47"/>
  <c r="D29" i="47"/>
  <c r="A28" i="108"/>
  <c r="B28" i="108" s="1"/>
  <c r="A31" i="47" l="1"/>
  <c r="B31" i="47" s="1"/>
  <c r="D30" i="47"/>
  <c r="G30" i="47"/>
  <c r="E30" i="47"/>
  <c r="F30" i="47"/>
  <c r="C30" i="47"/>
  <c r="A29" i="108"/>
  <c r="B29" i="108" s="1"/>
  <c r="A32" i="47" l="1"/>
  <c r="B32" i="47" s="1"/>
  <c r="F31" i="47"/>
  <c r="G31" i="47"/>
  <c r="E31" i="47"/>
  <c r="D31" i="47"/>
  <c r="C31" i="47"/>
  <c r="A30" i="108"/>
  <c r="B30" i="108" s="1"/>
  <c r="A31" i="108" l="1"/>
  <c r="B31" i="108" s="1"/>
  <c r="A33" i="47"/>
  <c r="B33" i="47" s="1"/>
  <c r="D32" i="47"/>
  <c r="F32" i="47"/>
  <c r="C32" i="47"/>
  <c r="G32" i="47"/>
  <c r="E32" i="47"/>
  <c r="A32" i="108" l="1"/>
  <c r="B32" i="108" s="1"/>
  <c r="A34" i="47"/>
  <c r="B34" i="47" s="1"/>
  <c r="F33" i="47"/>
  <c r="E33" i="47"/>
  <c r="G33" i="47"/>
  <c r="D33" i="47"/>
  <c r="C33" i="47"/>
  <c r="A33" i="108" l="1"/>
  <c r="B33" i="108" s="1"/>
  <c r="A35" i="47"/>
  <c r="B35" i="47" s="1"/>
  <c r="D34" i="47"/>
  <c r="E34" i="47"/>
  <c r="F34" i="47"/>
  <c r="C34" i="47"/>
  <c r="G34" i="47"/>
  <c r="A36" i="47" l="1"/>
  <c r="B36" i="47" s="1"/>
  <c r="F35" i="47"/>
  <c r="D35" i="47"/>
  <c r="G35" i="47"/>
  <c r="E35" i="47"/>
  <c r="C35" i="47"/>
  <c r="A34" i="108"/>
  <c r="B34" i="108" s="1"/>
  <c r="A35" i="108" l="1"/>
  <c r="B35" i="108" s="1"/>
  <c r="A37" i="47"/>
  <c r="B37" i="47" s="1"/>
  <c r="D36" i="47"/>
  <c r="C36" i="47"/>
  <c r="E36" i="47"/>
  <c r="G36" i="47"/>
  <c r="F36" i="47"/>
  <c r="A36" i="108" l="1"/>
  <c r="B36" i="108" s="1"/>
  <c r="A38" i="47"/>
  <c r="B38" i="47" s="1"/>
  <c r="F37" i="47"/>
  <c r="C37" i="47"/>
  <c r="E37" i="47"/>
  <c r="D37" i="47"/>
  <c r="G37" i="47"/>
  <c r="A37" i="108" l="1"/>
  <c r="B37" i="108" s="1"/>
  <c r="A39" i="47"/>
  <c r="B39" i="47" s="1"/>
  <c r="D38" i="47"/>
  <c r="C38" i="47"/>
  <c r="G38" i="47"/>
  <c r="E38" i="47"/>
  <c r="F38" i="47"/>
  <c r="A38" i="108" l="1"/>
  <c r="B38" i="108" s="1"/>
  <c r="A40" i="47"/>
  <c r="B40" i="47" s="1"/>
  <c r="F39" i="47"/>
  <c r="E39" i="47"/>
  <c r="D39" i="47"/>
  <c r="G39" i="47"/>
  <c r="C39" i="47"/>
  <c r="A39" i="108" l="1"/>
  <c r="B39" i="108" s="1"/>
  <c r="A41" i="47"/>
  <c r="B41" i="47" s="1"/>
  <c r="D40" i="47"/>
  <c r="G40" i="47"/>
  <c r="C40" i="47"/>
  <c r="F40" i="47"/>
  <c r="E40" i="47"/>
  <c r="A40" i="108" l="1"/>
  <c r="B40" i="108" s="1"/>
  <c r="A42" i="47"/>
  <c r="B42" i="47" s="1"/>
  <c r="F41" i="47"/>
  <c r="E41" i="47"/>
  <c r="C41" i="47"/>
  <c r="G41" i="47"/>
  <c r="D41" i="47"/>
  <c r="A41" i="108" l="1"/>
  <c r="B41" i="108" s="1"/>
  <c r="A43" i="47"/>
  <c r="B43" i="47" s="1"/>
  <c r="D42" i="47"/>
  <c r="C42" i="47"/>
  <c r="G42" i="47"/>
  <c r="F42" i="47"/>
  <c r="E42" i="47"/>
  <c r="A42" i="108" l="1"/>
  <c r="B42" i="108" s="1"/>
  <c r="A44" i="47"/>
  <c r="B44" i="47" s="1"/>
  <c r="F43" i="47"/>
  <c r="E43" i="47"/>
  <c r="D43" i="47"/>
  <c r="G43" i="47"/>
  <c r="C43" i="47"/>
  <c r="A45" i="47" l="1"/>
  <c r="B45" i="47" s="1"/>
  <c r="D44" i="47"/>
  <c r="G44" i="47"/>
  <c r="C44" i="47"/>
  <c r="F44" i="47"/>
  <c r="E44" i="47"/>
  <c r="A43" i="108"/>
  <c r="B43" i="108" s="1"/>
  <c r="A46" i="47" l="1"/>
  <c r="B46" i="47" s="1"/>
  <c r="F45" i="47"/>
  <c r="E45" i="47"/>
  <c r="D45" i="47"/>
  <c r="C45" i="47"/>
  <c r="G45" i="47"/>
  <c r="A44" i="108"/>
  <c r="B44" i="108" s="1"/>
  <c r="A45" i="108" l="1"/>
  <c r="B45" i="108" s="1"/>
  <c r="A47" i="47"/>
  <c r="B47" i="47" s="1"/>
  <c r="D46" i="47"/>
  <c r="C46" i="47"/>
  <c r="G46" i="47"/>
  <c r="E46" i="47"/>
  <c r="F46" i="47"/>
  <c r="A48" i="47" l="1"/>
  <c r="B48" i="47" s="1"/>
  <c r="F47" i="47"/>
  <c r="E47" i="47"/>
  <c r="D47" i="47"/>
  <c r="G47" i="47"/>
  <c r="C47" i="47"/>
  <c r="A46" i="108"/>
  <c r="B46" i="108" s="1"/>
  <c r="A47" i="108" l="1"/>
  <c r="B47" i="108" s="1"/>
  <c r="A49" i="47"/>
  <c r="B49" i="47" s="1"/>
  <c r="D48" i="47"/>
  <c r="G48" i="47"/>
  <c r="C48" i="47"/>
  <c r="F48" i="47"/>
  <c r="E48" i="47"/>
  <c r="A50" i="47" l="1"/>
  <c r="B50" i="47" s="1"/>
  <c r="F49" i="47"/>
  <c r="E49" i="47"/>
  <c r="C49" i="47"/>
  <c r="G49" i="47"/>
  <c r="D49" i="47"/>
  <c r="A48" i="108"/>
  <c r="B48" i="108" s="1"/>
  <c r="A51" i="47" l="1"/>
  <c r="B51" i="47" s="1"/>
  <c r="D50" i="47"/>
  <c r="C50" i="47"/>
  <c r="G50" i="47"/>
  <c r="E50" i="47"/>
  <c r="F50" i="47"/>
  <c r="A49" i="108"/>
  <c r="B49" i="108" s="1"/>
  <c r="A50" i="108" l="1"/>
  <c r="B50" i="108" s="1"/>
  <c r="A52" i="47"/>
  <c r="B52" i="47" s="1"/>
  <c r="F51" i="47"/>
  <c r="E51" i="47"/>
  <c r="D51" i="47"/>
  <c r="G51" i="47"/>
  <c r="C51" i="47"/>
  <c r="A51" i="108" l="1"/>
  <c r="B51" i="108" s="1"/>
  <c r="A53" i="47"/>
  <c r="B53" i="47" s="1"/>
  <c r="D52" i="47"/>
  <c r="G52" i="47"/>
  <c r="C52" i="47"/>
  <c r="F52" i="47"/>
  <c r="E52" i="47"/>
  <c r="A52" i="108" l="1"/>
  <c r="B52" i="108" s="1"/>
  <c r="A54" i="47"/>
  <c r="B54" i="47" s="1"/>
  <c r="F53" i="47"/>
  <c r="E53" i="47"/>
  <c r="C53" i="47"/>
  <c r="G53" i="47"/>
  <c r="D53" i="47"/>
  <c r="A53" i="108" l="1"/>
  <c r="B53" i="108" s="1"/>
  <c r="A55" i="47"/>
  <c r="B55" i="47" s="1"/>
  <c r="D54" i="47"/>
  <c r="G54" i="47"/>
  <c r="C54" i="47"/>
  <c r="E54" i="47"/>
  <c r="F54" i="47"/>
  <c r="A54" i="108" l="1"/>
  <c r="B54" i="108" s="1"/>
  <c r="A56" i="47"/>
  <c r="B56" i="47" s="1"/>
  <c r="G55" i="47"/>
  <c r="C55" i="47"/>
  <c r="F55" i="47"/>
  <c r="E55" i="47"/>
  <c r="D55" i="47"/>
  <c r="A55" i="108" l="1"/>
  <c r="B55" i="108" s="1"/>
  <c r="A57" i="47"/>
  <c r="B57" i="47" s="1"/>
  <c r="E56" i="47"/>
  <c r="D56" i="47"/>
  <c r="G56" i="47"/>
  <c r="C56" i="47"/>
  <c r="F56" i="47"/>
  <c r="A56" i="108" l="1"/>
  <c r="B56" i="108" s="1"/>
  <c r="A58" i="47"/>
  <c r="B58" i="47" s="1"/>
  <c r="G57" i="47"/>
  <c r="C57" i="47"/>
  <c r="F57" i="47"/>
  <c r="E57" i="47"/>
  <c r="D57" i="47"/>
  <c r="A57" i="108" l="1"/>
  <c r="B57" i="108" s="1"/>
  <c r="A59" i="47"/>
  <c r="B59" i="47" s="1"/>
  <c r="E58" i="47"/>
  <c r="D58" i="47"/>
  <c r="G58" i="47"/>
  <c r="C58" i="47"/>
  <c r="F58" i="47"/>
  <c r="A58" i="108" l="1"/>
  <c r="B58" i="108" s="1"/>
  <c r="G59" i="47"/>
  <c r="C59" i="47"/>
  <c r="F59" i="47"/>
  <c r="E59" i="47"/>
  <c r="A60" i="47"/>
  <c r="D59" i="47"/>
  <c r="A61" i="47" l="1"/>
  <c r="B61" i="47" s="1"/>
  <c r="B60" i="47"/>
  <c r="D60" i="47"/>
  <c r="E60" i="47"/>
  <c r="C60" i="47"/>
  <c r="G60" i="47"/>
  <c r="F60" i="47"/>
  <c r="A59" i="108"/>
  <c r="B59" i="108" s="1"/>
  <c r="G61" i="47" l="1"/>
  <c r="E61" i="47"/>
  <c r="F61" i="47"/>
  <c r="D61" i="47"/>
  <c r="C61" i="47"/>
  <c r="A62" i="47"/>
  <c r="B62" i="47" s="1"/>
  <c r="F62" i="47" l="1"/>
  <c r="E62" i="47"/>
  <c r="C62" i="47"/>
  <c r="G62" i="47"/>
  <c r="D62" i="47"/>
  <c r="A63" i="47"/>
  <c r="B63" i="47" s="1"/>
  <c r="A64" i="47" l="1"/>
  <c r="B64" i="47" s="1"/>
  <c r="C63" i="47"/>
  <c r="G63" i="47"/>
  <c r="F63" i="47"/>
  <c r="D63" i="47"/>
  <c r="E63" i="47"/>
  <c r="F64" i="47"/>
  <c r="E64" i="47" l="1"/>
  <c r="G64" i="47"/>
  <c r="C64" i="47"/>
  <c r="D64" i="47"/>
  <c r="A65" i="47"/>
  <c r="B65" i="47" s="1"/>
  <c r="C65" i="47" l="1"/>
  <c r="E65" i="47"/>
  <c r="G65" i="47"/>
  <c r="F65" i="47"/>
  <c r="A66" i="47"/>
  <c r="B66" i="47" s="1"/>
  <c r="D65" i="47"/>
  <c r="F66" i="47"/>
  <c r="E66" i="47"/>
  <c r="D66" i="47"/>
  <c r="G66" i="47"/>
  <c r="C66" i="47"/>
  <c r="A67" i="47"/>
  <c r="B67" i="47" s="1"/>
  <c r="F67" i="47" l="1"/>
  <c r="E67" i="47"/>
  <c r="D67" i="47"/>
  <c r="G67" i="47"/>
  <c r="C67" i="47"/>
  <c r="A68" i="47"/>
  <c r="B68" i="47" s="1"/>
  <c r="F68" i="47" l="1"/>
  <c r="A69" i="47"/>
  <c r="B69" i="47" s="1"/>
  <c r="D68" i="47"/>
  <c r="E68" i="47"/>
  <c r="G68" i="47"/>
  <c r="C68" i="47"/>
  <c r="C69" i="47" l="1"/>
  <c r="E69" i="47"/>
  <c r="G69" i="47"/>
  <c r="F69" i="47"/>
  <c r="D69" i="47"/>
  <c r="BP9" i="734"/>
  <c r="BQ9" i="734"/>
  <c r="Y9" i="734" l="1"/>
  <c r="BR9" i="734"/>
  <c r="AD9" i="734"/>
  <c r="I9" i="734" l="1"/>
  <c r="H9" i="734"/>
  <c r="G9" i="734" s="1"/>
  <c r="G69" i="734" s="1"/>
  <c r="C3" i="734" s="1"/>
  <c r="H69" i="734" l="1"/>
  <c r="E3" i="734" s="1"/>
</calcChain>
</file>

<file path=xl/sharedStrings.xml><?xml version="1.0" encoding="utf-8"?>
<sst xmlns="http://schemas.openxmlformats.org/spreadsheetml/2006/main" count="4038" uniqueCount="730">
  <si>
    <t>№</t>
  </si>
  <si>
    <t>Общее</t>
  </si>
  <si>
    <t>Интервал</t>
  </si>
  <si>
    <t>Дорожная ситуация</t>
  </si>
  <si>
    <t>Информация</t>
  </si>
  <si>
    <t>До КВ</t>
  </si>
  <si>
    <t>Смоленск</t>
  </si>
  <si>
    <t>Норма времени</t>
  </si>
  <si>
    <t>Подпись</t>
  </si>
  <si>
    <t>Старт. номер</t>
  </si>
  <si>
    <t>Автомобиль</t>
  </si>
  <si>
    <t>Пенал.</t>
  </si>
  <si>
    <t>Средняя скорость, км/ч</t>
  </si>
  <si>
    <t>Расчетное время прибытия 1-го экипажа</t>
  </si>
  <si>
    <t>старт</t>
  </si>
  <si>
    <t>финиш</t>
  </si>
  <si>
    <t>Подгаева Александра</t>
  </si>
  <si>
    <t>Пенал.   итого</t>
  </si>
  <si>
    <t>Парковка или прилегающая территория</t>
  </si>
  <si>
    <t>Рельсы</t>
  </si>
  <si>
    <t>Маршрут экипажа</t>
  </si>
  <si>
    <t>Маршрут экипажа и его пересечение с другими дорогами ("слепая карта")</t>
  </si>
  <si>
    <t>Блок ("карта с блоками")</t>
  </si>
  <si>
    <t>Класс (Light/Pro)</t>
  </si>
  <si>
    <t>Контактный телефон</t>
  </si>
  <si>
    <t>Госномер</t>
  </si>
  <si>
    <t>Подпись 1-го водителя</t>
  </si>
  <si>
    <t>Подпись 2-го водителя</t>
  </si>
  <si>
    <t>Власенков Кирилл</t>
  </si>
  <si>
    <t>Юзвик Ольга</t>
  </si>
  <si>
    <t>Грушина Елена</t>
  </si>
  <si>
    <t>Время старта</t>
  </si>
  <si>
    <t>Судейская задержка</t>
  </si>
  <si>
    <t>Название полное</t>
  </si>
  <si>
    <t>Название краткое</t>
  </si>
  <si>
    <t>Дорожная книга</t>
  </si>
  <si>
    <t>Точки ("карта с точками")</t>
  </si>
  <si>
    <t>Город</t>
  </si>
  <si>
    <t>План</t>
  </si>
  <si>
    <t>Лада Гранта</t>
  </si>
  <si>
    <t>Максимова Людмила</t>
  </si>
  <si>
    <t>Прусова Наталья</t>
  </si>
  <si>
    <t>Марка, модель автомобиля</t>
  </si>
  <si>
    <t>№ п/п</t>
  </si>
  <si>
    <t>Ст. №</t>
  </si>
  <si>
    <t>Судьи</t>
  </si>
  <si>
    <t>Дельта</t>
  </si>
  <si>
    <t>Судейский пункт</t>
  </si>
  <si>
    <t>Номер строки поста</t>
  </si>
  <si>
    <t>Борисов</t>
  </si>
  <si>
    <t>Опоздание на КВ</t>
  </si>
  <si>
    <t>Опережение на КВ</t>
  </si>
  <si>
    <t>Пропуск КВ</t>
  </si>
  <si>
    <t>Буква</t>
  </si>
  <si>
    <t>Проезд СЛ не по схеме</t>
  </si>
  <si>
    <t>Сбитый конус на СЛ</t>
  </si>
  <si>
    <t>Неостановка базой на СЛ</t>
  </si>
  <si>
    <t>Фальстарт на ДС</t>
  </si>
  <si>
    <t>Вскрытый конверт</t>
  </si>
  <si>
    <t>Нарушение ПДД</t>
  </si>
  <si>
    <t>Опоздание на старт ДС</t>
  </si>
  <si>
    <t>Здание / церковь</t>
  </si>
  <si>
    <t>назначенное</t>
  </si>
  <si>
    <t>Точки изменения скорости</t>
  </si>
  <si>
    <t>Расстояние от начала сектора</t>
  </si>
  <si>
    <t>Длина участка</t>
  </si>
  <si>
    <t>Скорость по ПДД / указание в ДК</t>
  </si>
  <si>
    <t>К</t>
  </si>
  <si>
    <t>Средняя скорость движения</t>
  </si>
  <si>
    <t>Время на прохождение участка</t>
  </si>
  <si>
    <t>Итого:</t>
  </si>
  <si>
    <t>сек:</t>
  </si>
  <si>
    <t>Отметка</t>
  </si>
  <si>
    <t>-----&gt;</t>
  </si>
  <si>
    <t>Ярцево</t>
  </si>
  <si>
    <t>словесное описание</t>
  </si>
  <si>
    <t>откуда едут экипажи</t>
  </si>
  <si>
    <t>2. Какой класс?</t>
  </si>
  <si>
    <t>4. Сообщаем:</t>
  </si>
  <si>
    <t>4.1. время старта</t>
  </si>
  <si>
    <t>4.2. нужно пройти техинспекцию и получить отметку в КК (заведует Борисов)</t>
  </si>
  <si>
    <t>4.4. официальные часы тут.</t>
  </si>
  <si>
    <t>1. Иметь при себе: ручку, жилетку, синхронизированные часы, протоколы.</t>
  </si>
  <si>
    <t>КВ-0 Старт</t>
  </si>
  <si>
    <t>7. После прохода всех экипажей или окончания работы поста по времени - сдаем протоколы, часы, щиты, жилетки. Финиш - Шкода, Гагарина, 53</t>
  </si>
  <si>
    <t>Время работы: в протоколе</t>
  </si>
  <si>
    <t>Шкредов Артём</t>
  </si>
  <si>
    <t>Дистанция ДС, км</t>
  </si>
  <si>
    <t>Дистанция дорожного сектора, км</t>
  </si>
  <si>
    <t>Условные обозначения - "точка-стрелка"</t>
  </si>
  <si>
    <t>Условные обозначения - карты</t>
  </si>
  <si>
    <t>Каждая секунда на СЛ</t>
  </si>
  <si>
    <t>Щиты</t>
  </si>
  <si>
    <t>GPS</t>
  </si>
  <si>
    <t>Дорожные знаки, таблички соответствующей формы обратной стороной</t>
  </si>
  <si>
    <t>Дорожные знаки, таблички, введенные организатором (на местности отсутствуют, к выполнению обязательны)</t>
  </si>
  <si>
    <t>Норма времени, чч:мм</t>
  </si>
  <si>
    <t>Нейтрализация, чч:мм</t>
  </si>
  <si>
    <t>Расстояние</t>
  </si>
  <si>
    <t>ТИ</t>
  </si>
  <si>
    <t>СЛ</t>
  </si>
  <si>
    <t>КВ</t>
  </si>
  <si>
    <t>ДС</t>
  </si>
  <si>
    <t>Норматив:</t>
  </si>
  <si>
    <t>Открытие факт</t>
  </si>
  <si>
    <t>Закрытие факт</t>
  </si>
  <si>
    <t>Примечание</t>
  </si>
  <si>
    <t>Забор / ворота / забор / шлагбаум / забор</t>
  </si>
  <si>
    <t>Прибытие</t>
  </si>
  <si>
    <t>название ралли</t>
  </si>
  <si>
    <t>Открытие план</t>
  </si>
  <si>
    <t>Закрытие план</t>
  </si>
  <si>
    <t/>
  </si>
  <si>
    <t>Доп. штраф.</t>
  </si>
  <si>
    <t>ДП</t>
  </si>
  <si>
    <t>Суд. задержка на секторе</t>
  </si>
  <si>
    <t>Время прибытия</t>
  </si>
  <si>
    <t>Отклонение</t>
  </si>
  <si>
    <t>Результат,
сек,дес</t>
  </si>
  <si>
    <t>Chevrolet Aveo</t>
  </si>
  <si>
    <t>Ford Focus</t>
  </si>
  <si>
    <t>Сальников Евгений</t>
  </si>
  <si>
    <t>Пенал.   доп.</t>
  </si>
  <si>
    <t>Пенал.   ДС</t>
  </si>
  <si>
    <t>Пенал.   дор. сект</t>
  </si>
  <si>
    <t>Водитель 1</t>
  </si>
  <si>
    <t>Водитель 2</t>
  </si>
  <si>
    <t>Старт ДС</t>
  </si>
  <si>
    <t>Конусов сбито</t>
  </si>
  <si>
    <t>GPS2</t>
  </si>
  <si>
    <t>Время открытия постов</t>
  </si>
  <si>
    <t>Время закрытия постов</t>
  </si>
  <si>
    <t>Старт первого экипажа</t>
  </si>
  <si>
    <t>Дата</t>
  </si>
  <si>
    <t>Отклонение на РД, отставание РУ</t>
  </si>
  <si>
    <t>Стрелка ("карта со стрелками")</t>
  </si>
  <si>
    <t>Скорость на дельте</t>
  </si>
  <si>
    <t>Нейтрализация на секторе</t>
  </si>
  <si>
    <t>Время на дельте при скорости дорожного сектора</t>
  </si>
  <si>
    <t>Нейтрализация, накопление на секторе</t>
  </si>
  <si>
    <t>Расстояние внутри сектора</t>
  </si>
  <si>
    <t>Начало маршрута, номера блоков / стрелок / точек, конец маршрута</t>
  </si>
  <si>
    <t>ДП-1 Буквы</t>
  </si>
  <si>
    <t>ДС-1 РДС Красный</t>
  </si>
  <si>
    <t>Назначенное</t>
  </si>
  <si>
    <t>нейтрализация</t>
  </si>
  <si>
    <t>фактическое</t>
  </si>
  <si>
    <t>прибытие</t>
  </si>
  <si>
    <t>Ориентир / ориентиры в соответствующей позиции (могут быть указаны либо на изображении позиции, либо в примечании к позиции)</t>
  </si>
  <si>
    <t>Перекрестки, пересечение проезжих частей соответствующей формы
Точка - начало движения, стрелка - направление движения, серая метка - точка отсчета расстояния
Сплошная линия - дорога с асфальтовым покрытием, пунктирная линия - дорога с грунтовым покрытием или дорога через прилегающие территории</t>
  </si>
  <si>
    <t>Под мостом, путепроводом / по мосту, путепроводу</t>
  </si>
  <si>
    <t>Старт-финиш 1 план</t>
  </si>
  <si>
    <t>Старт-финиш 2 план</t>
  </si>
  <si>
    <t>Фальстарт</t>
  </si>
  <si>
    <t>Не базой</t>
  </si>
  <si>
    <t>Не по схеме</t>
  </si>
  <si>
    <t>Vср=40 км/ч</t>
  </si>
  <si>
    <t>1. Уточняем, на что приехали - 1) ралли; 2) Skoda Quest старт; 3) Skoda Quest финиш</t>
  </si>
  <si>
    <t>1.3. Ралли - расписываемся в ведомости ОБЯЗАТЕЛЬНО.</t>
  </si>
  <si>
    <t>Далее все по ралли:</t>
  </si>
  <si>
    <t>2.1. Лайт  - выдаем Дорожную книгу, Маршрутный лист, Контрольную карту.</t>
  </si>
  <si>
    <t>2.2. Про - выдаем Контрольную карту, Маршрутный лист и Конверт. Дорожную книгу получат у судьи старта (акцентируем внимание, чтобы сами напомнили судье).</t>
  </si>
  <si>
    <t>3. Выдаем наклейки: стартовые номера 2 шт., накапотник, наклейку Аэропорт, линейку сувенирную.</t>
  </si>
  <si>
    <t>4.3. В 9:30 брифинг.</t>
  </si>
  <si>
    <t>1.2. Skoda Quest финиш - забераем номерок, записываем на доску почета. Подарки от Skoda?</t>
  </si>
  <si>
    <t>10. В случае вопросов со стороны сотрудников полиции вежливо объяснить, что у нас проходит соревнование по спортивному ориентированию, в т.ч. для инвалидов, ретро-автомобилей и пр., причём строго по ПДД, согласованное с управлением Спорта Смоленской области, ДОСААФОМ и Федерацией автоспорта Смоленской области</t>
  </si>
  <si>
    <t>3. Автомобиль становится перед желтым щитом.</t>
  </si>
  <si>
    <t>4. Если ПРО - выдаем ДК.</t>
  </si>
  <si>
    <t>7. После окончания стартовой процедуры пишем в Viber количество стартовавших.</t>
  </si>
  <si>
    <t>6. Отправляем фото протокола в группу Viber.</t>
  </si>
  <si>
    <t>9. В случае вопросов со стороны сотрудников полиции вежливо объяснить, что у нас проходит соревнование по спортивному ориентированию, в т.ч. для инвалидов, ретро-автомобилей и пр., причём строго по ПДД, согласованное с управлением Спорта Смоленской области, ДОСААФОМ и Федерацией автоспорта Смоленской области</t>
  </si>
  <si>
    <t>5. Считаем 15---10---5-4-3-2-1 (от 5 до 1 - пальцами)</t>
  </si>
  <si>
    <t>11. Прочее:-</t>
  </si>
  <si>
    <t>9. На все вопросы участников - “не знаю” (кроме “сколько времени”).</t>
  </si>
  <si>
    <t>6. По заполнению примерно 10 строк протокола отправляем фото в группу Viber.</t>
  </si>
  <si>
    <r>
      <t xml:space="preserve">5. Если экипаж остановился возле нас - показываем чтобы ехал дальше, остановка </t>
    </r>
    <r>
      <rPr>
        <b/>
        <sz val="11"/>
        <color theme="1"/>
        <rFont val="Calibri"/>
        <family val="2"/>
        <charset val="204"/>
        <scheme val="minor"/>
      </rPr>
      <t>НЕБЕЗОПАСНА</t>
    </r>
    <r>
      <rPr>
        <sz val="11"/>
        <color theme="1"/>
        <rFont val="Calibri"/>
        <family val="2"/>
        <charset val="204"/>
        <scheme val="minor"/>
      </rPr>
      <t>.</t>
    </r>
  </si>
  <si>
    <t>8. По возможности фиксируем нарушения ПДД (ремни, свет).</t>
  </si>
  <si>
    <t>7. На все вопросы участников - “не знаю” (кроме “сколько времени”).</t>
  </si>
  <si>
    <t>КВ-1-2-3-4</t>
  </si>
  <si>
    <r>
      <t xml:space="preserve">5. Отметка времени с точностью до минуты </t>
    </r>
    <r>
      <rPr>
        <b/>
        <sz val="11"/>
        <color theme="1"/>
        <rFont val="Calibri"/>
        <family val="2"/>
        <charset val="204"/>
        <scheme val="minor"/>
      </rPr>
      <t xml:space="preserve">(секунды отбрасываем) </t>
    </r>
    <r>
      <rPr>
        <sz val="11"/>
        <color theme="1"/>
        <rFont val="Calibri"/>
        <family val="2"/>
        <charset val="204"/>
        <scheme val="minor"/>
      </rPr>
      <t>- по пересечению желтого щита.</t>
    </r>
  </si>
  <si>
    <r>
      <t xml:space="preserve">3. </t>
    </r>
    <r>
      <rPr>
        <b/>
        <sz val="11"/>
        <color theme="1"/>
        <rFont val="Calibri"/>
        <family val="2"/>
        <charset val="204"/>
        <scheme val="minor"/>
      </rPr>
      <t xml:space="preserve">Только если штурман сам просит </t>
    </r>
    <r>
      <rPr>
        <sz val="11"/>
        <color theme="1"/>
        <rFont val="Calibri"/>
        <family val="2"/>
        <charset val="204"/>
        <scheme val="minor"/>
      </rPr>
      <t xml:space="preserve">отметить время прибытия (до минуты, секунды отбрасываем) - отмечаем в протоколе и в КК в графе </t>
    </r>
    <r>
      <rPr>
        <b/>
        <sz val="11"/>
        <color theme="1"/>
        <rFont val="Calibri"/>
        <family val="2"/>
        <charset val="204"/>
        <scheme val="minor"/>
      </rPr>
      <t>ПРИБЫТИЕ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</si>
  <si>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4. Назначаем экипажу время старта на ДС (в целую минуту, +0,5 или 1,5 минуты от прибытия) и записываем это время в </t>
    </r>
    <r>
      <rPr>
        <b/>
        <sz val="11"/>
        <color theme="1"/>
        <rFont val="Calibri"/>
        <family val="2"/>
        <charset val="204"/>
        <scheme val="minor"/>
      </rPr>
      <t xml:space="preserve">ПРОТОКОЛ </t>
    </r>
    <r>
      <rPr>
        <sz val="11"/>
        <color theme="1"/>
        <rFont val="Calibri"/>
        <family val="2"/>
        <charset val="204"/>
        <scheme val="minor"/>
      </rPr>
      <t xml:space="preserve">и в графе </t>
    </r>
    <r>
      <rPr>
        <b/>
        <sz val="11"/>
        <color theme="1"/>
        <rFont val="Calibri"/>
        <family val="2"/>
        <charset val="204"/>
        <scheme val="minor"/>
      </rPr>
      <t xml:space="preserve">СТАРТ </t>
    </r>
    <r>
      <rPr>
        <sz val="11"/>
        <color theme="1"/>
        <rFont val="Calibri"/>
        <family val="2"/>
        <charset val="204"/>
        <scheme val="minor"/>
      </rPr>
      <t>в КК экипажа.</t>
    </r>
  </si>
  <si>
    <r>
      <t xml:space="preserve">3. Как только экипаж пересекает щит - </t>
    </r>
    <r>
      <rPr>
        <b/>
        <sz val="11"/>
        <color theme="1"/>
        <rFont val="Calibri"/>
        <family val="2"/>
        <charset val="204"/>
        <scheme val="minor"/>
      </rPr>
      <t xml:space="preserve">фиксируем время в протоколе 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Финиш бесконтактный - </t>
    </r>
    <r>
      <rPr>
        <b/>
        <sz val="11"/>
        <color theme="1"/>
        <rFont val="Calibri"/>
        <family val="2"/>
        <charset val="204"/>
        <scheme val="minor"/>
      </rPr>
      <t>ОТМЕТКИ В КОНТРОЛЬНОЙ КАРТЕ НЕТ, ОСТАНОВКА ЗАПРЕЩЕНА.</t>
    </r>
  </si>
  <si>
    <t>9. Skoda Quest: объясняем, что нужно пройти 2 слалома (показываем а/м Шкода), затем пусть едут по дорожной книге к следующему слалому.</t>
  </si>
  <si>
    <t>5. Вносим время в протокол и в контрольную карту.</t>
  </si>
  <si>
    <t>3. Экипажи могут отстаиваться перед желтым щитом.</t>
  </si>
  <si>
    <t>7. По возможности фиксируем нарушения ПДД (ремни, свет).</t>
  </si>
  <si>
    <t>8. На все вопросы участников - “не знаю” (кроме “сколько времени”).</t>
  </si>
  <si>
    <r>
      <t xml:space="preserve">8. </t>
    </r>
    <r>
      <rPr>
        <b/>
        <sz val="16"/>
        <color theme="1"/>
        <rFont val="Calibri"/>
        <family val="2"/>
        <charset val="204"/>
        <scheme val="minor"/>
      </rPr>
      <t xml:space="preserve">ВАЖНО </t>
    </r>
    <r>
      <rPr>
        <sz val="16"/>
        <color theme="1"/>
        <rFont val="Calibri"/>
        <family val="2"/>
        <charset val="204"/>
        <scheme val="minor"/>
      </rPr>
      <t xml:space="preserve">Сначала заполняем протокол КВ1 вход, после 2х слаломов - КВ2 выход, потом дорожный сектор (примерно 1,5 часа), затем КВ3 вход 2, КВ4 финиш </t>
    </r>
    <r>
      <rPr>
        <b/>
        <sz val="16"/>
        <color theme="1"/>
        <rFont val="Calibri"/>
        <family val="2"/>
        <charset val="204"/>
        <scheme val="minor"/>
      </rPr>
      <t>(ТУТ ОБЯЗАТЕЛЬНО ЗАБИРАЕМ КОНТРОЛЬНУЮ КАРТУ).</t>
    </r>
  </si>
  <si>
    <r>
      <t xml:space="preserve">4. Отметка времени с точностью до минуты (секунды отбрасываем) - </t>
    </r>
    <r>
      <rPr>
        <b/>
        <sz val="11"/>
        <color theme="1"/>
        <rFont val="Calibri"/>
        <family val="2"/>
        <charset val="204"/>
        <scheme val="minor"/>
      </rPr>
      <t xml:space="preserve">по пересечению желтого щита. </t>
    </r>
    <r>
      <rPr>
        <sz val="11"/>
        <color theme="1"/>
        <rFont val="Calibri"/>
        <family val="2"/>
        <charset val="204"/>
        <scheme val="minor"/>
      </rPr>
      <t>Если образовалась очередь - по подаче контрольной карты.</t>
    </r>
  </si>
  <si>
    <t>11. Прочее: на старте допа - Суховеев Михаил 8-910-782-26-66, на старте-финише допа работает Гаранин Игорь -  8-908-287-36-91, на финише допа - Филоненко Николай 8-910-788-69-82</t>
  </si>
  <si>
    <t>ЩИТЫ ДОЛЖНЫ БЫТЬ ВИДИМЫ И СТОЯТЬ</t>
  </si>
  <si>
    <t>3. Экипаж пересекает щит - делаем запись в контрольной карте.</t>
  </si>
  <si>
    <r>
      <t xml:space="preserve">4. Отдаем экипажу Бюллетень </t>
    </r>
    <r>
      <rPr>
        <b/>
        <sz val="11"/>
        <color theme="1"/>
        <rFont val="Calibri"/>
        <family val="2"/>
        <charset val="204"/>
        <scheme val="minor"/>
      </rPr>
      <t>под роспись в ведомости.</t>
    </r>
  </si>
  <si>
    <t>5. По заполнению примерно 10 строк ведомости  отправляем фото в группу Viber.</t>
  </si>
  <si>
    <t>6. После прохода всех экипажей или окончания работы поста по времени - сдаем протоколы, часы, щиты, жилетки. Финиш - Шкода, Гагарина, 53</t>
  </si>
  <si>
    <t>10. Прочее: -</t>
  </si>
  <si>
    <t>11. Прочее: на старте допа работает Курилин, на старте-финише допа работает Андронов Леонид -  8-952-993-71-44, на финише допа - Васильев Олег - 8-910-728-33-12.</t>
  </si>
  <si>
    <t>2. Выставляем 2 щита - желтый с часами и красный с часами.</t>
  </si>
  <si>
    <r>
      <t xml:space="preserve">2. К бамперу машины ставим красный щит с флаг 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</si>
  <si>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</t>
    </r>
    <r>
      <rPr>
        <b/>
        <sz val="11"/>
        <color theme="1"/>
        <rFont val="Calibri"/>
        <family val="2"/>
        <charset val="204"/>
        <scheme val="minor"/>
      </rPr>
      <t xml:space="preserve">2 щита в один ряд: </t>
    </r>
    <r>
      <rPr>
        <sz val="11"/>
        <color theme="1"/>
        <rFont val="Calibri"/>
        <family val="2"/>
        <charset val="204"/>
        <scheme val="minor"/>
      </rPr>
      <t xml:space="preserve">красный щит с клетчатым флагом и красный щит с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</si>
  <si>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Выставляем 4 щита - желтый с часами  красный с часами, желтый с часами  красный с часами. </t>
    </r>
    <r>
      <rPr>
        <b/>
        <sz val="11"/>
        <color theme="1"/>
        <rFont val="Calibri"/>
        <family val="2"/>
        <charset val="204"/>
        <scheme val="minor"/>
      </rPr>
      <t xml:space="preserve"> Фото в группу.</t>
    </r>
  </si>
  <si>
    <r>
      <t xml:space="preserve">2. К бамперу машины ставим красный щит с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</si>
  <si>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красный щит с клетчатым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</si>
  <si>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красный щит со штампом.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</si>
  <si>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4. Если экипаж остановился или развернулся </t>
    </r>
    <r>
      <rPr>
        <b/>
        <sz val="11"/>
        <color theme="1"/>
        <rFont val="Calibri"/>
        <family val="2"/>
        <charset val="204"/>
        <scheme val="minor"/>
      </rPr>
      <t xml:space="preserve">(медленное движение не является остановкой) </t>
    </r>
    <r>
      <rPr>
        <sz val="11"/>
        <color theme="1"/>
        <rFont val="Calibri"/>
        <family val="2"/>
        <charset val="204"/>
        <scheme val="minor"/>
      </rPr>
      <t>перед судьей - фиксируем время остановки/номер.</t>
    </r>
  </si>
  <si>
    <t>Секретариат - подтверждение заявок на ралли до 9:30, Skoda Quest с 11:15 до 15</t>
  </si>
  <si>
    <t>1.1. Skoda Quest старт - регистрация с 11:15 до 15, выдаем ДК, номерок, если есть время - кратко объясняем в чем суть</t>
  </si>
  <si>
    <t>Москва</t>
  </si>
  <si>
    <t>р027мт67</t>
  </si>
  <si>
    <t>Гайлит Сергей</t>
  </si>
  <si>
    <t>8-909-259-48-25</t>
  </si>
  <si>
    <t>Ивахненко Алексей</t>
  </si>
  <si>
    <t>8-920-668-64-32</t>
  </si>
  <si>
    <t>Воронцова Людмила</t>
  </si>
  <si>
    <t>8-951-700-82-31</t>
  </si>
  <si>
    <t>Поляков Максим</t>
  </si>
  <si>
    <t>8-919-041-24-50</t>
  </si>
  <si>
    <t>SKODA KODIAG</t>
  </si>
  <si>
    <t>А634ЕН67</t>
  </si>
  <si>
    <t>Лада калина</t>
  </si>
  <si>
    <t>В493ЕН67</t>
  </si>
  <si>
    <t>Круглов Олег</t>
  </si>
  <si>
    <t>8-908-280-45-40</t>
  </si>
  <si>
    <t>8-951-700-22-10</t>
  </si>
  <si>
    <t>к669ет67</t>
  </si>
  <si>
    <t>Е227КК67</t>
  </si>
  <si>
    <t>Сысин Максим</t>
  </si>
  <si>
    <t>Ковалева Юлия</t>
  </si>
  <si>
    <t>Комардин Евгений</t>
  </si>
  <si>
    <t>Самиев Эдуард</t>
  </si>
  <si>
    <t>чч:мм</t>
  </si>
  <si>
    <t>Назнач.</t>
  </si>
  <si>
    <t>Факт.</t>
  </si>
  <si>
    <t>чч:мм:сс</t>
  </si>
  <si>
    <t>Результат</t>
  </si>
  <si>
    <t>сс,дес</t>
  </si>
  <si>
    <t>шт.</t>
  </si>
  <si>
    <t>да/пусто</t>
  </si>
  <si>
    <t>ТИ ШАБЛОН</t>
  </si>
  <si>
    <t>ШАБЛОН ДП</t>
  </si>
  <si>
    <t>ШАБЛОН КВ0</t>
  </si>
  <si>
    <t>ШАБЛОН КВ</t>
  </si>
  <si>
    <t>ШАБЛОН ДС</t>
  </si>
  <si>
    <t>ШАБЛОН ДС с/ф без отм</t>
  </si>
  <si>
    <t>ШАБЛОН ДС СЛ</t>
  </si>
  <si>
    <t>В ДК: удалить отметки расстояния, где нет дельты или абс.</t>
  </si>
  <si>
    <t>Суд. Задержка накоп.</t>
  </si>
  <si>
    <t>^^Тут и далее - источник данных</t>
  </si>
  <si>
    <t>^^Норматив</t>
  </si>
  <si>
    <t>КВ0</t>
  </si>
  <si>
    <t>ДСФ</t>
  </si>
  <si>
    <t>Число экипажей (для расчета постов)</t>
  </si>
  <si>
    <t>ДС на секторе:</t>
  </si>
  <si>
    <t>Сектор:</t>
  </si>
  <si>
    <t>сл2</t>
  </si>
  <si>
    <t>пр</t>
  </si>
  <si>
    <t>сл1 - слепое общее расстояние</t>
  </si>
  <si>
    <t>сл2 - слепая дельта</t>
  </si>
  <si>
    <t>скр - скрытая строка, номера не имеет</t>
  </si>
  <si>
    <t>Страница</t>
  </si>
  <si>
    <t>служебный столбец</t>
  </si>
  <si>
    <t>ХД / ! / !!</t>
  </si>
  <si>
    <t>Плохая дорога / Внимание / Опасно!</t>
  </si>
  <si>
    <t>Проверить: после РД/РУ успеют на КВ (возможно, ввести отсутствующее КВ)</t>
  </si>
  <si>
    <t>1) задает нумерацию позиций</t>
  </si>
  <si>
    <t>2) проставляет формулы с дельтой</t>
  </si>
  <si>
    <t>3) задает нормативы РД, РУ, РДС</t>
  </si>
  <si>
    <t>Нейтрализация (входит в норму времени), чч:мм</t>
  </si>
  <si>
    <t>4) заносит ДС в шапку легенды</t>
  </si>
  <si>
    <t>пр - пропуск строки (например, для карт, РК), номера не имеет</t>
  </si>
  <si>
    <t>ДСФ-1</t>
  </si>
  <si>
    <t>Для служебного столбца (через запятую, можно в двух строках):</t>
  </si>
  <si>
    <t>сл1, сл2</t>
  </si>
  <si>
    <t>Нейтрализация-1=0:10</t>
  </si>
  <si>
    <t>2) Строки идут парами, начиная с 10-й</t>
  </si>
  <si>
    <t>3) Команды в служебном столбце действуют на пары строк</t>
  </si>
  <si>
    <t>ТИ-0 Перед стартом</t>
  </si>
  <si>
    <t>КВ-1 Аэропорт=1:00</t>
  </si>
  <si>
    <t>ДС-2 РУ Скользко=0:10:15</t>
  </si>
  <si>
    <t>ВКВ-2 Холм</t>
  </si>
  <si>
    <t>ВКП-1 Секретный</t>
  </si>
  <si>
    <t>Общее:</t>
  </si>
  <si>
    <t>ПДД=60 - указание скорости по ПДД</t>
  </si>
  <si>
    <t>Нарушение порядка прохождения судейских пунктов</t>
  </si>
  <si>
    <t>Итого по ралли:</t>
  </si>
  <si>
    <t xml:space="preserve">Подпись </t>
  </si>
  <si>
    <t xml:space="preserve">Контактный телефон </t>
  </si>
  <si>
    <t xml:space="preserve">Город </t>
  </si>
  <si>
    <t>Город/Город</t>
  </si>
  <si>
    <t>стартоваяВедомость!B10:H69</t>
  </si>
  <si>
    <t>_протоколКВ2!A10:B69</t>
  </si>
  <si>
    <t>_протоколКВ3!A10:B69</t>
  </si>
  <si>
    <t>_протоколДС1!A10:C69</t>
  </si>
  <si>
    <t>_протоколДС2!A10:I69</t>
  </si>
  <si>
    <t>_протоколДП1!A10:D69</t>
  </si>
  <si>
    <t>_протоколВКП2!A10:D69</t>
  </si>
  <si>
    <t>Председатель КСК</t>
  </si>
  <si>
    <t>____________________</t>
  </si>
  <si>
    <t>номер лицензии</t>
  </si>
  <si>
    <t>ФИО</t>
  </si>
  <si>
    <t>Спортивный комиссар</t>
  </si>
  <si>
    <t>Главный судья</t>
  </si>
  <si>
    <t>Главный секретарь</t>
  </si>
  <si>
    <t>ВРЕМЯ ОТКРЫТИЯ:           СВЕРКА ЧАСОВ:           ПОДПИСЬ ОТКРЫВАЮЩЕГО:</t>
  </si>
  <si>
    <t>СТАРШИЙ СУДЬЯ ПУНКТА КОНТРОЛЯ:</t>
  </si>
  <si>
    <t>ИМЯ, ФАМИЛИЯ:                                     ПОДПИСЬ:                ТЕЛЕФОН:</t>
  </si>
  <si>
    <t>ВРЕМЯ ЗАКРЫТИЯ:           СВЕРКА ЧАСОВ:           ПОДПИСЬ ЗАКРЫВАЮЩЕГО:</t>
  </si>
  <si>
    <t>Вся привязка к стартовой ведомости и протоколам - по столбцу $A (№)</t>
  </si>
  <si>
    <t>Светофор, обозначение условное - количество и расположение секций свотофора - любое</t>
  </si>
  <si>
    <t>Зачет (Лайт/Про)</t>
  </si>
  <si>
    <t>Зачет</t>
  </si>
  <si>
    <t>Зачетная группа</t>
  </si>
  <si>
    <t>Зачетная группа PRO</t>
  </si>
  <si>
    <t>Зачетная группа LIGHT</t>
  </si>
  <si>
    <t>1) Дорожные сектора находятся на листах с именем "Сектор # {Про|Лайт}"</t>
  </si>
  <si>
    <t>РД - округление до знака</t>
  </si>
  <si>
    <t>V=60 Середнево - прямое указание скорости</t>
  </si>
  <si>
    <t>V=%60 - указание в % от ПДД</t>
  </si>
  <si>
    <t>V=-10, V=+10, V=+0 - указание +/- от ПДД</t>
  </si>
  <si>
    <t>формируется автоматически на основе "заявок"</t>
  </si>
  <si>
    <t>протоколы с подписями</t>
  </si>
  <si>
    <t>Судейские пункты ВКВ и ВКП</t>
  </si>
  <si>
    <t>час</t>
  </si>
  <si>
    <t>мин</t>
  </si>
  <si>
    <t>сек</t>
  </si>
  <si>
    <t>Буквы</t>
  </si>
  <si>
    <t>Не забудьте сдать КК судье финиша!</t>
  </si>
  <si>
    <t>отфильтровать лишние строки</t>
  </si>
  <si>
    <t>формируется автоматически на основе "общее"</t>
  </si>
  <si>
    <t>ниже поставить номер финишного КВ:</t>
  </si>
  <si>
    <t>номер экипажа</t>
  </si>
  <si>
    <t>дес</t>
  </si>
  <si>
    <t>:</t>
  </si>
  <si>
    <t>,</t>
  </si>
  <si>
    <t>результат</t>
  </si>
  <si>
    <t>схема</t>
  </si>
  <si>
    <t>база</t>
  </si>
  <si>
    <t>сбито</t>
  </si>
  <si>
    <t>судейский пункт</t>
  </si>
  <si>
    <t>Стартовало:</t>
  </si>
  <si>
    <t>Финишировало:</t>
  </si>
  <si>
    <t>&lt;--DNF</t>
  </si>
  <si>
    <t>&lt;--заявлено</t>
  </si>
  <si>
    <t>DNS--&gt;</t>
  </si>
  <si>
    <t>5) формирует супер МЛ ниже</t>
  </si>
  <si>
    <t>Пенализация, итого</t>
  </si>
  <si>
    <t>Место итог.</t>
  </si>
  <si>
    <t>DNF--&gt;</t>
  </si>
  <si>
    <t>DNS сюда не включаем</t>
  </si>
  <si>
    <t>&lt;--стартовало</t>
  </si>
  <si>
    <t>зачет Лайт/Про</t>
  </si>
  <si>
    <t>проверить VBA</t>
  </si>
  <si>
    <t>КВ-1 Старт</t>
  </si>
  <si>
    <t>Сброс одометра</t>
  </si>
  <si>
    <t>сл1,сл2</t>
  </si>
  <si>
    <t>на ул. Генерала Городнянского</t>
  </si>
  <si>
    <t>самолет
ЯК-42</t>
  </si>
  <si>
    <t>ДС-1 РДС Городской</t>
  </si>
  <si>
    <t>АЗС "Лукойл"</t>
  </si>
  <si>
    <t>скр, ДССФ1-1</t>
  </si>
  <si>
    <t>сл1</t>
  </si>
  <si>
    <t>скр, ДСФ-1</t>
  </si>
  <si>
    <t>Финиш ДС</t>
  </si>
  <si>
    <t xml:space="preserve">
с ул. Лавочкина
на Витебское шоссе</t>
  </si>
  <si>
    <t>на Беляевский
путепровод</t>
  </si>
  <si>
    <t>ДССФ1-1</t>
  </si>
  <si>
    <t>С/Ф</t>
  </si>
  <si>
    <t>ДС-1 РДС Городской, v=40, ПДД=60</t>
  </si>
  <si>
    <t>Ралли "Смоленск - 2019"</t>
  </si>
  <si>
    <t>Смоленск - 2019</t>
  </si>
  <si>
    <t>21 сентября 2019 г.</t>
  </si>
  <si>
    <t>КВ-1 Старт, пр</t>
  </si>
  <si>
    <t>с ул. Соболева
на ул. Тимирязева</t>
  </si>
  <si>
    <t>скр, ВКВ-1</t>
  </si>
  <si>
    <t>Возле столба с табличкой 4</t>
  </si>
  <si>
    <t>возле площадки</t>
  </si>
  <si>
    <t xml:space="preserve">ВКВ-1 </t>
  </si>
  <si>
    <t>КВ-3 Финиш</t>
  </si>
  <si>
    <t>КВ-2</t>
  </si>
  <si>
    <t>Памятник
М.И. Кутузову</t>
  </si>
  <si>
    <t>Vср=35 км/ч</t>
  </si>
  <si>
    <t>II этап Трофея РАФ по дорожному ралли (ралли 3 категории)</t>
  </si>
  <si>
    <t>на классических автомобилях (ретро-ралли)</t>
  </si>
  <si>
    <t>Знаки контроля</t>
  </si>
  <si>
    <t>Смоленск, Смоленский район</t>
  </si>
  <si>
    <t>Смоленск, Смолнеская область</t>
  </si>
  <si>
    <t>Контроль времени (КВ)</t>
  </si>
  <si>
    <t>за 10-25 м</t>
  </si>
  <si>
    <t>25 м</t>
  </si>
  <si>
    <t>Тип пункта</t>
  </si>
  <si>
    <t>Начало зоны</t>
  </si>
  <si>
    <t>Пункт</t>
  </si>
  <si>
    <t>Конец зоны</t>
  </si>
  <si>
    <t>Внезапный контроль времени (ВКВ)</t>
  </si>
  <si>
    <t>Контроль прохождения (КП)</t>
  </si>
  <si>
    <t>30-400 м от финиша</t>
  </si>
  <si>
    <t>проезд без остановки</t>
  </si>
  <si>
    <t>Внезапный контроль прохождения (ВКП)</t>
  </si>
  <si>
    <t>Финиш-старт ДС РДС</t>
  </si>
  <si>
    <t>Место отметки после финиша ДС</t>
  </si>
  <si>
    <t>Старт дополнительного соревнования (ДС)</t>
  </si>
  <si>
    <t>КВ, совмещенный со стартом ДС</t>
  </si>
  <si>
    <t>Соответствующие дорожные знаки, таблички, объекты</t>
  </si>
  <si>
    <r>
      <t xml:space="preserve">Соответствующие дорожные знаки, таблички, объекты, расположенные на </t>
    </r>
    <r>
      <rPr>
        <b/>
        <u/>
        <sz val="10"/>
        <color theme="1"/>
        <rFont val="Calibri"/>
        <family val="2"/>
        <charset val="204"/>
        <scheme val="minor"/>
      </rPr>
      <t>одном</t>
    </r>
    <r>
      <rPr>
        <sz val="10"/>
        <color theme="1"/>
        <rFont val="Calibri"/>
        <family val="2"/>
        <charset val="204"/>
        <scheme val="minor"/>
      </rPr>
      <t xml:space="preserve"> столбе/подвесе/мачте</t>
    </r>
  </si>
  <si>
    <t>Vср=70 км/ч</t>
  </si>
  <si>
    <t>v=35</t>
  </si>
  <si>
    <t>через ворота</t>
  </si>
  <si>
    <t>ДС-3 РДС Загородный</t>
  </si>
  <si>
    <t>скр, ДСФ-3</t>
  </si>
  <si>
    <t>ДСФ-3</t>
  </si>
  <si>
    <t>от точки F на карте</t>
  </si>
  <si>
    <t>скр, v=65 указание на карте</t>
  </si>
  <si>
    <t>скр, ПДД=60 Пригорское</t>
  </si>
  <si>
    <t>скр, ПДД=60 Нагать</t>
  </si>
  <si>
    <t>скр, ПДД=90 Нагать оконч</t>
  </si>
  <si>
    <t>скр, ПДД=60 Талашкино</t>
  </si>
  <si>
    <t>скр, ПДД=90 Талашкино оконч</t>
  </si>
  <si>
    <t>скр, ПДД=60 Гринево</t>
  </si>
  <si>
    <t>скр, ПДД=90 Гринево оконч</t>
  </si>
  <si>
    <t>Vср=20 км/ч</t>
  </si>
  <si>
    <t>скр, ДССФ1-3</t>
  </si>
  <si>
    <t>V=65 км/ч, указание на карте</t>
  </si>
  <si>
    <t>ДССФ1-3</t>
  </si>
  <si>
    <t>сл1, сл2, v=20</t>
  </si>
  <si>
    <t>Vср=ПДД-15 км/ч</t>
  </si>
  <si>
    <t>ПДД=60 км/ч, Пригорское</t>
  </si>
  <si>
    <t>ПДД=60 км/ч, Нагать</t>
  </si>
  <si>
    <t>ПДД=90 км/ч, Нагать оконч</t>
  </si>
  <si>
    <t>ПДД=60 км/ч, Талашкино</t>
  </si>
  <si>
    <t>ПДД=90 км/ч, Талашкино оконч</t>
  </si>
  <si>
    <t>ПДД=60 км/ч, Гринево</t>
  </si>
  <si>
    <t>ПДД=90 км/ч, Гринево оконч</t>
  </si>
  <si>
    <t>Элементов не сбито</t>
  </si>
  <si>
    <t>эл-тов не сбито</t>
  </si>
  <si>
    <t>конусов сбито</t>
  </si>
  <si>
    <t>скр, ДП-1</t>
  </si>
  <si>
    <t xml:space="preserve">ДП-1 </t>
  </si>
  <si>
    <t>скр, ДССФ2-3</t>
  </si>
  <si>
    <t>ДССФ2-3</t>
  </si>
  <si>
    <t>на Киевское шоссе
в сторону Смоленска</t>
  </si>
  <si>
    <t>v=20</t>
  </si>
  <si>
    <t>скр, ПДД=60 Кощино</t>
  </si>
  <si>
    <t>напротив знака</t>
  </si>
  <si>
    <t>часы ж, часы кр</t>
  </si>
  <si>
    <t>стоп-линия</t>
  </si>
  <si>
    <t>часы кр</t>
  </si>
  <si>
    <t>флаг ж, флаг кр</t>
  </si>
  <si>
    <t>флаг к, кл. флаг кр</t>
  </si>
  <si>
    <t>кл. флаг кр, стоп</t>
  </si>
  <si>
    <t>с ДСФ-1</t>
  </si>
  <si>
    <t>с КВ-1</t>
  </si>
  <si>
    <t>часы ж</t>
  </si>
  <si>
    <t>часы к</t>
  </si>
  <si>
    <t>флаг ж</t>
  </si>
  <si>
    <t>флаг к</t>
  </si>
  <si>
    <t>кл. ф</t>
  </si>
  <si>
    <t>стоп</t>
  </si>
  <si>
    <t>с ДССФ-1</t>
  </si>
  <si>
    <t>ДССФ1-1 (первая цифра - № с/ф)</t>
  </si>
  <si>
    <t>из среднего ряда</t>
  </si>
  <si>
    <t>НЕ БОЛЕЕ 600 на РДС</t>
  </si>
  <si>
    <t>ШАБЛОН ДС КСЛ</t>
  </si>
  <si>
    <t>КСЛ</t>
  </si>
  <si>
    <t>ДС-2 КСЛ Дави!</t>
  </si>
  <si>
    <t>Финиш в пределах
стоп-линии</t>
  </si>
  <si>
    <t>ДС-3 РДС Загородный, v=40</t>
  </si>
  <si>
    <t>Vср=30 км/ч</t>
  </si>
  <si>
    <t>v=30</t>
  </si>
  <si>
    <t>КВ-3 Финиш=2:00</t>
  </si>
  <si>
    <t>знак за деревьями</t>
  </si>
  <si>
    <t>перед светофором</t>
  </si>
  <si>
    <t>поворот на прилегающую
территорию</t>
  </si>
  <si>
    <t>на ул. Пржевальского</t>
  </si>
  <si>
    <t>ПДД=90, v=70</t>
  </si>
  <si>
    <t>сл2, v=-15</t>
  </si>
  <si>
    <t>ПДД=90 Пригорское оконч, v=-15</t>
  </si>
  <si>
    <t>сл1, сл2, ПДД=90 Пригорское оконч</t>
  </si>
  <si>
    <t>сл2, ПДД=90 Кощино оконч, v=-15</t>
  </si>
  <si>
    <t>ПДД=90 Талашкино оконч</t>
  </si>
  <si>
    <r>
      <rPr>
        <b/>
        <sz val="18"/>
        <color rgb="FF000000"/>
        <rFont val="Calibri"/>
        <family val="2"/>
        <charset val="204"/>
        <scheme val="minor"/>
      </rPr>
      <t>Поздравляем с финишем!</t>
    </r>
    <r>
      <rPr>
        <sz val="18"/>
        <color rgb="FF000000"/>
        <rFont val="Calibri"/>
        <family val="2"/>
        <charset val="204"/>
        <scheme val="minor"/>
      </rPr>
      <t xml:space="preserve">
Сдайте контрольную карту судье финиша, ожидайте результатов, после финиша последнего экипажа - концерт группы ИЦММ!</t>
    </r>
  </si>
  <si>
    <t>КВ-2 На обочине</t>
  </si>
  <si>
    <t>скр</t>
  </si>
  <si>
    <t>скр, ВКП-1 Лавочкина</t>
  </si>
  <si>
    <t>далее- карта от точки S</t>
  </si>
  <si>
    <t>ВКП-1 Лавочкина</t>
  </si>
  <si>
    <t>Тарировочный участок</t>
  </si>
  <si>
    <t>ул. Ново-Московская
автобусная остановка
напротив дома 17
(на другой стороне дороги)</t>
  </si>
  <si>
    <t>начало тарировочного участка
54.795871, 32.064111
N 54 47.752, E 32 03.847</t>
  </si>
  <si>
    <t>на ул. Соболева</t>
  </si>
  <si>
    <t>на ул. Беляева</t>
  </si>
  <si>
    <t>на ул. Ново-Московская</t>
  </si>
  <si>
    <t>конец тарировочного участка
54.795871, 32.064111
N 54 47.752, E 32 03.847</t>
  </si>
  <si>
    <t>Расстояние до оконч.</t>
  </si>
  <si>
    <t>на Крестовоздвиженский
мост</t>
  </si>
  <si>
    <t>v=40, ПДД=60</t>
  </si>
  <si>
    <t>с пр-та Гагарина
на 2-ю Киевскую ул.</t>
  </si>
  <si>
    <t xml:space="preserve">
без заезда
на старт ДС</t>
  </si>
  <si>
    <t>развернитесь на круговом движении</t>
  </si>
  <si>
    <t>6А</t>
  </si>
  <si>
    <t>8А</t>
  </si>
  <si>
    <t>скр, ВКП-2 2-я Брянская</t>
  </si>
  <si>
    <t>внимание,
рядом школа!!!</t>
  </si>
  <si>
    <t>Vср=ПДД - 30 км/ч</t>
  </si>
  <si>
    <t>сл1, сл2, v=-30</t>
  </si>
  <si>
    <t>Vср=25 км/ч</t>
  </si>
  <si>
    <t>сл1, сл2, v=25</t>
  </si>
  <si>
    <t>через 200 м на перекрестке
знак 3.1 "Въезд запрещен"
виден плохо за деревьями</t>
  </si>
  <si>
    <t>сектор без ВКВ</t>
  </si>
  <si>
    <t>разрешен
ранний финиш
в пределах льготы</t>
  </si>
  <si>
    <t>развернитесь
на круговом движении</t>
  </si>
  <si>
    <t>ВКП-2 2-я Брянская</t>
  </si>
  <si>
    <t>Гаранин+</t>
  </si>
  <si>
    <t>Дудинов+</t>
  </si>
  <si>
    <t>Суховеев</t>
  </si>
  <si>
    <t>Працкова</t>
  </si>
  <si>
    <t>Левинский</t>
  </si>
  <si>
    <t>пешка кр</t>
  </si>
  <si>
    <t>флаг ж, флаг кр, кл. флаг кр, стоп</t>
  </si>
  <si>
    <t>_протоколКВ1!A10:C69</t>
  </si>
  <si>
    <t>Предел опоздания на КВ</t>
  </si>
  <si>
    <t>Предел опоздания на РД</t>
  </si>
  <si>
    <t>_протоколДССФ11!A10:C69</t>
  </si>
  <si>
    <t>Финиш план</t>
  </si>
  <si>
    <t>Финиш отметка</t>
  </si>
  <si>
    <t>_протоколДСФ1!A10:C69</t>
  </si>
  <si>
    <t>Традиционное соревнование</t>
  </si>
  <si>
    <t>ул. Лавочкина, д. 57</t>
  </si>
  <si>
    <t>Ориентир примерно за 100 м до перекрестка</t>
  </si>
  <si>
    <t>сл1, ДС-2 КСЛ Дави!</t>
  </si>
  <si>
    <t>перекресток
ул. 12 лет Октября и
Витебского шоссе</t>
  </si>
  <si>
    <t>поворот с
ул. Чаплина
на ул. Энгельса</t>
  </si>
  <si>
    <t>Грушин+</t>
  </si>
  <si>
    <t>Филоненко+Яцко</t>
  </si>
  <si>
    <t>Скогорева+</t>
  </si>
  <si>
    <t>Старт-финиш 1 проход</t>
  </si>
  <si>
    <t>Старт-финиш план</t>
  </si>
  <si>
    <t>Старт-финиш проход</t>
  </si>
  <si>
    <t>ВКП-2</t>
  </si>
  <si>
    <t>ВКВ-1</t>
  </si>
  <si>
    <t>_протоколВКВ1!A10:D69</t>
  </si>
  <si>
    <t>_протоколДС3!A10:C69</t>
  </si>
  <si>
    <t>_протоколДССФ13!A10:C69</t>
  </si>
  <si>
    <t>_протоколДССФ23!A10:C69</t>
  </si>
  <si>
    <t>_протоколДСФ3!A10:C69</t>
  </si>
  <si>
    <t>Старт-финиш 2 проход</t>
  </si>
  <si>
    <t>не стоп-линия</t>
  </si>
  <si>
    <t>Не стоп-линия</t>
  </si>
  <si>
    <t>Льгота</t>
  </si>
  <si>
    <t>Ретро-ПРО</t>
  </si>
  <si>
    <t>Модерн-ПРО</t>
  </si>
  <si>
    <t>Волга Газ21</t>
  </si>
  <si>
    <t>К555НС152</t>
  </si>
  <si>
    <t>Газ 21</t>
  </si>
  <si>
    <t>У003КВ 67</t>
  </si>
  <si>
    <t>Москвич 2140</t>
  </si>
  <si>
    <t>Audi Q7</t>
  </si>
  <si>
    <t>p808pp71</t>
  </si>
  <si>
    <t>Lancia Beta Coupe</t>
  </si>
  <si>
    <t>У932ВХ799</t>
  </si>
  <si>
    <t>BMW Z3</t>
  </si>
  <si>
    <t>в017то750</t>
  </si>
  <si>
    <t>ГАЗ 24</t>
  </si>
  <si>
    <t>О355МН48</t>
  </si>
  <si>
    <t>Opel Manta</t>
  </si>
  <si>
    <t>К374ех799</t>
  </si>
  <si>
    <t>ВАЗ2101</t>
  </si>
  <si>
    <t>87-60мою</t>
  </si>
  <si>
    <t>Середа Павел</t>
  </si>
  <si>
    <t>Шевченко Павел Николаевич</t>
  </si>
  <si>
    <t>Золотова Мария</t>
  </si>
  <si>
    <t>Лекае Александр</t>
  </si>
  <si>
    <t>Никулин Максим</t>
  </si>
  <si>
    <t>Патока Дмитрий</t>
  </si>
  <si>
    <t>Ушаков Павел</t>
  </si>
  <si>
    <t>Шеянов Олег</t>
  </si>
  <si>
    <t>8-916-631-32-96</t>
  </si>
  <si>
    <t>Сорока Евгений</t>
  </si>
  <si>
    <t>Шевченко Ольга Анатольевна</t>
  </si>
  <si>
    <t>Тула</t>
  </si>
  <si>
    <t>Золотов Антон</t>
  </si>
  <si>
    <t>Шарапова Ирина</t>
  </si>
  <si>
    <t>Новогорск</t>
  </si>
  <si>
    <t>Никулина Кристина</t>
  </si>
  <si>
    <t>Елец</t>
  </si>
  <si>
    <t>Патока Вероника</t>
  </si>
  <si>
    <t>Кареева Елена</t>
  </si>
  <si>
    <t>Перельман Георгий</t>
  </si>
  <si>
    <t>Шкапин Павел</t>
  </si>
  <si>
    <t>Нижний Новгород</t>
  </si>
  <si>
    <t>Opel Corsa</t>
  </si>
  <si>
    <t>4759 PM-7</t>
  </si>
  <si>
    <t>Дубасова Анжелика</t>
  </si>
  <si>
    <t>Мерседес-Бенц G300</t>
  </si>
  <si>
    <t>С173НА799</t>
  </si>
  <si>
    <t>Свирчев Юрий Викторович</t>
  </si>
  <si>
    <t>suzuki jimni</t>
  </si>
  <si>
    <t>т797нр177</t>
  </si>
  <si>
    <t>В222ЕУ67</t>
  </si>
  <si>
    <t>Буцырин Николай</t>
  </si>
  <si>
    <t>А065ВВ</t>
  </si>
  <si>
    <t>Ford focus</t>
  </si>
  <si>
    <t>А577КА67</t>
  </si>
  <si>
    <t>Косарев Денис</t>
  </si>
  <si>
    <t>Ford S-max</t>
  </si>
  <si>
    <t>У340МР67</t>
  </si>
  <si>
    <t>Доценко Роман</t>
  </si>
  <si>
    <t>Subaru outback</t>
  </si>
  <si>
    <t>Westfield Sport</t>
  </si>
  <si>
    <t>P772HK67</t>
  </si>
  <si>
    <t>+375 29 915 60 10</t>
  </si>
  <si>
    <t>Минск</t>
  </si>
  <si>
    <t>Дорогобуж</t>
  </si>
  <si>
    <t>Моисеева Ирина</t>
  </si>
  <si>
    <t>+375 29 622 02 96</t>
  </si>
  <si>
    <t>Свирчева Елена Тимофеевна</t>
  </si>
  <si>
    <t>Селиверстов Эдуард</t>
  </si>
  <si>
    <t>Косарев Сергей</t>
  </si>
  <si>
    <t>Доценко Ярослав</t>
  </si>
  <si>
    <t>BMW 118D</t>
  </si>
  <si>
    <t>к578ах 750</t>
  </si>
  <si>
    <t>1-й пилот</t>
  </si>
  <si>
    <t>2-й пилот</t>
  </si>
  <si>
    <t>Своей подписью участники (1-й пилот и 2-й пилот)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</si>
  <si>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1-й пилот ФИО</t>
  </si>
  <si>
    <t>2-й пилот ФИО</t>
  </si>
  <si>
    <t>Пилот 1</t>
  </si>
  <si>
    <t>Пилот 2</t>
  </si>
  <si>
    <t xml:space="preserve"> </t>
  </si>
  <si>
    <t>0</t>
  </si>
  <si>
    <t>Пропуск старта/финиша ДС</t>
  </si>
  <si>
    <t>Пропуск СФ РДС</t>
  </si>
  <si>
    <t>после поворота держись правой полосы - камера на полосу</t>
  </si>
  <si>
    <t>Vср=65 км/ч</t>
  </si>
  <si>
    <t>v=65, ПДД=90</t>
  </si>
  <si>
    <t xml:space="preserve">судейских пунктов нет с </t>
  </si>
  <si>
    <r>
      <t xml:space="preserve">автобусная остановка
</t>
    </r>
    <r>
      <rPr>
        <b/>
        <sz val="14"/>
        <rFont val="Calibri"/>
        <family val="2"/>
        <charset val="204"/>
        <scheme val="minor"/>
      </rPr>
      <t>далее- карта от точки S</t>
    </r>
  </si>
  <si>
    <t>Vср=45 км/ч</t>
  </si>
  <si>
    <t>сл1, сл2, v=45</t>
  </si>
  <si>
    <t>скр, v=60 указание на карте</t>
  </si>
  <si>
    <t>V=60 км/ч, указание на карте</t>
  </si>
  <si>
    <t>КВ-2 На обочине=2:00</t>
  </si>
  <si>
    <t>Pro</t>
  </si>
  <si>
    <t>Light</t>
  </si>
  <si>
    <t>Гольф</t>
  </si>
  <si>
    <t>Р571МК67</t>
  </si>
  <si>
    <t>Родин Клим</t>
  </si>
  <si>
    <t>Работин Антон</t>
  </si>
  <si>
    <t>Шевроле Нива</t>
  </si>
  <si>
    <t>У451МК67</t>
  </si>
  <si>
    <t>Овчинникова Наталья</t>
  </si>
  <si>
    <t>Жаров Евгений</t>
  </si>
  <si>
    <t>Toyota Avensis</t>
  </si>
  <si>
    <t>В996МВ67</t>
  </si>
  <si>
    <t>Иванова Татьяна</t>
  </si>
  <si>
    <t>Кучерявенкова Олеся</t>
  </si>
  <si>
    <t>Scoda Rapid</t>
  </si>
  <si>
    <t>а086сс67</t>
  </si>
  <si>
    <t>Лучкин Андрей</t>
  </si>
  <si>
    <t>7-910-112-17-16</t>
  </si>
  <si>
    <t>гор. Смоленск</t>
  </si>
  <si>
    <t>Лучкин Роман</t>
  </si>
  <si>
    <t>MAZDA6 4wd</t>
  </si>
  <si>
    <t>М967ММ 67</t>
  </si>
  <si>
    <t>Иванов Кирилл</t>
  </si>
  <si>
    <t>Афанасьев Никита</t>
  </si>
  <si>
    <t>Toyota RAV4</t>
  </si>
  <si>
    <t>С530ЕО777</t>
  </si>
  <si>
    <t>Кананадзе Сергей</t>
  </si>
  <si>
    <t>7-903-782-97-75</t>
  </si>
  <si>
    <t>Подшивалов Александр</t>
  </si>
  <si>
    <t>Porsche Cayenne</t>
  </si>
  <si>
    <t>к212во50</t>
  </si>
  <si>
    <t>Новиков Максим</t>
  </si>
  <si>
    <t>Грушина Екатерина</t>
  </si>
  <si>
    <t>89261185530</t>
  </si>
  <si>
    <t>7-910-786-26-80</t>
  </si>
  <si>
    <t>7-905-731-65-36</t>
  </si>
  <si>
    <t>Люберцы</t>
  </si>
  <si>
    <t>_протоколВКП11!A10:D69</t>
  </si>
  <si>
    <t>_протоколВКП21!A10:D69</t>
  </si>
  <si>
    <t>ВКП-1 Лавочкина (1)</t>
  </si>
  <si>
    <t>ВКП-1 Лавочкина (2)</t>
  </si>
  <si>
    <t>ВКП-1 (1)</t>
  </si>
  <si>
    <t>ВКП-1 (2)</t>
  </si>
  <si>
    <t>габарит передний правый</t>
  </si>
  <si>
    <t>регистратор Z016DP0314</t>
  </si>
  <si>
    <t xml:space="preserve">регистратор  </t>
  </si>
  <si>
    <t>регистратор SN KZ901</t>
  </si>
  <si>
    <t>регистратор SN DVR 1123</t>
  </si>
  <si>
    <t>_</t>
  </si>
  <si>
    <t>остановка в зоне действия 12:56 не связанная с количеством машин</t>
  </si>
  <si>
    <t>фальстарт</t>
  </si>
  <si>
    <t>НС</t>
  </si>
  <si>
    <t>остановка для подачи ДК</t>
  </si>
  <si>
    <t>остановка из-за остановки №28</t>
  </si>
  <si>
    <t>остановка</t>
  </si>
  <si>
    <t>не с той стороны</t>
  </si>
  <si>
    <t>отстой с 13:45</t>
  </si>
  <si>
    <t>с 14:21</t>
  </si>
  <si>
    <t>остановились в 14:40:05 за 200</t>
  </si>
  <si>
    <t>движение задним ходом</t>
  </si>
  <si>
    <t>из Бобырей (повернул на Бобыри в 15:13:00)</t>
  </si>
  <si>
    <t>остановка перед постом</t>
  </si>
  <si>
    <t>из Бобырей (повернул на Бобыри в 15:33:00)</t>
  </si>
  <si>
    <t>да</t>
  </si>
  <si>
    <t xml:space="preserve">  </t>
  </si>
  <si>
    <t>движение задним ходом в зоне контроля КВ</t>
  </si>
  <si>
    <t>пассажир не пристегнут на заднем сиденьи</t>
  </si>
  <si>
    <t>ДС-1 Фальстарт</t>
  </si>
  <si>
    <t>остановка Финиш ДС-1</t>
  </si>
  <si>
    <t>ДС-3 СФ, изменения направления движения, не предписанное ДК, в зоне действия судейского пункта</t>
  </si>
  <si>
    <t>ДС-3 СФ остановка в зоне действия судейского пункта</t>
  </si>
  <si>
    <t>нарушение ПДД (непристегнутый ребенок сзади)</t>
  </si>
  <si>
    <t>ДС-3 фальстарт (30), остановка Финиш ДС-1 (300), нарушение порядка прохождения судейских пунктов на ДС-3 (600), ДС-3 СФ остановка в зоне действия судейского пункта (300)</t>
  </si>
  <si>
    <t>ДС-1 Фальстарт (30), остановка СФ ДС-1 (300)</t>
  </si>
  <si>
    <t>Прочие нарушения</t>
  </si>
  <si>
    <t>Предварительная классификация Ралли "Смоленск - 2019"</t>
  </si>
  <si>
    <t>-</t>
  </si>
  <si>
    <t>+</t>
  </si>
  <si>
    <t>Ярцево / Смоленск</t>
  </si>
  <si>
    <t>Елец / Москва</t>
  </si>
  <si>
    <t>Москва / Нижний Новгород</t>
  </si>
  <si>
    <t>DNF</t>
  </si>
  <si>
    <t>Смоленск / Ярцево</t>
  </si>
  <si>
    <t>Москва / Люберцы</t>
  </si>
  <si>
    <t>DNS</t>
  </si>
  <si>
    <t>Дополнительная пенализация</t>
  </si>
  <si>
    <t>II Этап Трофея РАФ</t>
  </si>
  <si>
    <t>подпись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</si>
</sst>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:mm;@"/>
    <numFmt numFmtId="165" formatCode="[$-F400]h:mm:ss\ AM/PM"/>
    <numFmt numFmtId="166" formatCode="hh:mm"/>
  </numFmts>
  <fonts count="58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i/>
      <sz val="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rgb="FFFFC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b/>
      <sz val="48"/>
      <name val="Calibri"/>
      <family val="2"/>
      <charset val="204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36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8"/>
      <color theme="0" tint="-0.34998626667073579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i/>
      <sz val="7"/>
      <color theme="0" tint="-0.34998626667073579"/>
      <name val="Calibri"/>
      <family val="2"/>
      <charset val="204"/>
      <scheme val="minor"/>
    </font>
    <font>
      <i/>
      <sz val="7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/>
      <top/>
      <bottom style="dashed">
        <color auto="1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Font="1"/>
    <xf numFmtId="0" fontId="0" fillId="0" borderId="0" xfId="0" applyFont="1" applyFill="1"/>
    <xf numFmtId="0" fontId="12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wrapText="1"/>
    </xf>
    <xf numFmtId="0" fontId="0" fillId="4" borderId="0" xfId="0" applyFill="1"/>
    <xf numFmtId="0" fontId="5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3" fillId="4" borderId="0" xfId="0" applyFont="1" applyFill="1" applyAlignment="1">
      <alignment horizontal="left" vertical="center" indent="1"/>
    </xf>
    <xf numFmtId="0" fontId="13" fillId="0" borderId="0" xfId="0" applyFont="1" applyFill="1" applyAlignment="1">
      <alignment vertical="center"/>
    </xf>
    <xf numFmtId="0" fontId="5" fillId="4" borderId="0" xfId="0" applyFont="1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4" borderId="0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4" borderId="0" xfId="0" applyFill="1" applyAlignment="1">
      <alignment horizontal="left" vertical="center" indent="1"/>
    </xf>
    <xf numFmtId="0" fontId="9" fillId="0" borderId="0" xfId="0" applyFont="1" applyAlignment="1">
      <alignment vertical="center"/>
    </xf>
    <xf numFmtId="0" fontId="0" fillId="4" borderId="0" xfId="0" applyFont="1" applyFill="1"/>
    <xf numFmtId="0" fontId="0" fillId="0" borderId="12" xfId="0" applyBorder="1" applyAlignment="1" applyProtection="1">
      <alignment horizontal="left" vertical="center" indent="1"/>
      <protection locked="0"/>
    </xf>
    <xf numFmtId="166" fontId="0" fillId="0" borderId="12" xfId="0" applyNumberFormat="1" applyBorder="1" applyAlignment="1" applyProtection="1">
      <alignment horizontal="center" vertical="center"/>
      <protection locked="0"/>
    </xf>
    <xf numFmtId="21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1" xfId="0" applyNumberFormat="1" applyBorder="1" applyAlignment="1" applyProtection="1">
      <alignment horizontal="left" vertical="center" indent="1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166" fontId="0" fillId="0" borderId="1" xfId="0" applyNumberFormat="1" applyBorder="1" applyAlignment="1" applyProtection="1">
      <alignment horizontal="center" vertical="center"/>
      <protection locked="0"/>
    </xf>
    <xf numFmtId="164" fontId="0" fillId="0" borderId="1" xfId="0" applyNumberForma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left" vertical="center" indent="1"/>
    </xf>
    <xf numFmtId="0" fontId="0" fillId="0" borderId="0" xfId="0" quotePrefix="1" applyNumberFormat="1" applyBorder="1" applyAlignment="1" applyProtection="1">
      <alignment horizontal="left" vertical="center" indent="1"/>
    </xf>
    <xf numFmtId="0" fontId="0" fillId="0" borderId="0" xfId="0" applyNumberFormat="1" applyBorder="1" applyAlignment="1" applyProtection="1">
      <alignment horizontal="left" vertical="center" indent="1"/>
    </xf>
    <xf numFmtId="0" fontId="0" fillId="0" borderId="13" xfId="0" applyBorder="1" applyAlignment="1" applyProtection="1">
      <alignment horizontal="left" vertical="center" indent="1"/>
    </xf>
    <xf numFmtId="0" fontId="0" fillId="0" borderId="14" xfId="0" applyBorder="1" applyAlignment="1" applyProtection="1">
      <alignment horizontal="left" vertical="center" indent="1"/>
    </xf>
    <xf numFmtId="165" fontId="0" fillId="0" borderId="1" xfId="0" applyNumberFormat="1" applyBorder="1" applyAlignment="1" applyProtection="1">
      <alignment vertical="center"/>
      <protection locked="0"/>
    </xf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165" fontId="0" fillId="0" borderId="1" xfId="0" applyNumberFormat="1" applyBorder="1" applyAlignment="1" applyProtection="1">
      <alignment horizontal="left" vertical="center" indent="1"/>
      <protection locked="0"/>
    </xf>
    <xf numFmtId="0" fontId="13" fillId="4" borderId="0" xfId="0" applyFont="1" applyFill="1" applyBorder="1" applyAlignment="1">
      <alignment horizontal="left" vertical="center" indent="1"/>
    </xf>
    <xf numFmtId="0" fontId="13" fillId="4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49" fontId="24" fillId="4" borderId="0" xfId="0" applyNumberFormat="1" applyFont="1" applyFill="1" applyBorder="1" applyAlignment="1">
      <alignment vertical="center"/>
    </xf>
    <xf numFmtId="49" fontId="0" fillId="4" borderId="0" xfId="0" applyNumberFormat="1" applyFill="1" applyBorder="1" applyAlignment="1">
      <alignment vertical="center"/>
    </xf>
    <xf numFmtId="49" fontId="13" fillId="4" borderId="0" xfId="0" applyNumberFormat="1" applyFont="1" applyFill="1" applyBorder="1" applyAlignment="1">
      <alignment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vertical="center"/>
    </xf>
    <xf numFmtId="49" fontId="0" fillId="0" borderId="0" xfId="0" applyNumberForma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6" fillId="4" borderId="0" xfId="0" applyNumberFormat="1" applyFont="1" applyFill="1" applyBorder="1" applyAlignment="1">
      <alignment vertical="center"/>
    </xf>
    <xf numFmtId="49" fontId="26" fillId="0" borderId="15" xfId="0" applyNumberFormat="1" applyFont="1" applyFill="1" applyBorder="1" applyAlignment="1">
      <alignment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vertical="center"/>
    </xf>
    <xf numFmtId="49" fontId="26" fillId="0" borderId="0" xfId="0" applyNumberFormat="1" applyFont="1" applyFill="1" applyBorder="1" applyAlignment="1">
      <alignment vertical="center"/>
    </xf>
    <xf numFmtId="49" fontId="27" fillId="0" borderId="0" xfId="0" applyNumberFormat="1" applyFont="1" applyFill="1" applyBorder="1" applyAlignment="1">
      <alignment vertical="center"/>
    </xf>
    <xf numFmtId="49" fontId="27" fillId="0" borderId="16" xfId="0" applyNumberFormat="1" applyFont="1" applyFill="1" applyBorder="1" applyAlignment="1">
      <alignment vertical="center"/>
    </xf>
    <xf numFmtId="49" fontId="27" fillId="0" borderId="15" xfId="0" applyNumberFormat="1" applyFont="1" applyFill="1" applyBorder="1" applyAlignment="1">
      <alignment vertical="center"/>
    </xf>
    <xf numFmtId="49" fontId="26" fillId="0" borderId="16" xfId="0" applyNumberFormat="1" applyFont="1" applyFill="1" applyBorder="1" applyAlignment="1">
      <alignment vertical="center"/>
    </xf>
    <xf numFmtId="0" fontId="28" fillId="0" borderId="0" xfId="0" applyFont="1" applyFill="1" applyAlignment="1">
      <alignment horizontal="left" vertical="center" indent="1"/>
    </xf>
    <xf numFmtId="0" fontId="28" fillId="0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0" fontId="2" fillId="4" borderId="0" xfId="0" applyNumberFormat="1" applyFont="1" applyFill="1" applyAlignment="1">
      <alignment horizontal="left" vertical="center" indent="1"/>
    </xf>
    <xf numFmtId="49" fontId="2" fillId="4" borderId="0" xfId="0" applyNumberFormat="1" applyFont="1" applyFill="1" applyAlignment="1">
      <alignment horizontal="left" vertical="center" indent="1"/>
    </xf>
    <xf numFmtId="0" fontId="5" fillId="0" borderId="0" xfId="0" applyFont="1" applyFill="1" applyAlignment="1">
      <alignment vertical="center"/>
    </xf>
    <xf numFmtId="49" fontId="25" fillId="0" borderId="0" xfId="0" applyNumberFormat="1" applyFont="1" applyFill="1" applyBorder="1" applyAlignment="1">
      <alignment vertical="center"/>
    </xf>
    <xf numFmtId="0" fontId="13" fillId="4" borderId="0" xfId="0" applyNumberFormat="1" applyFont="1" applyFill="1" applyBorder="1" applyAlignment="1">
      <alignment horizontal="left" vertical="center" indent="1"/>
    </xf>
    <xf numFmtId="0" fontId="0" fillId="4" borderId="0" xfId="0" applyFill="1" applyBorder="1"/>
    <xf numFmtId="0" fontId="13" fillId="4" borderId="0" xfId="0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2" fillId="6" borderId="0" xfId="0" applyFont="1" applyFill="1" applyAlignment="1">
      <alignment horizontal="left" vertical="center" indent="1"/>
    </xf>
    <xf numFmtId="0" fontId="12" fillId="6" borderId="0" xfId="0" applyFont="1" applyFill="1" applyAlignment="1">
      <alignment vertical="center"/>
    </xf>
    <xf numFmtId="0" fontId="0" fillId="0" borderId="0" xfId="0" applyFill="1" applyBorder="1" applyAlignment="1">
      <alignment wrapText="1"/>
    </xf>
    <xf numFmtId="0" fontId="11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31" fillId="5" borderId="0" xfId="0" applyFont="1" applyFill="1" applyAlignment="1">
      <alignment wrapText="1"/>
    </xf>
    <xf numFmtId="0" fontId="13" fillId="4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" fillId="0" borderId="0" xfId="0" applyFont="1" applyFill="1" applyAlignment="1" applyProtection="1">
      <alignment horizontal="left" vertical="center" indent="1"/>
      <protection locked="0"/>
    </xf>
    <xf numFmtId="0" fontId="0" fillId="0" borderId="0" xfId="0" applyFill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vertical="center"/>
      <protection locked="0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49" fontId="0" fillId="4" borderId="0" xfId="0" applyNumberFormat="1" applyFill="1" applyAlignment="1" applyProtection="1">
      <alignment horizontal="left" vertical="center" indent="1"/>
      <protection locked="0"/>
    </xf>
    <xf numFmtId="20" fontId="0" fillId="4" borderId="0" xfId="0" applyNumberFormat="1" applyFill="1" applyAlignment="1" applyProtection="1">
      <alignment horizontal="center" vertical="center"/>
      <protection locked="0"/>
    </xf>
    <xf numFmtId="0" fontId="0" fillId="4" borderId="0" xfId="0" applyNumberFormat="1" applyFill="1" applyAlignment="1" applyProtection="1">
      <alignment vertical="center"/>
      <protection locked="0"/>
    </xf>
    <xf numFmtId="164" fontId="0" fillId="0" borderId="1" xfId="0" applyNumberFormat="1" applyBorder="1" applyAlignment="1" applyProtection="1">
      <alignment horizontal="center" vertical="center"/>
    </xf>
    <xf numFmtId="49" fontId="16" fillId="4" borderId="0" xfId="0" applyNumberFormat="1" applyFont="1" applyFill="1" applyBorder="1" applyAlignment="1">
      <alignment horizontal="left" vertical="center" indent="1"/>
    </xf>
    <xf numFmtId="49" fontId="26" fillId="0" borderId="18" xfId="0" applyNumberFormat="1" applyFont="1" applyFill="1" applyBorder="1" applyAlignment="1" applyProtection="1">
      <alignment horizontal="left" vertical="center" indent="1"/>
      <protection locked="0"/>
    </xf>
    <xf numFmtId="49" fontId="27" fillId="0" borderId="18" xfId="0" applyNumberFormat="1" applyFont="1" applyFill="1" applyBorder="1" applyAlignment="1" applyProtection="1">
      <alignment horizontal="left" vertical="center" indent="1"/>
      <protection locked="0"/>
    </xf>
    <xf numFmtId="0" fontId="35" fillId="0" borderId="0" xfId="0" applyFont="1" applyFill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left" vertical="center"/>
    </xf>
    <xf numFmtId="2" fontId="17" fillId="0" borderId="3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 vertical="center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7" fillId="0" borderId="8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left" vertical="center"/>
    </xf>
    <xf numFmtId="2" fontId="17" fillId="0" borderId="8" xfId="0" applyNumberFormat="1" applyFont="1" applyFill="1" applyBorder="1" applyAlignment="1">
      <alignment horizontal="center" vertical="center"/>
    </xf>
    <xf numFmtId="0" fontId="19" fillId="0" borderId="8" xfId="0" applyNumberFormat="1" applyFont="1" applyFill="1" applyBorder="1" applyAlignment="1">
      <alignment horizontal="center" vertical="center"/>
    </xf>
    <xf numFmtId="0" fontId="21" fillId="4" borderId="13" xfId="0" applyNumberFormat="1" applyFont="1" applyFill="1" applyBorder="1" applyAlignment="1">
      <alignment vertical="center"/>
    </xf>
    <xf numFmtId="0" fontId="21" fillId="4" borderId="12" xfId="0" applyNumberFormat="1" applyFont="1" applyFill="1" applyBorder="1" applyAlignment="1">
      <alignment horizontal="left" vertical="center" indent="1"/>
    </xf>
    <xf numFmtId="0" fontId="10" fillId="0" borderId="0" xfId="0" applyNumberFormat="1" applyFont="1"/>
    <xf numFmtId="0" fontId="10" fillId="0" borderId="0" xfId="0" applyFont="1"/>
    <xf numFmtId="0" fontId="0" fillId="0" borderId="0" xfId="0" applyNumberFormat="1" applyFill="1" applyAlignment="1" applyProtection="1">
      <alignment horizontal="center" vertical="center"/>
    </xf>
    <xf numFmtId="0" fontId="0" fillId="7" borderId="0" xfId="0" applyFill="1" applyAlignment="1">
      <alignment vertical="center"/>
    </xf>
    <xf numFmtId="0" fontId="9" fillId="7" borderId="0" xfId="0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 vertical="center" indent="1"/>
    </xf>
    <xf numFmtId="0" fontId="2" fillId="0" borderId="0" xfId="0" applyFont="1" applyFill="1" applyBorder="1" applyAlignment="1">
      <alignment horizontal="left" vertical="center" indent="1"/>
    </xf>
    <xf numFmtId="2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20" fontId="10" fillId="0" borderId="0" xfId="0" applyNumberFormat="1" applyFont="1" applyFill="1" applyBorder="1" applyAlignment="1" applyProtection="1">
      <alignment horizontal="center" vertical="center"/>
      <protection locked="0"/>
    </xf>
    <xf numFmtId="20" fontId="10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21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49" fontId="10" fillId="0" borderId="0" xfId="0" applyNumberFormat="1" applyFont="1" applyFill="1" applyBorder="1" applyAlignment="1" applyProtection="1">
      <alignment horizontal="left" vertical="center" indent="1"/>
      <protection locked="0"/>
    </xf>
    <xf numFmtId="2" fontId="10" fillId="0" borderId="0" xfId="0" applyNumberFormat="1" applyFont="1" applyFill="1" applyBorder="1" applyAlignment="1">
      <alignment horizontal="left" vertical="center" indent="1"/>
    </xf>
    <xf numFmtId="0" fontId="10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 applyProtection="1">
      <alignment horizontal="left" vertical="center" indent="1"/>
      <protection locked="0"/>
    </xf>
    <xf numFmtId="0" fontId="10" fillId="0" borderId="0" xfId="0" applyFont="1" applyFill="1" applyAlignment="1">
      <alignment horizontal="left" vertical="center" indent="1"/>
    </xf>
    <xf numFmtId="2" fontId="10" fillId="0" borderId="0" xfId="0" applyNumberFormat="1" applyFont="1" applyFill="1" applyAlignment="1">
      <alignment horizontal="center" vertical="center"/>
    </xf>
    <xf numFmtId="20" fontId="10" fillId="0" borderId="0" xfId="0" applyNumberFormat="1" applyFont="1" applyFill="1" applyAlignment="1" applyProtection="1">
      <alignment horizontal="center" vertical="center"/>
      <protection locked="0"/>
    </xf>
    <xf numFmtId="20" fontId="10" fillId="0" borderId="0" xfId="0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Fill="1" applyAlignment="1" applyProtection="1">
      <alignment horizontal="left" vertical="center"/>
      <protection locked="0"/>
    </xf>
    <xf numFmtId="0" fontId="10" fillId="0" borderId="0" xfId="0" applyFont="1" applyFill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0" fontId="10" fillId="0" borderId="30" xfId="0" applyFont="1" applyFill="1" applyBorder="1" applyAlignment="1" applyProtection="1">
      <alignment horizontal="center" vertical="center"/>
      <protection locked="0"/>
    </xf>
    <xf numFmtId="0" fontId="10" fillId="0" borderId="30" xfId="0" applyFont="1" applyFill="1" applyBorder="1" applyAlignment="1" applyProtection="1">
      <alignment vertical="center"/>
      <protection locked="0"/>
    </xf>
    <xf numFmtId="0" fontId="10" fillId="0" borderId="30" xfId="0" applyFont="1" applyFill="1" applyBorder="1" applyAlignment="1" applyProtection="1">
      <alignment horizontal="left" vertical="center"/>
      <protection locked="0"/>
    </xf>
    <xf numFmtId="0" fontId="10" fillId="0" borderId="26" xfId="0" applyFont="1" applyFill="1" applyBorder="1" applyAlignment="1" applyProtection="1">
      <alignment vertical="center"/>
      <protection locked="0"/>
    </xf>
    <xf numFmtId="0" fontId="10" fillId="0" borderId="29" xfId="0" applyFont="1" applyFill="1" applyBorder="1" applyAlignment="1">
      <alignment horizontal="left" vertical="center" indent="1"/>
    </xf>
    <xf numFmtId="0" fontId="23" fillId="0" borderId="30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2" fontId="10" fillId="0" borderId="29" xfId="0" applyNumberFormat="1" applyFont="1" applyFill="1" applyBorder="1" applyAlignment="1">
      <alignment horizontal="left" vertical="center" indent="1"/>
    </xf>
    <xf numFmtId="2" fontId="10" fillId="0" borderId="30" xfId="0" applyNumberFormat="1" applyFont="1" applyFill="1" applyBorder="1" applyAlignment="1">
      <alignment horizontal="center" vertical="center"/>
    </xf>
    <xf numFmtId="164" fontId="10" fillId="0" borderId="30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0" fontId="6" fillId="0" borderId="30" xfId="0" applyNumberFormat="1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0" fontId="1" fillId="0" borderId="0" xfId="0" quotePrefix="1" applyFont="1" applyFill="1" applyBorder="1" applyAlignment="1">
      <alignment horizontal="left" vertical="center" indent="1"/>
    </xf>
    <xf numFmtId="0" fontId="1" fillId="0" borderId="0" xfId="0" quotePrefix="1" applyFont="1" applyFill="1" applyBorder="1" applyAlignment="1">
      <alignment vertical="center"/>
    </xf>
    <xf numFmtId="0" fontId="18" fillId="0" borderId="0" xfId="0" applyFont="1" applyAlignment="1">
      <alignment horizontal="center" vertical="top"/>
    </xf>
    <xf numFmtId="49" fontId="4" fillId="0" borderId="18" xfId="0" applyNumberFormat="1" applyFont="1" applyBorder="1" applyAlignment="1">
      <alignment vertical="center"/>
    </xf>
    <xf numFmtId="49" fontId="4" fillId="0" borderId="16" xfId="0" applyNumberFormat="1" applyFont="1" applyBorder="1" applyAlignment="1">
      <alignment vertical="center"/>
    </xf>
    <xf numFmtId="49" fontId="4" fillId="0" borderId="15" xfId="0" applyNumberFormat="1" applyFont="1" applyBorder="1" applyAlignment="1">
      <alignment vertical="center"/>
    </xf>
    <xf numFmtId="0" fontId="0" fillId="0" borderId="31" xfId="0" applyBorder="1"/>
    <xf numFmtId="0" fontId="0" fillId="0" borderId="16" xfId="0" applyBorder="1"/>
    <xf numFmtId="0" fontId="0" fillId="0" borderId="15" xfId="0" applyBorder="1"/>
    <xf numFmtId="0" fontId="0" fillId="7" borderId="24" xfId="0" applyFill="1" applyBorder="1" applyAlignment="1">
      <alignment vertical="center"/>
    </xf>
    <xf numFmtId="0" fontId="0" fillId="7" borderId="10" xfId="0" applyFill="1" applyBorder="1" applyAlignment="1">
      <alignment vertical="center"/>
    </xf>
    <xf numFmtId="0" fontId="0" fillId="7" borderId="22" xfId="0" applyFill="1" applyBorder="1" applyAlignment="1">
      <alignment vertical="center"/>
    </xf>
    <xf numFmtId="0" fontId="0" fillId="7" borderId="19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23" xfId="0" applyFill="1" applyBorder="1" applyAlignment="1">
      <alignment vertical="center"/>
    </xf>
    <xf numFmtId="0" fontId="0" fillId="7" borderId="25" xfId="0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left" vertical="center" indent="1"/>
    </xf>
    <xf numFmtId="2" fontId="14" fillId="0" borderId="0" xfId="0" applyNumberFormat="1" applyFont="1" applyFill="1" applyBorder="1" applyAlignment="1">
      <alignment horizontal="center" vertical="center"/>
    </xf>
    <xf numFmtId="20" fontId="14" fillId="0" borderId="0" xfId="0" applyNumberFormat="1" applyFont="1" applyFill="1" applyBorder="1" applyAlignment="1" applyProtection="1">
      <alignment horizontal="center" vertical="center"/>
      <protection locked="0"/>
    </xf>
    <xf numFmtId="20" fontId="14" fillId="0" borderId="0" xfId="0" applyNumberFormat="1" applyFont="1" applyFill="1" applyBorder="1" applyAlignment="1">
      <alignment horizontal="center" vertical="center"/>
    </xf>
    <xf numFmtId="21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left" vertical="center" indent="1"/>
      <protection locked="0"/>
    </xf>
    <xf numFmtId="49" fontId="14" fillId="0" borderId="0" xfId="0" applyNumberFormat="1" applyFont="1" applyFill="1" applyBorder="1" applyAlignment="1" applyProtection="1">
      <alignment horizontal="left" vertical="center" indent="1"/>
      <protection locked="0"/>
    </xf>
    <xf numFmtId="0" fontId="14" fillId="4" borderId="32" xfId="0" applyFont="1" applyFill="1" applyBorder="1" applyAlignment="1">
      <alignment horizontal="left" vertical="center" wrapText="1" indent="1"/>
    </xf>
    <xf numFmtId="0" fontId="17" fillId="4" borderId="33" xfId="0" applyFont="1" applyFill="1" applyBorder="1" applyAlignment="1">
      <alignment horizontal="center" vertical="center" wrapText="1"/>
    </xf>
    <xf numFmtId="0" fontId="17" fillId="4" borderId="34" xfId="0" applyFont="1" applyFill="1" applyBorder="1" applyAlignment="1">
      <alignment horizontal="center" vertical="center" wrapText="1"/>
    </xf>
    <xf numFmtId="2" fontId="0" fillId="0" borderId="36" xfId="0" applyNumberFormat="1" applyFont="1" applyFill="1" applyBorder="1" applyAlignment="1">
      <alignment horizontal="center" vertical="top"/>
    </xf>
    <xf numFmtId="0" fontId="0" fillId="0" borderId="36" xfId="0" applyFont="1" applyFill="1" applyBorder="1" applyAlignment="1">
      <alignment horizontal="center"/>
    </xf>
    <xf numFmtId="0" fontId="0" fillId="0" borderId="37" xfId="0" applyFont="1" applyFill="1" applyBorder="1" applyAlignment="1">
      <alignment horizontal="center"/>
    </xf>
    <xf numFmtId="0" fontId="0" fillId="0" borderId="36" xfId="0" applyNumberFormat="1" applyFont="1" applyFill="1" applyBorder="1" applyAlignment="1">
      <alignment horizontal="center"/>
    </xf>
    <xf numFmtId="0" fontId="14" fillId="4" borderId="38" xfId="0" applyFont="1" applyFill="1" applyBorder="1" applyAlignment="1">
      <alignment horizontal="left" indent="1"/>
    </xf>
    <xf numFmtId="0" fontId="14" fillId="4" borderId="39" xfId="0" applyFont="1" applyFill="1" applyBorder="1"/>
    <xf numFmtId="2" fontId="22" fillId="4" borderId="39" xfId="0" applyNumberFormat="1" applyFont="1" applyFill="1" applyBorder="1" applyAlignment="1">
      <alignment horizontal="center" vertical="center"/>
    </xf>
    <xf numFmtId="0" fontId="14" fillId="4" borderId="39" xfId="0" applyFont="1" applyFill="1" applyBorder="1" applyAlignment="1">
      <alignment horizontal="center"/>
    </xf>
    <xf numFmtId="0" fontId="14" fillId="4" borderId="40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right"/>
    </xf>
    <xf numFmtId="165" fontId="14" fillId="4" borderId="26" xfId="0" applyNumberFormat="1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left" vertical="top" wrapText="1" indent="1"/>
    </xf>
    <xf numFmtId="0" fontId="21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top" wrapText="1"/>
    </xf>
    <xf numFmtId="0" fontId="4" fillId="0" borderId="3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14" fillId="0" borderId="27" xfId="0" applyFont="1" applyBorder="1"/>
    <xf numFmtId="0" fontId="10" fillId="0" borderId="28" xfId="0" applyFont="1" applyBorder="1"/>
    <xf numFmtId="0" fontId="10" fillId="0" borderId="0" xfId="0" applyFont="1" applyBorder="1"/>
    <xf numFmtId="0" fontId="21" fillId="8" borderId="2" xfId="0" applyFont="1" applyFill="1" applyBorder="1" applyAlignment="1">
      <alignment horizontal="left"/>
    </xf>
    <xf numFmtId="0" fontId="6" fillId="8" borderId="4" xfId="0" applyNumberFormat="1" applyFont="1" applyFill="1" applyBorder="1" applyAlignment="1">
      <alignment horizontal="right"/>
    </xf>
    <xf numFmtId="0" fontId="6" fillId="8" borderId="9" xfId="0" applyNumberFormat="1" applyFont="1" applyFill="1" applyBorder="1" applyAlignment="1">
      <alignment horizontal="right"/>
    </xf>
    <xf numFmtId="0" fontId="21" fillId="0" borderId="2" xfId="0" applyFont="1" applyFill="1" applyBorder="1" applyAlignment="1">
      <alignment horizontal="left"/>
    </xf>
    <xf numFmtId="0" fontId="6" fillId="0" borderId="4" xfId="0" applyNumberFormat="1" applyFont="1" applyFill="1" applyBorder="1" applyAlignment="1">
      <alignment horizontal="right"/>
    </xf>
    <xf numFmtId="0" fontId="6" fillId="0" borderId="9" xfId="0" applyNumberFormat="1" applyFont="1" applyFill="1" applyBorder="1" applyAlignment="1">
      <alignment horizontal="right"/>
    </xf>
    <xf numFmtId="0" fontId="16" fillId="0" borderId="7" xfId="0" applyFont="1" applyFill="1" applyBorder="1" applyAlignment="1">
      <alignment horizontal="left"/>
    </xf>
    <xf numFmtId="0" fontId="16" fillId="8" borderId="7" xfId="0" applyFont="1" applyFill="1" applyBorder="1" applyAlignment="1">
      <alignment horizontal="left"/>
    </xf>
    <xf numFmtId="20" fontId="0" fillId="0" borderId="0" xfId="0" applyNumberFormat="1" applyFont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31" xfId="0" applyFont="1" applyBorder="1" applyAlignment="1">
      <alignment vertical="center" wrapText="1"/>
    </xf>
    <xf numFmtId="0" fontId="38" fillId="0" borderId="42" xfId="0" applyFont="1" applyBorder="1" applyAlignment="1">
      <alignment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18" fillId="3" borderId="4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 wrapText="1"/>
    </xf>
    <xf numFmtId="0" fontId="38" fillId="3" borderId="0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21" fillId="4" borderId="3" xfId="0" applyNumberFormat="1" applyFont="1" applyFill="1" applyBorder="1" applyAlignment="1">
      <alignment vertical="center"/>
    </xf>
    <xf numFmtId="0" fontId="21" fillId="4" borderId="8" xfId="0" applyNumberFormat="1" applyFont="1" applyFill="1" applyBorder="1" applyAlignment="1">
      <alignment vertical="center"/>
    </xf>
    <xf numFmtId="0" fontId="0" fillId="0" borderId="0" xfId="0" applyFont="1" applyProtection="1">
      <protection locked="0"/>
    </xf>
    <xf numFmtId="2" fontId="14" fillId="0" borderId="30" xfId="0" applyNumberFormat="1" applyFont="1" applyFill="1" applyBorder="1" applyAlignment="1">
      <alignment horizontal="center" vertical="center"/>
    </xf>
    <xf numFmtId="164" fontId="14" fillId="0" borderId="30" xfId="0" applyNumberFormat="1" applyFont="1" applyFill="1" applyBorder="1" applyAlignment="1">
      <alignment horizontal="center" vertical="center"/>
    </xf>
    <xf numFmtId="0" fontId="0" fillId="4" borderId="0" xfId="0" applyNumberFormat="1" applyFill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left" vertical="top" wrapText="1"/>
    </xf>
    <xf numFmtId="0" fontId="4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right" vertical="center"/>
    </xf>
    <xf numFmtId="0" fontId="2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left" vertical="center" indent="1"/>
    </xf>
    <xf numFmtId="0" fontId="1" fillId="0" borderId="46" xfId="0" applyFont="1" applyFill="1" applyBorder="1" applyAlignment="1">
      <alignment vertical="center"/>
    </xf>
    <xf numFmtId="0" fontId="1" fillId="0" borderId="47" xfId="0" applyFont="1" applyFill="1" applyBorder="1" applyAlignment="1">
      <alignment horizontal="right" vertical="center"/>
    </xf>
    <xf numFmtId="0" fontId="6" fillId="0" borderId="48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vertical="center"/>
    </xf>
    <xf numFmtId="0" fontId="10" fillId="0" borderId="23" xfId="0" applyFont="1" applyFill="1" applyBorder="1" applyAlignment="1">
      <alignment vertical="center"/>
    </xf>
    <xf numFmtId="0" fontId="10" fillId="0" borderId="19" xfId="0" applyFont="1" applyFill="1" applyBorder="1" applyAlignment="1">
      <alignment vertical="center"/>
    </xf>
    <xf numFmtId="0" fontId="37" fillId="0" borderId="12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left" vertical="center" indent="1"/>
    </xf>
    <xf numFmtId="0" fontId="1" fillId="0" borderId="10" xfId="0" applyFont="1" applyFill="1" applyBorder="1" applyAlignment="1">
      <alignment vertical="center"/>
    </xf>
    <xf numFmtId="0" fontId="1" fillId="0" borderId="22" xfId="0" applyFont="1" applyFill="1" applyBorder="1" applyAlignment="1">
      <alignment horizontal="right" vertical="center"/>
    </xf>
    <xf numFmtId="0" fontId="1" fillId="0" borderId="22" xfId="0" applyFont="1" applyFill="1" applyBorder="1" applyAlignment="1">
      <alignment vertical="center"/>
    </xf>
    <xf numFmtId="0" fontId="6" fillId="0" borderId="49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vertical="center"/>
    </xf>
    <xf numFmtId="165" fontId="10" fillId="0" borderId="19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 vertical="center" indent="1"/>
    </xf>
    <xf numFmtId="0" fontId="6" fillId="0" borderId="17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0" borderId="0" xfId="0" applyNumberFormat="1" applyFont="1" applyFill="1" applyAlignment="1">
      <alignment horizontal="left" vertical="center" indent="1"/>
    </xf>
    <xf numFmtId="0" fontId="43" fillId="0" borderId="0" xfId="0" applyNumberFormat="1" applyFont="1" applyFill="1" applyAlignment="1">
      <alignment horizontal="left" vertical="center" indent="1"/>
    </xf>
    <xf numFmtId="0" fontId="43" fillId="4" borderId="0" xfId="0" applyFont="1" applyFill="1" applyAlignment="1">
      <alignment horizontal="left" vertical="center" indent="1"/>
    </xf>
    <xf numFmtId="0" fontId="40" fillId="0" borderId="0" xfId="0" applyFont="1" applyAlignment="1">
      <alignment horizontal="left" indent="1"/>
    </xf>
    <xf numFmtId="0" fontId="6" fillId="0" borderId="30" xfId="0" quotePrefix="1" applyNumberFormat="1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right" vertical="center"/>
    </xf>
    <xf numFmtId="0" fontId="6" fillId="0" borderId="29" xfId="0" applyFont="1" applyFill="1" applyBorder="1" applyAlignment="1">
      <alignment horizontal="right" vertical="center"/>
    </xf>
    <xf numFmtId="0" fontId="6" fillId="0" borderId="30" xfId="0" applyFont="1" applyFill="1" applyBorder="1" applyAlignment="1">
      <alignment horizontal="left" vertical="center"/>
    </xf>
    <xf numFmtId="1" fontId="6" fillId="0" borderId="3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5" fillId="4" borderId="0" xfId="0" applyFont="1" applyFill="1" applyBorder="1" applyAlignment="1">
      <alignment horizontal="left" vertical="center" indent="1"/>
    </xf>
    <xf numFmtId="0" fontId="15" fillId="4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21" fillId="0" borderId="3" xfId="0" applyFont="1" applyFill="1" applyBorder="1" applyAlignment="1">
      <alignment horizontal="left"/>
    </xf>
    <xf numFmtId="0" fontId="6" fillId="0" borderId="3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/>
    </xf>
    <xf numFmtId="0" fontId="9" fillId="0" borderId="1" xfId="0" applyFont="1" applyFill="1" applyBorder="1" applyAlignment="1" applyProtection="1">
      <alignment horizontal="center" vertical="center" wrapText="1"/>
    </xf>
    <xf numFmtId="2" fontId="14" fillId="0" borderId="29" xfId="0" applyNumberFormat="1" applyFont="1" applyFill="1" applyBorder="1" applyAlignment="1">
      <alignment horizontal="left" vertical="center" indent="1"/>
    </xf>
    <xf numFmtId="164" fontId="14" fillId="0" borderId="26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9" fillId="0" borderId="41" xfId="0" applyFont="1" applyBorder="1" applyAlignment="1">
      <alignment horizontal="left" vertical="top" wrapText="1"/>
    </xf>
    <xf numFmtId="0" fontId="50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51" fillId="0" borderId="0" xfId="0" applyFont="1" applyAlignment="1"/>
    <xf numFmtId="0" fontId="14" fillId="9" borderId="0" xfId="0" applyFont="1" applyFill="1" applyBorder="1" applyAlignment="1">
      <alignment vertical="center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/>
    </xf>
    <xf numFmtId="0" fontId="6" fillId="0" borderId="8" xfId="0" applyNumberFormat="1" applyFont="1" applyFill="1" applyBorder="1" applyAlignment="1">
      <alignment horizontal="right"/>
    </xf>
    <xf numFmtId="2" fontId="6" fillId="0" borderId="8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49" fontId="10" fillId="10" borderId="0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left" vertical="center" indent="1"/>
    </xf>
    <xf numFmtId="1" fontId="42" fillId="10" borderId="0" xfId="0" applyNumberFormat="1" applyFont="1" applyFill="1" applyBorder="1" applyAlignment="1">
      <alignment horizontal="center" vertical="center"/>
    </xf>
    <xf numFmtId="164" fontId="10" fillId="10" borderId="19" xfId="0" applyNumberFormat="1" applyFont="1" applyFill="1" applyBorder="1" applyAlignment="1">
      <alignment horizontal="center" vertical="center"/>
    </xf>
    <xf numFmtId="164" fontId="10" fillId="10" borderId="0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>
      <alignment horizontal="center" vertical="center"/>
    </xf>
    <xf numFmtId="0" fontId="42" fillId="10" borderId="23" xfId="0" applyNumberFormat="1" applyFont="1" applyFill="1" applyBorder="1" applyAlignment="1">
      <alignment horizontal="center" vertical="center"/>
    </xf>
    <xf numFmtId="0" fontId="14" fillId="10" borderId="23" xfId="0" applyNumberFormat="1" applyFont="1" applyFill="1" applyBorder="1" applyAlignment="1">
      <alignment horizontal="center" vertical="center"/>
    </xf>
    <xf numFmtId="165" fontId="10" fillId="10" borderId="0" xfId="0" applyNumberFormat="1" applyFont="1" applyFill="1" applyBorder="1" applyAlignment="1">
      <alignment horizontal="center" vertical="center"/>
    </xf>
    <xf numFmtId="0" fontId="14" fillId="10" borderId="23" xfId="0" applyFont="1" applyFill="1" applyBorder="1" applyAlignment="1">
      <alignment horizontal="center" vertical="center"/>
    </xf>
    <xf numFmtId="165" fontId="10" fillId="10" borderId="19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left" vertical="center"/>
    </xf>
    <xf numFmtId="0" fontId="0" fillId="10" borderId="0" xfId="0" applyFill="1" applyAlignment="1">
      <alignment vertical="center"/>
    </xf>
    <xf numFmtId="2" fontId="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indent="1"/>
    </xf>
    <xf numFmtId="0" fontId="57" fillId="0" borderId="0" xfId="0" applyFont="1" applyBorder="1" applyAlignment="1">
      <alignment horizontal="center" vertical="center" wrapText="1"/>
    </xf>
    <xf numFmtId="0" fontId="0" fillId="0" borderId="46" xfId="0" applyBorder="1" applyAlignment="1">
      <alignment vertical="center"/>
    </xf>
    <xf numFmtId="0" fontId="6" fillId="0" borderId="57" xfId="0" applyFont="1" applyFill="1" applyBorder="1" applyAlignment="1">
      <alignment horizontal="center" vertical="center" wrapText="1"/>
    </xf>
    <xf numFmtId="0" fontId="5" fillId="0" borderId="30" xfId="0" applyNumberFormat="1" applyFont="1" applyFill="1" applyBorder="1" applyAlignment="1" applyProtection="1">
      <alignment horizontal="center" vertical="center"/>
      <protection locked="0"/>
    </xf>
    <xf numFmtId="0" fontId="5" fillId="0" borderId="30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30" xfId="0" quotePrefix="1" applyNumberFormat="1" applyFont="1" applyFill="1" applyBorder="1" applyAlignment="1">
      <alignment horizontal="center" vertical="center"/>
    </xf>
    <xf numFmtId="0" fontId="5" fillId="0" borderId="30" xfId="0" applyNumberFormat="1" applyFont="1" applyFill="1" applyBorder="1" applyAlignment="1">
      <alignment horizontal="center" vertical="center"/>
    </xf>
    <xf numFmtId="20" fontId="5" fillId="0" borderId="26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 applyProtection="1">
      <alignment horizontal="center" vertical="center"/>
    </xf>
    <xf numFmtId="0" fontId="0" fillId="0" borderId="1" xfId="0" quotePrefix="1" applyNumberFormat="1" applyBorder="1" applyAlignment="1" applyProtection="1">
      <alignment horizontal="center" vertical="center"/>
      <protection locked="0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indent="1"/>
    </xf>
    <xf numFmtId="1" fontId="42" fillId="0" borderId="0" xfId="0" applyNumberFormat="1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42" fillId="0" borderId="23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65" fontId="10" fillId="0" borderId="19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left" vertical="center"/>
    </xf>
    <xf numFmtId="0" fontId="14" fillId="0" borderId="23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41" fillId="0" borderId="18" xfId="0" applyFont="1" applyBorder="1" applyAlignment="1">
      <alignment horizontal="left" vertical="top" wrapText="1"/>
    </xf>
    <xf numFmtId="0" fontId="41" fillId="0" borderId="16" xfId="0" applyFont="1" applyBorder="1" applyAlignment="1">
      <alignment horizontal="left" vertical="top" wrapText="1"/>
    </xf>
    <xf numFmtId="0" fontId="41" fillId="0" borderId="15" xfId="0" applyFont="1" applyBorder="1" applyAlignment="1">
      <alignment horizontal="left" vertical="top" wrapText="1"/>
    </xf>
    <xf numFmtId="0" fontId="38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40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vertical="top" wrapText="1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15" fillId="4" borderId="11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55" fillId="4" borderId="0" xfId="0" applyNumberFormat="1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2" fillId="4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0" fontId="1" fillId="0" borderId="54" xfId="0" applyFont="1" applyBorder="1" applyAlignment="1">
      <alignment horizontal="left" vertical="center" wrapText="1" indent="1"/>
    </xf>
    <xf numFmtId="0" fontId="1" fillId="0" borderId="32" xfId="0" applyFont="1" applyBorder="1" applyAlignment="1">
      <alignment horizontal="left" vertical="center" wrapText="1" indent="1"/>
    </xf>
    <xf numFmtId="0" fontId="1" fillId="0" borderId="34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0" fillId="0" borderId="34" xfId="0" applyFont="1" applyBorder="1" applyAlignment="1">
      <alignment horizontal="center" wrapText="1"/>
    </xf>
    <xf numFmtId="0" fontId="0" fillId="0" borderId="32" xfId="0" applyFont="1" applyBorder="1" applyAlignment="1">
      <alignment horizont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54" xfId="0" applyFont="1" applyFill="1" applyBorder="1" applyAlignment="1">
      <alignment horizontal="left" vertical="center" wrapText="1" indent="1"/>
    </xf>
    <xf numFmtId="0" fontId="1" fillId="0" borderId="32" xfId="0" applyFont="1" applyFill="1" applyBorder="1" applyAlignment="1">
      <alignment horizontal="left" vertical="center" wrapText="1" indent="1"/>
    </xf>
    <xf numFmtId="0" fontId="30" fillId="4" borderId="0" xfId="0" applyFont="1" applyFill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11" fillId="0" borderId="33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1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1" fillId="0" borderId="36" xfId="0" applyFont="1" applyBorder="1" applyAlignment="1">
      <alignment horizontal="left" vertical="center" wrapText="1" indent="1"/>
    </xf>
    <xf numFmtId="0" fontId="11" fillId="0" borderId="37" xfId="0" applyFont="1" applyBorder="1" applyAlignment="1">
      <alignment horizontal="left" vertical="center" wrapText="1" indent="1"/>
    </xf>
    <xf numFmtId="0" fontId="0" fillId="0" borderId="35" xfId="0" applyFill="1" applyBorder="1" applyAlignment="1">
      <alignment vertical="center"/>
    </xf>
    <xf numFmtId="0" fontId="0" fillId="0" borderId="36" xfId="0" applyFill="1" applyBorder="1" applyAlignment="1">
      <alignment vertical="center"/>
    </xf>
    <xf numFmtId="0" fontId="4" fillId="0" borderId="36" xfId="0" applyFont="1" applyFill="1" applyBorder="1" applyAlignment="1">
      <alignment horizontal="left" vertical="center" wrapText="1" indent="1"/>
    </xf>
    <xf numFmtId="0" fontId="4" fillId="0" borderId="37" xfId="0" applyFont="1" applyFill="1" applyBorder="1" applyAlignment="1">
      <alignment horizontal="left" vertical="center" wrapText="1" indent="1"/>
    </xf>
    <xf numFmtId="0" fontId="29" fillId="0" borderId="35" xfId="0" applyFont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 wrapText="1" indent="1"/>
    </xf>
    <xf numFmtId="0" fontId="4" fillId="0" borderId="37" xfId="0" applyFont="1" applyBorder="1" applyAlignment="1">
      <alignment horizontal="left" vertical="center" wrapText="1" indent="1"/>
    </xf>
    <xf numFmtId="0" fontId="0" fillId="0" borderId="38" xfId="0" applyBorder="1" applyAlignment="1">
      <alignment vertical="center"/>
    </xf>
    <xf numFmtId="0" fontId="0" fillId="0" borderId="39" xfId="0" applyBorder="1" applyAlignment="1">
      <alignment vertical="center"/>
    </xf>
    <xf numFmtId="0" fontId="4" fillId="0" borderId="39" xfId="0" applyFont="1" applyFill="1" applyBorder="1" applyAlignment="1">
      <alignment horizontal="left" vertical="center" wrapText="1" indent="1"/>
    </xf>
    <xf numFmtId="0" fontId="4" fillId="0" borderId="40" xfId="0" applyFont="1" applyFill="1" applyBorder="1" applyAlignment="1">
      <alignment horizontal="left" vertical="center" wrapText="1" indent="1"/>
    </xf>
    <xf numFmtId="0" fontId="4" fillId="0" borderId="33" xfId="0" applyFont="1" applyBorder="1" applyAlignment="1">
      <alignment horizontal="left" vertical="center" wrapText="1" indent="1"/>
    </xf>
    <xf numFmtId="0" fontId="4" fillId="0" borderId="34" xfId="0" applyFont="1" applyBorder="1" applyAlignment="1">
      <alignment horizontal="left" vertical="center" wrapText="1" indent="1"/>
    </xf>
    <xf numFmtId="2" fontId="44" fillId="0" borderId="5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right" wrapText="1"/>
    </xf>
    <xf numFmtId="2" fontId="44" fillId="0" borderId="6" xfId="0" applyNumberFormat="1" applyFont="1" applyFill="1" applyBorder="1" applyAlignment="1">
      <alignment horizontal="center" vertical="center" wrapText="1"/>
    </xf>
    <xf numFmtId="2" fontId="6" fillId="0" borderId="9" xfId="0" applyNumberFormat="1" applyFont="1" applyFill="1" applyBorder="1" applyAlignment="1">
      <alignment horizontal="center" vertical="center" wrapText="1"/>
    </xf>
    <xf numFmtId="0" fontId="45" fillId="0" borderId="8" xfId="0" applyFont="1" applyFill="1" applyBorder="1" applyAlignment="1">
      <alignment horizontal="right" vertical="center" wrapText="1"/>
    </xf>
    <xf numFmtId="2" fontId="44" fillId="0" borderId="2" xfId="0" applyNumberFormat="1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2" fontId="44" fillId="0" borderId="3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45" fillId="0" borderId="3" xfId="0" applyFont="1" applyFill="1" applyBorder="1" applyAlignment="1">
      <alignment horizontal="right" wrapText="1"/>
    </xf>
    <xf numFmtId="2" fontId="44" fillId="0" borderId="4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right" vertical="center" wrapText="1"/>
    </xf>
    <xf numFmtId="2" fontId="44" fillId="0" borderId="20" xfId="0" applyNumberFormat="1" applyFont="1" applyFill="1" applyBorder="1" applyAlignment="1">
      <alignment horizontal="center" vertical="center"/>
    </xf>
    <xf numFmtId="2" fontId="6" fillId="0" borderId="17" xfId="0" applyNumberFormat="1" applyFont="1" applyFill="1" applyBorder="1" applyAlignment="1">
      <alignment horizontal="center" vertical="center"/>
    </xf>
    <xf numFmtId="0" fontId="45" fillId="0" borderId="17" xfId="0" applyFont="1" applyFill="1" applyBorder="1" applyAlignment="1">
      <alignment horizontal="right" vertical="center" wrapText="1"/>
    </xf>
    <xf numFmtId="2" fontId="44" fillId="8" borderId="20" xfId="0" applyNumberFormat="1" applyFont="1" applyFill="1" applyBorder="1" applyAlignment="1">
      <alignment horizontal="center" vertical="center"/>
    </xf>
    <xf numFmtId="2" fontId="6" fillId="8" borderId="17" xfId="0" applyNumberFormat="1" applyFont="1" applyFill="1" applyBorder="1" applyAlignment="1">
      <alignment horizontal="center" vertical="center"/>
    </xf>
    <xf numFmtId="0" fontId="45" fillId="8" borderId="20" xfId="0" applyFont="1" applyFill="1" applyBorder="1" applyAlignment="1">
      <alignment horizontal="right" wrapText="1"/>
    </xf>
    <xf numFmtId="2" fontId="44" fillId="8" borderId="20" xfId="0" applyNumberFormat="1" applyFont="1" applyFill="1" applyBorder="1" applyAlignment="1">
      <alignment horizontal="center" vertical="center" wrapText="1"/>
    </xf>
    <xf numFmtId="2" fontId="6" fillId="8" borderId="17" xfId="0" applyNumberFormat="1" applyFont="1" applyFill="1" applyBorder="1" applyAlignment="1">
      <alignment horizontal="center" vertical="center" wrapText="1"/>
    </xf>
    <xf numFmtId="0" fontId="45" fillId="8" borderId="17" xfId="0" applyFont="1" applyFill="1" applyBorder="1" applyAlignment="1">
      <alignment horizontal="right" vertical="center" wrapText="1"/>
    </xf>
    <xf numFmtId="0" fontId="45" fillId="0" borderId="20" xfId="0" applyFont="1" applyFill="1" applyBorder="1" applyAlignment="1">
      <alignment horizontal="right" wrapText="1"/>
    </xf>
    <xf numFmtId="2" fontId="44" fillId="0" borderId="20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54" fillId="0" borderId="20" xfId="0" applyNumberFormat="1" applyFont="1" applyFill="1" applyBorder="1" applyAlignment="1">
      <alignment horizontal="center" vertical="center" wrapText="1"/>
    </xf>
    <xf numFmtId="2" fontId="54" fillId="0" borderId="20" xfId="0" applyNumberFormat="1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right" wrapText="1"/>
    </xf>
    <xf numFmtId="0" fontId="45" fillId="0" borderId="51" xfId="0" applyFont="1" applyFill="1" applyBorder="1" applyAlignment="1">
      <alignment horizontal="right" vertical="center" wrapText="1"/>
    </xf>
    <xf numFmtId="0" fontId="45" fillId="0" borderId="50" xfId="0" applyFont="1" applyFill="1" applyBorder="1" applyAlignment="1">
      <alignment horizontal="right" wrapText="1"/>
    </xf>
    <xf numFmtId="0" fontId="45" fillId="0" borderId="20" xfId="0" applyFont="1" applyFill="1" applyBorder="1" applyAlignment="1">
      <alignment horizontal="right" vertical="center" wrapText="1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3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4" borderId="8" xfId="0" applyNumberFormat="1" applyFont="1" applyFill="1" applyBorder="1" applyAlignment="1">
      <alignment horizontal="left" vertical="center" indent="1"/>
    </xf>
    <xf numFmtId="2" fontId="17" fillId="4" borderId="20" xfId="0" applyNumberFormat="1" applyFont="1" applyFill="1" applyBorder="1" applyAlignment="1">
      <alignment horizontal="center" vertical="center" wrapText="1"/>
    </xf>
    <xf numFmtId="2" fontId="17" fillId="4" borderId="17" xfId="0" applyNumberFormat="1" applyFont="1" applyFill="1" applyBorder="1" applyAlignment="1">
      <alignment horizontal="center" vertical="center" wrapText="1"/>
    </xf>
    <xf numFmtId="2" fontId="15" fillId="4" borderId="20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/>
    </xf>
    <xf numFmtId="2" fontId="17" fillId="0" borderId="20" xfId="0" applyNumberFormat="1" applyFont="1" applyFill="1" applyBorder="1" applyAlignment="1">
      <alignment horizontal="center" vertical="center" wrapText="1"/>
    </xf>
    <xf numFmtId="2" fontId="17" fillId="0" borderId="17" xfId="0" applyNumberFormat="1" applyFont="1" applyFill="1" applyBorder="1" applyAlignment="1">
      <alignment horizontal="center" vertical="center" wrapText="1"/>
    </xf>
    <xf numFmtId="0" fontId="21" fillId="4" borderId="2" xfId="0" applyNumberFormat="1" applyFont="1" applyFill="1" applyBorder="1" applyAlignment="1">
      <alignment horizontal="left" vertical="center" wrapText="1" indent="1"/>
    </xf>
    <xf numFmtId="0" fontId="21" fillId="4" borderId="4" xfId="0" applyNumberFormat="1" applyFont="1" applyFill="1" applyBorder="1" applyAlignment="1">
      <alignment horizontal="left" vertical="center" wrapText="1" indent="1"/>
    </xf>
    <xf numFmtId="0" fontId="21" fillId="4" borderId="7" xfId="0" applyNumberFormat="1" applyFont="1" applyFill="1" applyBorder="1" applyAlignment="1">
      <alignment horizontal="left" vertical="center" wrapText="1" indent="1"/>
    </xf>
    <xf numFmtId="0" fontId="21" fillId="4" borderId="9" xfId="0" applyNumberFormat="1" applyFont="1" applyFill="1" applyBorder="1" applyAlignment="1">
      <alignment horizontal="left" vertical="center" wrapText="1" indent="1"/>
    </xf>
    <xf numFmtId="164" fontId="15" fillId="4" borderId="20" xfId="0" applyNumberFormat="1" applyFont="1" applyFill="1" applyBorder="1" applyAlignment="1">
      <alignment horizontal="center" vertical="center"/>
    </xf>
    <xf numFmtId="164" fontId="15" fillId="4" borderId="17" xfId="0" applyNumberFormat="1" applyFont="1" applyFill="1" applyBorder="1" applyAlignment="1">
      <alignment horizontal="center" vertical="center"/>
    </xf>
    <xf numFmtId="0" fontId="15" fillId="0" borderId="20" xfId="0" applyNumberFormat="1" applyFont="1" applyFill="1" applyBorder="1" applyAlignment="1">
      <alignment horizontal="center" vertical="center"/>
    </xf>
    <xf numFmtId="0" fontId="15" fillId="0" borderId="17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30" fillId="8" borderId="17" xfId="0" applyFont="1" applyFill="1" applyBorder="1" applyAlignment="1">
      <alignment horizontal="right" vertical="center" wrapText="1"/>
    </xf>
    <xf numFmtId="0" fontId="30" fillId="0" borderId="20" xfId="0" applyFont="1" applyFill="1" applyBorder="1" applyAlignment="1">
      <alignment horizontal="right" wrapText="1"/>
    </xf>
    <xf numFmtId="0" fontId="5" fillId="0" borderId="50" xfId="0" applyFont="1" applyFill="1" applyBorder="1" applyAlignment="1">
      <alignment horizontal="right" wrapText="1"/>
    </xf>
    <xf numFmtId="0" fontId="45" fillId="0" borderId="52" xfId="0" applyFont="1" applyFill="1" applyBorder="1" applyAlignment="1">
      <alignment horizontal="right" wrapText="1"/>
    </xf>
    <xf numFmtId="0" fontId="30" fillId="0" borderId="53" xfId="0" applyFont="1" applyFill="1" applyBorder="1" applyAlignment="1">
      <alignment horizontal="right" vertical="center" wrapText="1"/>
    </xf>
    <xf numFmtId="0" fontId="45" fillId="0" borderId="17" xfId="0" applyFont="1" applyFill="1" applyBorder="1" applyAlignment="1">
      <alignment horizontal="right" wrapText="1"/>
    </xf>
    <xf numFmtId="0" fontId="5" fillId="0" borderId="20" xfId="0" applyFont="1" applyFill="1" applyBorder="1" applyAlignment="1">
      <alignment horizontal="right" wrapText="1"/>
    </xf>
    <xf numFmtId="0" fontId="27" fillId="0" borderId="51" xfId="0" applyFont="1" applyFill="1" applyBorder="1" applyAlignment="1">
      <alignment horizontal="right" vertical="center" wrapText="1"/>
    </xf>
    <xf numFmtId="0" fontId="30" fillId="0" borderId="52" xfId="0" applyFont="1" applyFill="1" applyBorder="1" applyAlignment="1">
      <alignment horizontal="right" wrapText="1"/>
    </xf>
    <xf numFmtId="0" fontId="27" fillId="0" borderId="53" xfId="0" applyFont="1" applyFill="1" applyBorder="1" applyAlignment="1">
      <alignment horizontal="right" vertical="center" wrapText="1"/>
    </xf>
    <xf numFmtId="2" fontId="44" fillId="8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44" fillId="8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0" fontId="45" fillId="0" borderId="53" xfId="0" applyFont="1" applyFill="1" applyBorder="1" applyAlignment="1">
      <alignment horizontal="right" vertical="center" wrapText="1"/>
    </xf>
    <xf numFmtId="2" fontId="44" fillId="0" borderId="17" xfId="0" applyNumberFormat="1" applyFont="1" applyFill="1" applyBorder="1" applyAlignment="1">
      <alignment horizontal="center" vertical="center"/>
    </xf>
    <xf numFmtId="2" fontId="6" fillId="0" borderId="20" xfId="0" applyNumberFormat="1" applyFont="1" applyFill="1" applyBorder="1" applyAlignment="1">
      <alignment horizontal="center" vertical="center"/>
    </xf>
    <xf numFmtId="2" fontId="44" fillId="8" borderId="17" xfId="0" applyNumberFormat="1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right" vertical="top" wrapText="1"/>
    </xf>
    <xf numFmtId="2" fontId="56" fillId="0" borderId="17" xfId="0" applyNumberFormat="1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right" wrapText="1"/>
    </xf>
    <xf numFmtId="0" fontId="5" fillId="0" borderId="52" xfId="0" applyFont="1" applyFill="1" applyBorder="1" applyAlignment="1">
      <alignment horizontal="right" wrapText="1"/>
    </xf>
    <xf numFmtId="2" fontId="52" fillId="0" borderId="5" xfId="0" applyNumberFormat="1" applyFont="1" applyFill="1" applyBorder="1" applyAlignment="1">
      <alignment horizontal="center" vertical="center" wrapText="1"/>
    </xf>
    <xf numFmtId="2" fontId="52" fillId="0" borderId="0" xfId="0" applyNumberFormat="1" applyFont="1" applyFill="1" applyBorder="1" applyAlignment="1">
      <alignment horizontal="center" vertical="center"/>
    </xf>
    <xf numFmtId="2" fontId="52" fillId="0" borderId="6" xfId="0" applyNumberFormat="1" applyFont="1" applyFill="1" applyBorder="1" applyAlignment="1">
      <alignment horizontal="center" vertical="center"/>
    </xf>
    <xf numFmtId="2" fontId="52" fillId="0" borderId="7" xfId="0" applyNumberFormat="1" applyFont="1" applyFill="1" applyBorder="1" applyAlignment="1">
      <alignment horizontal="center" vertical="center" wrapText="1"/>
    </xf>
    <xf numFmtId="2" fontId="52" fillId="0" borderId="8" xfId="0" applyNumberFormat="1" applyFont="1" applyFill="1" applyBorder="1" applyAlignment="1">
      <alignment horizontal="center" vertical="center"/>
    </xf>
    <xf numFmtId="2" fontId="52" fillId="0" borderId="9" xfId="0" applyNumberFormat="1" applyFont="1" applyFill="1" applyBorder="1" applyAlignment="1">
      <alignment horizontal="center" vertical="center"/>
    </xf>
    <xf numFmtId="2" fontId="52" fillId="0" borderId="2" xfId="0" applyNumberFormat="1" applyFont="1" applyFill="1" applyBorder="1" applyAlignment="1">
      <alignment horizontal="center" vertical="center" wrapText="1"/>
    </xf>
    <xf numFmtId="2" fontId="52" fillId="0" borderId="3" xfId="0" applyNumberFormat="1" applyFont="1" applyFill="1" applyBorder="1" applyAlignment="1">
      <alignment horizontal="center" vertical="center"/>
    </xf>
    <xf numFmtId="2" fontId="52" fillId="0" borderId="4" xfId="0" applyNumberFormat="1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right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 wrapText="1"/>
    </xf>
    <xf numFmtId="0" fontId="1" fillId="0" borderId="55" xfId="0" applyFont="1" applyBorder="1" applyAlignment="1">
      <alignment horizontal="left" vertical="center" wrapText="1" indent="1"/>
    </xf>
    <xf numFmtId="0" fontId="1" fillId="0" borderId="38" xfId="0" applyFont="1" applyBorder="1" applyAlignment="1">
      <alignment horizontal="left" vertical="center" wrapText="1" indent="1"/>
    </xf>
    <xf numFmtId="0" fontId="1" fillId="0" borderId="40" xfId="0" applyFont="1" applyBorder="1" applyAlignment="1">
      <alignment horizontal="center" wrapText="1"/>
    </xf>
    <xf numFmtId="0" fontId="1" fillId="0" borderId="38" xfId="0" applyFont="1" applyBorder="1" applyAlignment="1">
      <alignment horizont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2" fontId="44" fillId="0" borderId="17" xfId="0" applyNumberFormat="1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right" wrapText="1"/>
    </xf>
    <xf numFmtId="0" fontId="6" fillId="0" borderId="51" xfId="0" applyFont="1" applyFill="1" applyBorder="1" applyAlignment="1">
      <alignment horizontal="right" vertical="center" wrapText="1"/>
    </xf>
    <xf numFmtId="0" fontId="45" fillId="0" borderId="5" xfId="0" applyFont="1" applyFill="1" applyBorder="1" applyAlignment="1">
      <alignment horizontal="right" wrapText="1"/>
    </xf>
    <xf numFmtId="2" fontId="44" fillId="0" borderId="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2" fontId="44" fillId="0" borderId="56" xfId="0" applyNumberFormat="1" applyFont="1" applyFill="1" applyBorder="1" applyAlignment="1">
      <alignment horizontal="center" vertical="center"/>
    </xf>
    <xf numFmtId="2" fontId="6" fillId="0" borderId="56" xfId="0" applyNumberFormat="1" applyFont="1" applyFill="1" applyBorder="1" applyAlignment="1">
      <alignment horizontal="center" vertical="center"/>
    </xf>
    <xf numFmtId="2" fontId="44" fillId="0" borderId="6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right" vertical="center" wrapText="1"/>
    </xf>
    <xf numFmtId="0" fontId="30" fillId="0" borderId="8" xfId="0" applyFont="1" applyFill="1" applyBorder="1" applyAlignment="1">
      <alignment horizontal="right" vertical="center" wrapText="1"/>
    </xf>
    <xf numFmtId="0" fontId="30" fillId="0" borderId="9" xfId="0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right" wrapText="1"/>
    </xf>
    <xf numFmtId="0" fontId="45" fillId="0" borderId="4" xfId="0" applyFont="1" applyFill="1" applyBorder="1" applyAlignment="1">
      <alignment horizontal="right" wrapText="1"/>
    </xf>
    <xf numFmtId="0" fontId="33" fillId="0" borderId="3" xfId="0" applyFont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left" vertical="center" indent="1"/>
      <protection locked="0"/>
    </xf>
    <xf numFmtId="164" fontId="0" fillId="0" borderId="14" xfId="0" applyNumberFormat="1" applyBorder="1" applyAlignment="1" applyProtection="1">
      <alignment horizontal="left" vertical="center" indent="1"/>
      <protection locked="0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165" fontId="0" fillId="0" borderId="12" xfId="0" applyNumberFormat="1" applyBorder="1" applyAlignment="1" applyProtection="1">
      <alignment horizontal="left" vertical="center" indent="1"/>
      <protection locked="0"/>
    </xf>
    <xf numFmtId="165" fontId="0" fillId="0" borderId="14" xfId="0" applyNumberFormat="1" applyBorder="1" applyAlignment="1" applyProtection="1">
      <alignment horizontal="left" vertical="center" indent="1"/>
      <protection locked="0"/>
    </xf>
    <xf numFmtId="0" fontId="0" fillId="0" borderId="0" xfId="0" applyAlignment="1" applyProtection="1">
      <alignment vertical="center"/>
      <protection locked="0"/>
    </xf>
    <xf numFmtId="165" fontId="0" fillId="0" borderId="12" xfId="0" applyNumberFormat="1" applyBorder="1" applyAlignment="1" applyProtection="1">
      <alignment vertical="center"/>
      <protection locked="0"/>
    </xf>
    <xf numFmtId="165" fontId="0" fillId="0" borderId="14" xfId="0" applyNumberFormat="1" applyBorder="1" applyAlignment="1" applyProtection="1">
      <alignment vertical="center"/>
      <protection locked="0"/>
    </xf>
    <xf numFmtId="165" fontId="0" fillId="0" borderId="12" xfId="0" applyNumberFormat="1" applyBorder="1" applyAlignment="1" applyProtection="1">
      <alignment vertical="center"/>
      <protection locked="0"/>
    </xf>
    <xf numFmtId="165" fontId="0" fillId="0" borderId="14" xfId="0" applyNumberFormat="1" applyBorder="1" applyAlignment="1" applyProtection="1">
      <alignment vertical="center"/>
      <protection locked="0"/>
    </xf>
    <xf numFmtId="164" fontId="0" fillId="0" borderId="12" xfId="0" applyNumberFormat="1" applyBorder="1" applyAlignment="1" applyProtection="1">
      <alignment vertical="center"/>
      <protection locked="0"/>
    </xf>
    <xf numFmtId="164" fontId="0" fillId="0" borderId="14" xfId="0" applyNumberFormat="1" applyBorder="1" applyAlignment="1" applyProtection="1">
      <alignment vertical="center"/>
      <protection locked="0"/>
    </xf>
    <xf numFmtId="164" fontId="0" fillId="0" borderId="12" xfId="0" applyNumberFormat="1" applyBorder="1" applyAlignment="1" applyProtection="1">
      <alignment vertical="center" wrapText="1"/>
      <protection locked="0"/>
    </xf>
    <xf numFmtId="164" fontId="0" fillId="0" borderId="14" xfId="0" applyNumberFormat="1" applyBorder="1" applyAlignment="1" applyProtection="1">
      <alignment vertical="center" wrapText="1"/>
      <protection locked="0"/>
    </xf>
    <xf numFmtId="0" fontId="0" fillId="0" borderId="1" xfId="0" applyNumberFormat="1" applyBorder="1" applyAlignment="1" applyProtection="1">
      <alignment horizontal="left" vertical="center" indent="1"/>
      <protection locked="0"/>
    </xf>
    <xf numFmtId="0" fontId="40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49" fontId="16" fillId="1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49" fontId="15" fillId="1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0" fillId="0" borderId="0" xfId="0" applyBorder="1"/>
    <xf numFmtId="0" fontId="42" fillId="0" borderId="0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left" vertical="center" indent="1"/>
    </xf>
    <xf numFmtId="0" fontId="13" fillId="7" borderId="0" xfId="0" applyFont="1" applyFill="1" applyAlignment="1">
      <alignment vertical="center"/>
    </xf>
    <xf numFmtId="0" fontId="43" fillId="7" borderId="0" xfId="0" applyFont="1" applyFill="1" applyAlignment="1">
      <alignment horizontal="left" vertical="center" indent="1"/>
    </xf>
    <xf numFmtId="0" fontId="6" fillId="7" borderId="29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0" fillId="7" borderId="0" xfId="0" applyFill="1"/>
    <xf numFmtId="0" fontId="27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357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center" textRotation="0" wrapText="1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/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outline="0">
        <right style="dotted">
          <color auto="1"/>
        </right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/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outline="0">
        <right style="dotted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6" formatCode="h:mm:ss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</dxfs>
  <tableStyles count="3" defaultTableStyle="TableStyleMedium2" defaultPivotStyle="PivotStyleLight16">
    <tableStyle name="Стиль таблицы 1" pivot="0" count="2">
      <tableStyleElement type="firstRowStripe" dxfId="356"/>
      <tableStyleElement type="secondRowStripe" dxfId="355"/>
    </tableStyle>
    <tableStyle name="тюльпаны" pivot="0" count="4">
      <tableStyleElement type="headerRow" dxfId="354"/>
      <tableStyleElement type="totalRow" dxfId="353"/>
      <tableStyleElement type="firstRowStripe" dxfId="352"/>
      <tableStyleElement type="secondRowStripe" dxfId="351"/>
    </tableStyle>
    <tableStyle name="тюльпаны 2" pivot="0" count="4">
      <tableStyleElement type="headerRow" dxfId="350"/>
      <tableStyleElement type="totalRow" dxfId="349"/>
      <tableStyleElement type="firstRowStripe" dxfId="348"/>
      <tableStyleElement type="secondRowStripe" dxfId="347"/>
    </tableStyle>
  </tableStyles>
  <colors>
    <mruColors>
      <color rgb="FFFFFF99"/>
      <color rgb="FFFF6600"/>
      <color rgb="FFFF9933"/>
      <color rgb="FFFFFFCC"/>
      <color rgb="FF99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microsoft.com/office/2006/relationships/vbaProject" Target="vbaProject.bin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17" Type="http://schemas.openxmlformats.org/officeDocument/2006/relationships/image" Target="../media/image40.png"/><Relationship Id="rId2" Type="http://schemas.openxmlformats.org/officeDocument/2006/relationships/image" Target="../media/image25.png"/><Relationship Id="rId16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5" Type="http://schemas.openxmlformats.org/officeDocument/2006/relationships/image" Target="../media/image3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2.png"/><Relationship Id="rId18" Type="http://schemas.openxmlformats.org/officeDocument/2006/relationships/image" Target="../media/image7.jpeg"/><Relationship Id="rId3" Type="http://schemas.openxmlformats.org/officeDocument/2006/relationships/image" Target="../media/image19.png"/><Relationship Id="rId7" Type="http://schemas.openxmlformats.org/officeDocument/2006/relationships/image" Target="../media/image29.png"/><Relationship Id="rId12" Type="http://schemas.openxmlformats.org/officeDocument/2006/relationships/image" Target="../media/image47.png"/><Relationship Id="rId17" Type="http://schemas.openxmlformats.org/officeDocument/2006/relationships/image" Target="../media/image50.png"/><Relationship Id="rId2" Type="http://schemas.openxmlformats.org/officeDocument/2006/relationships/image" Target="../media/image34.png"/><Relationship Id="rId16" Type="http://schemas.openxmlformats.org/officeDocument/2006/relationships/image" Target="../media/image49.jpeg"/><Relationship Id="rId1" Type="http://schemas.openxmlformats.org/officeDocument/2006/relationships/image" Target="../media/image11.png"/><Relationship Id="rId6" Type="http://schemas.openxmlformats.org/officeDocument/2006/relationships/image" Target="../media/image35.png"/><Relationship Id="rId11" Type="http://schemas.openxmlformats.org/officeDocument/2006/relationships/image" Target="../media/image46.jpeg"/><Relationship Id="rId5" Type="http://schemas.openxmlformats.org/officeDocument/2006/relationships/image" Target="../media/image42.png"/><Relationship Id="rId15" Type="http://schemas.openxmlformats.org/officeDocument/2006/relationships/image" Target="../media/image48.jpeg"/><Relationship Id="rId10" Type="http://schemas.openxmlformats.org/officeDocument/2006/relationships/image" Target="../media/image45.jpeg"/><Relationship Id="rId19" Type="http://schemas.openxmlformats.org/officeDocument/2006/relationships/image" Target="../media/image51.png"/><Relationship Id="rId4" Type="http://schemas.openxmlformats.org/officeDocument/2006/relationships/image" Target="../media/image41.png"/><Relationship Id="rId9" Type="http://schemas.openxmlformats.org/officeDocument/2006/relationships/image" Target="../media/image44.png"/><Relationship Id="rId1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1.png"/><Relationship Id="rId7" Type="http://schemas.openxmlformats.org/officeDocument/2006/relationships/image" Target="../media/image18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4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5.png"/><Relationship Id="rId1" Type="http://schemas.openxmlformats.org/officeDocument/2006/relationships/image" Target="../media/image5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image" Target="../media/image5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6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7.png"/><Relationship Id="rId1" Type="http://schemas.openxmlformats.org/officeDocument/2006/relationships/image" Target="../media/image6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image" Target="../media/image6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</xdr:row>
          <xdr:rowOff>38100</xdr:rowOff>
        </xdr:from>
        <xdr:to>
          <xdr:col>7</xdr:col>
          <xdr:colOff>457200</xdr:colOff>
          <xdr:row>2</xdr:row>
          <xdr:rowOff>161925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Сформировать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</xdr:row>
          <xdr:rowOff>28575</xdr:rowOff>
        </xdr:from>
        <xdr:to>
          <xdr:col>7</xdr:col>
          <xdr:colOff>457200</xdr:colOff>
          <xdr:row>4</xdr:row>
          <xdr:rowOff>152400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Проверить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1</xdr:row>
          <xdr:rowOff>38100</xdr:rowOff>
        </xdr:from>
        <xdr:to>
          <xdr:col>13</xdr:col>
          <xdr:colOff>485775</xdr:colOff>
          <xdr:row>2</xdr:row>
          <xdr:rowOff>161925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Обработать служ. столбец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1</xdr:row>
          <xdr:rowOff>38100</xdr:rowOff>
        </xdr:from>
        <xdr:to>
          <xdr:col>10</xdr:col>
          <xdr:colOff>504825</xdr:colOff>
          <xdr:row>2</xdr:row>
          <xdr:rowOff>161925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Отобразить расст. и стр.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3</xdr:row>
          <xdr:rowOff>28575</xdr:rowOff>
        </xdr:from>
        <xdr:to>
          <xdr:col>10</xdr:col>
          <xdr:colOff>504825</xdr:colOff>
          <xdr:row>4</xdr:row>
          <xdr:rowOff>152400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Скрыть расст.и строки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</xdr:row>
          <xdr:rowOff>38100</xdr:rowOff>
        </xdr:from>
        <xdr:to>
          <xdr:col>10</xdr:col>
          <xdr:colOff>504825</xdr:colOff>
          <xdr:row>6</xdr:row>
          <xdr:rowOff>161925</xdr:rowOff>
        </xdr:to>
        <xdr:sp macro="" textlink="">
          <xdr:nvSpPr>
            <xdr:cNvPr id="19462" name="Butto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Изменить расстояние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6</xdr:row>
      <xdr:rowOff>14731</xdr:rowOff>
    </xdr:from>
    <xdr:to>
      <xdr:col>1</xdr:col>
      <xdr:colOff>238648</xdr:colOff>
      <xdr:row>6</xdr:row>
      <xdr:rowOff>349597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16483" y="3919981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511557</xdr:colOff>
      <xdr:row>4</xdr:row>
      <xdr:rowOff>103826</xdr:rowOff>
    </xdr:from>
    <xdr:to>
      <xdr:col>2</xdr:col>
      <xdr:colOff>154596</xdr:colOff>
      <xdr:row>4</xdr:row>
      <xdr:rowOff>292618</xdr:rowOff>
    </xdr:to>
    <xdr:grpSp>
      <xdr:nvGrpSpPr>
        <xdr:cNvPr id="3" name="Группа 2"/>
        <xdr:cNvGrpSpPr/>
      </xdr:nvGrpSpPr>
      <xdr:grpSpPr>
        <a:xfrm>
          <a:off x="511557" y="3247076"/>
          <a:ext cx="862239" cy="188792"/>
          <a:chOff x="482982" y="3887156"/>
          <a:chExt cx="862239" cy="188792"/>
        </a:xfrm>
      </xdr:grpSpPr>
      <xdr:cxnSp macro="">
        <xdr:nvCxnSpPr>
          <xdr:cNvPr id="4" name="Прямая со стрелкой 3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912304" y="3494227"/>
            <a:ext cx="0" cy="8586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 стрелкой 4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914102" y="3608438"/>
            <a:ext cx="0" cy="86223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 стрелкой 5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131218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126052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120885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115719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 стрелкой 9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110553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Прямая со стрелкой 10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105386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 стрелкой 11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002205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950542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898879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847216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795553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74389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69222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64056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58890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53723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88400</xdr:colOff>
      <xdr:row>15</xdr:row>
      <xdr:rowOff>67580</xdr:rowOff>
    </xdr:from>
    <xdr:to>
      <xdr:col>0</xdr:col>
      <xdr:colOff>341268</xdr:colOff>
      <xdr:row>15</xdr:row>
      <xdr:rowOff>321647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88400" y="7335155"/>
          <a:ext cx="252868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445794</xdr:colOff>
      <xdr:row>15</xdr:row>
      <xdr:rowOff>72092</xdr:rowOff>
    </xdr:from>
    <xdr:to>
      <xdr:col>1</xdr:col>
      <xdr:colOff>85749</xdr:colOff>
      <xdr:row>15</xdr:row>
      <xdr:rowOff>321647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445794" y="733966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190275</xdr:colOff>
      <xdr:row>15</xdr:row>
      <xdr:rowOff>72092</xdr:rowOff>
    </xdr:from>
    <xdr:to>
      <xdr:col>1</xdr:col>
      <xdr:colOff>442848</xdr:colOff>
      <xdr:row>15</xdr:row>
      <xdr:rowOff>321647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799875" y="733966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16</xdr:row>
      <xdr:rowOff>58183</xdr:rowOff>
    </xdr:from>
    <xdr:to>
      <xdr:col>2</xdr:col>
      <xdr:colOff>144782</xdr:colOff>
      <xdr:row>16</xdr:row>
      <xdr:rowOff>333077</xdr:rowOff>
    </xdr:to>
    <xdr:sp macro="" textlink="">
      <xdr:nvSpPr>
        <xdr:cNvPr id="25" name="Полилиния 2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24893" y="770675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124843</xdr:colOff>
      <xdr:row>17</xdr:row>
      <xdr:rowOff>173057</xdr:rowOff>
    </xdr:from>
    <xdr:to>
      <xdr:col>1</xdr:col>
      <xdr:colOff>155323</xdr:colOff>
      <xdr:row>17</xdr:row>
      <xdr:rowOff>237827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734443" y="858363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17</xdr:row>
      <xdr:rowOff>173057</xdr:rowOff>
    </xdr:from>
    <xdr:to>
      <xdr:col>1</xdr:col>
      <xdr:colOff>520291</xdr:colOff>
      <xdr:row>17</xdr:row>
      <xdr:rowOff>226397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61113" y="858363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547374</xdr:colOff>
      <xdr:row>15</xdr:row>
      <xdr:rowOff>73997</xdr:rowOff>
    </xdr:from>
    <xdr:to>
      <xdr:col>2</xdr:col>
      <xdr:colOff>187329</xdr:colOff>
      <xdr:row>15</xdr:row>
      <xdr:rowOff>323552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1156974" y="734157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291856</xdr:colOff>
      <xdr:row>15</xdr:row>
      <xdr:rowOff>69485</xdr:rowOff>
    </xdr:from>
    <xdr:to>
      <xdr:col>2</xdr:col>
      <xdr:colOff>546405</xdr:colOff>
      <xdr:row>15</xdr:row>
      <xdr:rowOff>323552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1511056" y="7337060"/>
          <a:ext cx="254549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6</xdr:row>
      <xdr:rowOff>19377</xdr:rowOff>
    </xdr:from>
    <xdr:to>
      <xdr:col>2</xdr:col>
      <xdr:colOff>205247</xdr:colOff>
      <xdr:row>6</xdr:row>
      <xdr:rowOff>354243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990999" y="3924627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179616</xdr:colOff>
      <xdr:row>9</xdr:row>
      <xdr:rowOff>47391</xdr:rowOff>
    </xdr:from>
    <xdr:to>
      <xdr:col>1</xdr:col>
      <xdr:colOff>342571</xdr:colOff>
      <xdr:row>9</xdr:row>
      <xdr:rowOff>208950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/>
      </xdr:nvSpPr>
      <xdr:spPr>
        <a:xfrm>
          <a:off x="789216" y="5095641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535665</xdr:colOff>
      <xdr:row>12</xdr:row>
      <xdr:rowOff>44055</xdr:rowOff>
    </xdr:from>
    <xdr:to>
      <xdr:col>2</xdr:col>
      <xdr:colOff>120601</xdr:colOff>
      <xdr:row>12</xdr:row>
      <xdr:rowOff>315651</xdr:rowOff>
    </xdr:to>
    <xdr:grpSp>
      <xdr:nvGrpSpPr>
        <xdr:cNvPr id="41" name="Группа 4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/>
      </xdr:nvGrpSpPr>
      <xdr:grpSpPr>
        <a:xfrm>
          <a:off x="1145265" y="6235305"/>
          <a:ext cx="194536" cy="271596"/>
          <a:chOff x="831586" y="6064374"/>
          <a:chExt cx="194536" cy="271596"/>
        </a:xfrm>
      </xdr:grpSpPr>
      <xdr:sp macro="" textlink="">
        <xdr:nvSpPr>
          <xdr:cNvPr id="42" name="Овал 41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3" name="Прямая со стрелкой 42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" name="Прямая со стрелкой 43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130098</xdr:colOff>
      <xdr:row>5</xdr:row>
      <xdr:rowOff>68906</xdr:rowOff>
    </xdr:from>
    <xdr:to>
      <xdr:col>2</xdr:col>
      <xdr:colOff>408879</xdr:colOff>
      <xdr:row>5</xdr:row>
      <xdr:rowOff>287661</xdr:rowOff>
    </xdr:to>
    <xdr:grpSp>
      <xdr:nvGrpSpPr>
        <xdr:cNvPr id="45" name="Группа 44"/>
        <xdr:cNvGrpSpPr/>
      </xdr:nvGrpSpPr>
      <xdr:grpSpPr>
        <a:xfrm>
          <a:off x="130098" y="3593156"/>
          <a:ext cx="1497981" cy="218755"/>
          <a:chOff x="130098" y="5621285"/>
          <a:chExt cx="1496122" cy="218755"/>
        </a:xfrm>
      </xdr:grpSpPr>
      <xdr:grpSp>
        <xdr:nvGrpSpPr>
          <xdr:cNvPr id="46" name="Группа 45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57" name="Овал 56">
              <a:extLst>
                <a:ext uri="{FF2B5EF4-FFF2-40B4-BE49-F238E27FC236}">
                  <a16:creationId xmlns:a16="http://schemas.microsoft.com/office/drawing/2014/main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58" name="Прямая со стрелкой 57">
              <a:extLst>
                <a:ext uri="{FF2B5EF4-FFF2-40B4-BE49-F238E27FC236}">
                  <a16:creationId xmlns:a16="http://schemas.microsoft.com/office/drawing/2014/main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47" name="Группа 46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51" name="Группа 50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55" name="Овал 54">
                <a:extLst>
                  <a:ext uri="{FF2B5EF4-FFF2-40B4-BE49-F238E27FC236}">
                    <a16:creationId xmlns:a16="http://schemas.microsoft.com/office/drawing/2014/main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56" name="Прямая со стрелкой 55">
                <a:extLst>
                  <a:ext uri="{FF2B5EF4-FFF2-40B4-BE49-F238E27FC236}">
                    <a16:creationId xmlns:a16="http://schemas.microsoft.com/office/drawing/2014/main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52" name="Группа 51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53" name="Овал 52">
                <a:extLst>
                  <a:ext uri="{FF2B5EF4-FFF2-40B4-BE49-F238E27FC236}">
                    <a16:creationId xmlns:a16="http://schemas.microsoft.com/office/drawing/2014/main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54" name="Прямая со стрелкой 53">
                <a:extLst>
                  <a:ext uri="{FF2B5EF4-FFF2-40B4-BE49-F238E27FC236}">
                    <a16:creationId xmlns:a16="http://schemas.microsoft.com/office/drawing/2014/main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48" name="Прямая со стрелкой 47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9" name="Прямая со стрелкой 48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0" name="Прямая со стрелкой 49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221754</xdr:colOff>
      <xdr:row>11</xdr:row>
      <xdr:rowOff>42612</xdr:rowOff>
    </xdr:from>
    <xdr:to>
      <xdr:col>1</xdr:col>
      <xdr:colOff>327087</xdr:colOff>
      <xdr:row>11</xdr:row>
      <xdr:rowOff>340269</xdr:rowOff>
    </xdr:to>
    <xdr:grpSp>
      <xdr:nvGrpSpPr>
        <xdr:cNvPr id="59" name="Группа 58"/>
        <xdr:cNvGrpSpPr/>
      </xdr:nvGrpSpPr>
      <xdr:grpSpPr>
        <a:xfrm>
          <a:off x="831354" y="5852862"/>
          <a:ext cx="105333" cy="297657"/>
          <a:chOff x="718673" y="6738687"/>
          <a:chExt cx="102554" cy="297657"/>
        </a:xfrm>
      </xdr:grpSpPr>
      <xdr:sp macro="" textlink="">
        <xdr:nvSpPr>
          <xdr:cNvPr id="60" name="Прямоугольник 59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1" name="Овал 60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2" name="Овал 61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3" name="Овал 62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13</xdr:row>
      <xdr:rowOff>45646</xdr:rowOff>
    </xdr:from>
    <xdr:to>
      <xdr:col>1</xdr:col>
      <xdr:colOff>17116</xdr:colOff>
      <xdr:row>13</xdr:row>
      <xdr:rowOff>325737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42900" y="6617896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13</xdr:row>
      <xdr:rowOff>59794</xdr:rowOff>
    </xdr:from>
    <xdr:to>
      <xdr:col>2</xdr:col>
      <xdr:colOff>439911</xdr:colOff>
      <xdr:row>13</xdr:row>
      <xdr:rowOff>315343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749774" y="6632044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12</xdr:row>
      <xdr:rowOff>69819</xdr:rowOff>
    </xdr:from>
    <xdr:to>
      <xdr:col>1</xdr:col>
      <xdr:colOff>100398</xdr:colOff>
      <xdr:row>12</xdr:row>
      <xdr:rowOff>294412</xdr:rowOff>
    </xdr:to>
    <xdr:grpSp>
      <xdr:nvGrpSpPr>
        <xdr:cNvPr id="66" name="Группа 65"/>
        <xdr:cNvGrpSpPr/>
      </xdr:nvGrpSpPr>
      <xdr:grpSpPr>
        <a:xfrm>
          <a:off x="492013" y="6261069"/>
          <a:ext cx="217985" cy="224593"/>
          <a:chOff x="432109" y="5929430"/>
          <a:chExt cx="216520" cy="224593"/>
        </a:xfrm>
      </xdr:grpSpPr>
      <xdr:sp macro="" textlink="">
        <xdr:nvSpPr>
          <xdr:cNvPr id="67" name="Равнобедренный треугольник 66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8" name="Прямоугольник 67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192881</xdr:colOff>
      <xdr:row>9</xdr:row>
      <xdr:rowOff>237120</xdr:rowOff>
    </xdr:from>
    <xdr:to>
      <xdr:col>1</xdr:col>
      <xdr:colOff>328614</xdr:colOff>
      <xdr:row>9</xdr:row>
      <xdr:rowOff>291150</xdr:rowOff>
    </xdr:to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802481" y="5285370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261522</xdr:colOff>
      <xdr:row>9</xdr:row>
      <xdr:rowOff>133135</xdr:rowOff>
    </xdr:from>
    <xdr:to>
      <xdr:col>1</xdr:col>
      <xdr:colOff>261522</xdr:colOff>
      <xdr:row>9</xdr:row>
      <xdr:rowOff>324654</xdr:rowOff>
    </xdr:to>
    <xdr:cxnSp macro="">
      <xdr:nvCxnSpPr>
        <xdr:cNvPr id="70" name="Прямая со стрелкой 6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CxnSpPr/>
      </xdr:nvCxnSpPr>
      <xdr:spPr>
        <a:xfrm flipV="1">
          <a:off x="871122" y="5181385"/>
          <a:ext cx="0" cy="191519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506741</xdr:colOff>
      <xdr:row>1</xdr:row>
      <xdr:rowOff>721540</xdr:rowOff>
    </xdr:from>
    <xdr:to>
      <xdr:col>0</xdr:col>
      <xdr:colOff>579984</xdr:colOff>
      <xdr:row>1</xdr:row>
      <xdr:rowOff>793540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506741" y="103586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237149</xdr:colOff>
      <xdr:row>1</xdr:row>
      <xdr:rowOff>477482</xdr:rowOff>
    </xdr:from>
    <xdr:to>
      <xdr:col>1</xdr:col>
      <xdr:colOff>237953</xdr:colOff>
      <xdr:row>1</xdr:row>
      <xdr:rowOff>477482</xdr:rowOff>
    </xdr:to>
    <xdr:cxnSp macro="">
      <xdr:nvCxnSpPr>
        <xdr:cNvPr id="72" name="Прямая со стрелкой 7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542351" y="486605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596354</xdr:colOff>
      <xdr:row>1</xdr:row>
      <xdr:rowOff>729823</xdr:rowOff>
    </xdr:from>
    <xdr:to>
      <xdr:col>2</xdr:col>
      <xdr:colOff>56684</xdr:colOff>
      <xdr:row>1</xdr:row>
      <xdr:rowOff>801823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205954" y="1044148"/>
          <a:ext cx="6993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59215</xdr:colOff>
      <xdr:row>1</xdr:row>
      <xdr:rowOff>134179</xdr:rowOff>
    </xdr:from>
    <xdr:to>
      <xdr:col>2</xdr:col>
      <xdr:colOff>223638</xdr:colOff>
      <xdr:row>1</xdr:row>
      <xdr:rowOff>445023</xdr:rowOff>
    </xdr:to>
    <xdr:sp macro="" textlink="">
      <xdr:nvSpPr>
        <xdr:cNvPr id="74" name="Полилиния 73"/>
        <xdr:cNvSpPr/>
      </xdr:nvSpPr>
      <xdr:spPr>
        <a:xfrm>
          <a:off x="1275484" y="449237"/>
          <a:ext cx="164423" cy="31084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12912"/>
            <a:gd name="connsiteY0" fmla="*/ 661147 h 661146"/>
            <a:gd name="connsiteX1" fmla="*/ 212912 w 212912"/>
            <a:gd name="connsiteY1" fmla="*/ 0 h 661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2912" h="661146">
              <a:moveTo>
                <a:pt x="0" y="661147"/>
              </a:moveTo>
              <a:cubicBezTo>
                <a:pt x="42956" y="437029"/>
                <a:pt x="127934" y="218514"/>
                <a:pt x="212912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523179</xdr:colOff>
      <xdr:row>1</xdr:row>
      <xdr:rowOff>327012</xdr:rowOff>
    </xdr:from>
    <xdr:to>
      <xdr:col>2</xdr:col>
      <xdr:colOff>37266</xdr:colOff>
      <xdr:row>1</xdr:row>
      <xdr:rowOff>455042</xdr:rowOff>
    </xdr:to>
    <xdr:grpSp>
      <xdr:nvGrpSpPr>
        <xdr:cNvPr id="75" name="Группа 74"/>
        <xdr:cNvGrpSpPr/>
      </xdr:nvGrpSpPr>
      <xdr:grpSpPr>
        <a:xfrm>
          <a:off x="1132779" y="641337"/>
          <a:ext cx="123687" cy="128030"/>
          <a:chOff x="1132242" y="1306343"/>
          <a:chExt cx="123151" cy="128030"/>
        </a:xfrm>
      </xdr:grpSpPr>
      <xdr:cxnSp macro="">
        <xdr:nvCxnSpPr>
          <xdr:cNvPr id="76" name="Прямая соединительная линия 7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" name="Прямоугольник 7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54932</xdr:colOff>
      <xdr:row>1</xdr:row>
      <xdr:rowOff>462829</xdr:rowOff>
    </xdr:from>
    <xdr:to>
      <xdr:col>2</xdr:col>
      <xdr:colOff>414137</xdr:colOff>
      <xdr:row>1</xdr:row>
      <xdr:rowOff>462829</xdr:rowOff>
    </xdr:to>
    <xdr:cxnSp macro="">
      <xdr:nvCxnSpPr>
        <xdr:cNvPr id="78" name="Прямая со стрелкой 7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271201" y="777887"/>
          <a:ext cx="359205" cy="0"/>
        </a:xfrm>
        <a:prstGeom prst="straightConnector1">
          <a:avLst/>
        </a:prstGeom>
        <a:ln w="38100">
          <a:prstDash val="sysDash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364434</xdr:colOff>
      <xdr:row>7</xdr:row>
      <xdr:rowOff>81613</xdr:rowOff>
    </xdr:from>
    <xdr:to>
      <xdr:col>2</xdr:col>
      <xdr:colOff>3521</xdr:colOff>
      <xdr:row>7</xdr:row>
      <xdr:rowOff>333613</xdr:rowOff>
    </xdr:to>
    <xdr:grpSp>
      <xdr:nvGrpSpPr>
        <xdr:cNvPr id="81" name="Группа 80"/>
        <xdr:cNvGrpSpPr>
          <a:grpSpLocks noChangeAspect="1"/>
        </xdr:cNvGrpSpPr>
      </xdr:nvGrpSpPr>
      <xdr:grpSpPr>
        <a:xfrm>
          <a:off x="974034" y="4367863"/>
          <a:ext cx="248687" cy="252000"/>
          <a:chOff x="2849880" y="7536180"/>
          <a:chExt cx="278130" cy="262890"/>
        </a:xfrm>
      </xdr:grpSpPr>
      <xdr:sp macro="" textlink="">
        <xdr:nvSpPr>
          <xdr:cNvPr id="82" name="Прямоугольник 8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83" name="Рисунок 8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596851</xdr:colOff>
      <xdr:row>7</xdr:row>
      <xdr:rowOff>71409</xdr:rowOff>
    </xdr:from>
    <xdr:to>
      <xdr:col>1</xdr:col>
      <xdr:colOff>235938</xdr:colOff>
      <xdr:row>7</xdr:row>
      <xdr:rowOff>323409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51" y="4357659"/>
          <a:ext cx="248687" cy="252000"/>
        </a:xfrm>
        <a:prstGeom prst="rect">
          <a:avLst/>
        </a:prstGeom>
      </xdr:spPr>
    </xdr:pic>
    <xdr:clientData/>
  </xdr:twoCellAnchor>
  <xdr:twoCellAnchor>
    <xdr:from>
      <xdr:col>1</xdr:col>
      <xdr:colOff>191574</xdr:colOff>
      <xdr:row>8</xdr:row>
      <xdr:rowOff>24849</xdr:rowOff>
    </xdr:from>
    <xdr:to>
      <xdr:col>1</xdr:col>
      <xdr:colOff>349876</xdr:colOff>
      <xdr:row>8</xdr:row>
      <xdr:rowOff>373855</xdr:rowOff>
    </xdr:to>
    <xdr:grpSp>
      <xdr:nvGrpSpPr>
        <xdr:cNvPr id="85" name="Группа 84"/>
        <xdr:cNvGrpSpPr/>
      </xdr:nvGrpSpPr>
      <xdr:grpSpPr>
        <a:xfrm>
          <a:off x="801174" y="4692099"/>
          <a:ext cx="158302" cy="349006"/>
          <a:chOff x="1258303" y="3880184"/>
          <a:chExt cx="158302" cy="349006"/>
        </a:xfrm>
      </xdr:grpSpPr>
      <xdr:cxnSp macro="">
        <xdr:nvCxnSpPr>
          <xdr:cNvPr id="86" name="Прямая со стрелкой 85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1334205" y="3880184"/>
            <a:ext cx="0" cy="349006"/>
          </a:xfrm>
          <a:prstGeom prst="straightConnector1">
            <a:avLst/>
          </a:prstGeom>
          <a:ln w="15875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grpSp>
        <xdr:nvGrpSpPr>
          <xdr:cNvPr id="87" name="Группа 86"/>
          <xdr:cNvGrpSpPr/>
        </xdr:nvGrpSpPr>
        <xdr:grpSpPr>
          <a:xfrm>
            <a:off x="1258303" y="4061376"/>
            <a:ext cx="158302" cy="149105"/>
            <a:chOff x="2849880" y="7536180"/>
            <a:chExt cx="278130" cy="262890"/>
          </a:xfrm>
        </xdr:grpSpPr>
        <xdr:sp macro="" textlink="">
          <xdr:nvSpPr>
            <xdr:cNvPr id="89" name="Прямоугольник 88"/>
            <xdr:cNvSpPr/>
          </xdr:nvSpPr>
          <xdr:spPr>
            <a:xfrm>
              <a:off x="2849880" y="7536180"/>
              <a:ext cx="278130" cy="262890"/>
            </a:xfrm>
            <a:prstGeom prst="rect">
              <a:avLst/>
            </a:prstGeom>
            <a:solidFill>
              <a:srgbClr val="FFFF0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pic>
          <xdr:nvPicPr>
            <xdr:cNvPr id="90" name="Рисунок 89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2875416" y="7562329"/>
              <a:ext cx="209672" cy="210592"/>
            </a:xfrm>
            <a:prstGeom prst="rect">
              <a:avLst/>
            </a:prstGeom>
          </xdr:spPr>
        </xdr:pic>
      </xdr:grpSp>
      <xdr:pic>
        <xdr:nvPicPr>
          <xdr:cNvPr id="88" name="Рисунок 8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7093" y="3893802"/>
            <a:ext cx="134155" cy="13415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107674</xdr:colOff>
      <xdr:row>17</xdr:row>
      <xdr:rowOff>82826</xdr:rowOff>
    </xdr:from>
    <xdr:to>
      <xdr:col>2</xdr:col>
      <xdr:colOff>214829</xdr:colOff>
      <xdr:row>17</xdr:row>
      <xdr:rowOff>320950</xdr:rowOff>
    </xdr:to>
    <xdr:cxnSp macro="">
      <xdr:nvCxnSpPr>
        <xdr:cNvPr id="91" name="Прямая со стрелкой 9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H="1">
          <a:off x="1326874" y="8493401"/>
          <a:ext cx="107155" cy="238124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248619</xdr:colOff>
      <xdr:row>3</xdr:row>
      <xdr:rowOff>257140</xdr:rowOff>
    </xdr:from>
    <xdr:to>
      <xdr:col>1</xdr:col>
      <xdr:colOff>449805</xdr:colOff>
      <xdr:row>3</xdr:row>
      <xdr:rowOff>437140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19" y="2457415"/>
          <a:ext cx="201186" cy="180000"/>
        </a:xfrm>
        <a:prstGeom prst="rect">
          <a:avLst/>
        </a:prstGeom>
      </xdr:spPr>
    </xdr:pic>
    <xdr:clientData/>
  </xdr:twoCellAnchor>
  <xdr:twoCellAnchor>
    <xdr:from>
      <xdr:col>0</xdr:col>
      <xdr:colOff>354624</xdr:colOff>
      <xdr:row>2</xdr:row>
      <xdr:rowOff>413250</xdr:rowOff>
    </xdr:from>
    <xdr:to>
      <xdr:col>1</xdr:col>
      <xdr:colOff>135285</xdr:colOff>
      <xdr:row>2</xdr:row>
      <xdr:rowOff>474048</xdr:rowOff>
    </xdr:to>
    <xdr:grpSp>
      <xdr:nvGrpSpPr>
        <xdr:cNvPr id="94" name="Группа 93"/>
        <xdr:cNvGrpSpPr/>
      </xdr:nvGrpSpPr>
      <xdr:grpSpPr>
        <a:xfrm>
          <a:off x="354624" y="1670550"/>
          <a:ext cx="390261" cy="60798"/>
          <a:chOff x="3505200" y="4066890"/>
          <a:chExt cx="388796" cy="60798"/>
        </a:xfrm>
      </xdr:grpSpPr>
      <xdr:cxnSp macro="">
        <xdr:nvCxnSpPr>
          <xdr:cNvPr id="95" name="Прямая соединительная линия 94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" name="Прямая соединительная линия 95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" name="Прямая соединительная линия 96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196049</xdr:colOff>
      <xdr:row>2</xdr:row>
      <xdr:rowOff>134179</xdr:rowOff>
    </xdr:from>
    <xdr:to>
      <xdr:col>2</xdr:col>
      <xdr:colOff>196049</xdr:colOff>
      <xdr:row>2</xdr:row>
      <xdr:rowOff>747896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415249" y="1391479"/>
          <a:ext cx="0" cy="613717"/>
        </a:xfrm>
        <a:prstGeom prst="straightConnector1">
          <a:avLst/>
        </a:prstGeom>
        <a:ln w="3810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162376</xdr:colOff>
      <xdr:row>2</xdr:row>
      <xdr:rowOff>706886</xdr:rowOff>
    </xdr:from>
    <xdr:to>
      <xdr:col>2</xdr:col>
      <xdr:colOff>235619</xdr:colOff>
      <xdr:row>2</xdr:row>
      <xdr:rowOff>778886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381576" y="196418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354624</xdr:colOff>
      <xdr:row>2</xdr:row>
      <xdr:rowOff>518827</xdr:rowOff>
    </xdr:from>
    <xdr:to>
      <xdr:col>1</xdr:col>
      <xdr:colOff>135285</xdr:colOff>
      <xdr:row>2</xdr:row>
      <xdr:rowOff>579625</xdr:rowOff>
    </xdr:to>
    <xdr:grpSp>
      <xdr:nvGrpSpPr>
        <xdr:cNvPr id="100" name="Группа 99"/>
        <xdr:cNvGrpSpPr/>
      </xdr:nvGrpSpPr>
      <xdr:grpSpPr>
        <a:xfrm flipV="1">
          <a:off x="354624" y="1776127"/>
          <a:ext cx="390261" cy="60798"/>
          <a:chOff x="3505200" y="4066890"/>
          <a:chExt cx="388796" cy="60798"/>
        </a:xfrm>
      </xdr:grpSpPr>
      <xdr:cxnSp macro="">
        <xdr:nvCxnSpPr>
          <xdr:cNvPr id="101" name="Прямая соединительная линия 100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Прямая соединительная линия 101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" name="Прямая соединительная линия 102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82742</xdr:colOff>
      <xdr:row>2</xdr:row>
      <xdr:rowOff>291132</xdr:rowOff>
    </xdr:from>
    <xdr:to>
      <xdr:col>2</xdr:col>
      <xdr:colOff>143540</xdr:colOff>
      <xdr:row>2</xdr:row>
      <xdr:rowOff>679928</xdr:rowOff>
    </xdr:to>
    <xdr:grpSp>
      <xdr:nvGrpSpPr>
        <xdr:cNvPr id="104" name="Группа 103"/>
        <xdr:cNvGrpSpPr/>
      </xdr:nvGrpSpPr>
      <xdr:grpSpPr>
        <a:xfrm rot="16200000">
          <a:off x="1137943" y="1712431"/>
          <a:ext cx="388796" cy="60798"/>
          <a:chOff x="3505200" y="4066890"/>
          <a:chExt cx="388796" cy="60798"/>
        </a:xfrm>
      </xdr:grpSpPr>
      <xdr:cxnSp macro="">
        <xdr:nvCxnSpPr>
          <xdr:cNvPr id="105" name="Прямая соединительная линия 104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" name="Прямая соединительная линия 105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" name="Прямая соединительная линия 106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258584</xdr:colOff>
      <xdr:row>2</xdr:row>
      <xdr:rowOff>291132</xdr:rowOff>
    </xdr:from>
    <xdr:to>
      <xdr:col>2</xdr:col>
      <xdr:colOff>319382</xdr:colOff>
      <xdr:row>2</xdr:row>
      <xdr:rowOff>679928</xdr:rowOff>
    </xdr:to>
    <xdr:grpSp>
      <xdr:nvGrpSpPr>
        <xdr:cNvPr id="108" name="Группа 107"/>
        <xdr:cNvGrpSpPr/>
      </xdr:nvGrpSpPr>
      <xdr:grpSpPr>
        <a:xfrm rot="5400000">
          <a:off x="1313785" y="1712431"/>
          <a:ext cx="388796" cy="60798"/>
          <a:chOff x="3505200" y="4066890"/>
          <a:chExt cx="388796" cy="60798"/>
        </a:xfrm>
      </xdr:grpSpPr>
      <xdr:cxnSp macro="">
        <xdr:nvCxnSpPr>
          <xdr:cNvPr id="109" name="Прямая соединительная линия 108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Прямая соединительная линия 109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Прямая соединительная линия 110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549140</xdr:colOff>
      <xdr:row>2</xdr:row>
      <xdr:rowOff>177202</xdr:rowOff>
    </xdr:from>
    <xdr:to>
      <xdr:col>0</xdr:col>
      <xdr:colOff>549140</xdr:colOff>
      <xdr:row>2</xdr:row>
      <xdr:rowOff>451675</xdr:rowOff>
    </xdr:to>
    <xdr:cxnSp macro="">
      <xdr:nvCxnSpPr>
        <xdr:cNvPr id="112" name="Прямая со стрелкой 1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9140" y="1434502"/>
          <a:ext cx="0" cy="274473"/>
        </a:xfrm>
        <a:prstGeom prst="straightConnector1">
          <a:avLst/>
        </a:prstGeom>
        <a:ln w="3810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512519</xdr:colOff>
      <xdr:row>2</xdr:row>
      <xdr:rowOff>706886</xdr:rowOff>
    </xdr:from>
    <xdr:to>
      <xdr:col>0</xdr:col>
      <xdr:colOff>585762</xdr:colOff>
      <xdr:row>2</xdr:row>
      <xdr:rowOff>778886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512519" y="1964186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549140</xdr:colOff>
      <xdr:row>2</xdr:row>
      <xdr:rowOff>549992</xdr:rowOff>
    </xdr:from>
    <xdr:to>
      <xdr:col>0</xdr:col>
      <xdr:colOff>549140</xdr:colOff>
      <xdr:row>2</xdr:row>
      <xdr:rowOff>754674</xdr:rowOff>
    </xdr:to>
    <xdr:cxnSp macro="">
      <xdr:nvCxnSpPr>
        <xdr:cNvPr id="114" name="Прямая со стрелкой 11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9140" y="1807292"/>
          <a:ext cx="0" cy="204682"/>
        </a:xfrm>
        <a:prstGeom prst="straightConnector1">
          <a:avLst/>
        </a:prstGeom>
        <a:ln w="3810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342624</xdr:colOff>
      <xdr:row>3</xdr:row>
      <xdr:rowOff>150508</xdr:rowOff>
    </xdr:from>
    <xdr:to>
      <xdr:col>0</xdr:col>
      <xdr:colOff>342624</xdr:colOff>
      <xdr:row>3</xdr:row>
      <xdr:rowOff>764225</xdr:rowOff>
    </xdr:to>
    <xdr:cxnSp macro="">
      <xdr:nvCxnSpPr>
        <xdr:cNvPr id="115" name="Прямая со стрелкой 11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42624" y="2350783"/>
          <a:ext cx="0" cy="613717"/>
        </a:xfrm>
        <a:prstGeom prst="straightConnector1">
          <a:avLst/>
        </a:prstGeom>
        <a:ln w="3810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305356</xdr:colOff>
      <xdr:row>3</xdr:row>
      <xdr:rowOff>737869</xdr:rowOff>
    </xdr:from>
    <xdr:to>
      <xdr:col>0</xdr:col>
      <xdr:colOff>378599</xdr:colOff>
      <xdr:row>3</xdr:row>
      <xdr:rowOff>809869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305356" y="293814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3</xdr:row>
      <xdr:rowOff>493811</xdr:rowOff>
    </xdr:from>
    <xdr:to>
      <xdr:col>1</xdr:col>
      <xdr:colOff>38904</xdr:colOff>
      <xdr:row>3</xdr:row>
      <xdr:rowOff>493811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343302" y="2388884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476804</xdr:colOff>
      <xdr:row>3</xdr:row>
      <xdr:rowOff>150508</xdr:rowOff>
    </xdr:from>
    <xdr:to>
      <xdr:col>1</xdr:col>
      <xdr:colOff>476804</xdr:colOff>
      <xdr:row>3</xdr:row>
      <xdr:rowOff>764225</xdr:rowOff>
    </xdr:to>
    <xdr:cxnSp macro="">
      <xdr:nvCxnSpPr>
        <xdr:cNvPr id="121" name="Прямая со стрелкой 12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86404" y="2350783"/>
          <a:ext cx="0" cy="613717"/>
        </a:xfrm>
        <a:prstGeom prst="straightConnector1">
          <a:avLst/>
        </a:prstGeom>
        <a:ln w="3810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439537</xdr:colOff>
      <xdr:row>3</xdr:row>
      <xdr:rowOff>737869</xdr:rowOff>
    </xdr:from>
    <xdr:to>
      <xdr:col>1</xdr:col>
      <xdr:colOff>512780</xdr:colOff>
      <xdr:row>3</xdr:row>
      <xdr:rowOff>809869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049137" y="293814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172281</xdr:colOff>
      <xdr:row>3</xdr:row>
      <xdr:rowOff>493811</xdr:rowOff>
    </xdr:from>
    <xdr:to>
      <xdr:col>1</xdr:col>
      <xdr:colOff>480397</xdr:colOff>
      <xdr:row>3</xdr:row>
      <xdr:rowOff>493811</xdr:rowOff>
    </xdr:to>
    <xdr:cxnSp macro="">
      <xdr:nvCxnSpPr>
        <xdr:cNvPr id="123" name="Прямая со стрелкой 12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781881" y="2694086"/>
          <a:ext cx="308116" cy="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541986</xdr:colOff>
      <xdr:row>1</xdr:row>
      <xdr:rowOff>142204</xdr:rowOff>
    </xdr:from>
    <xdr:to>
      <xdr:col>0</xdr:col>
      <xdr:colOff>541986</xdr:colOff>
      <xdr:row>1</xdr:row>
      <xdr:rowOff>755921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1986" y="456529"/>
          <a:ext cx="0" cy="613717"/>
        </a:xfrm>
        <a:prstGeom prst="straightConnector1">
          <a:avLst/>
        </a:prstGeom>
        <a:ln w="3810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3</xdr:row>
      <xdr:rowOff>339969</xdr:rowOff>
    </xdr:from>
    <xdr:to>
      <xdr:col>2</xdr:col>
      <xdr:colOff>433950</xdr:colOff>
      <xdr:row>3</xdr:row>
      <xdr:rowOff>411969</xdr:rowOff>
    </xdr:to>
    <xdr:sp macro="" textlink="">
      <xdr:nvSpPr>
        <xdr:cNvPr id="128" name="Овал 127"/>
        <xdr:cNvSpPr/>
      </xdr:nvSpPr>
      <xdr:spPr>
        <a:xfrm>
          <a:off x="1578219" y="2545373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295275</xdr:colOff>
      <xdr:row>3</xdr:row>
      <xdr:rowOff>549519</xdr:rowOff>
    </xdr:from>
    <xdr:to>
      <xdr:col>2</xdr:col>
      <xdr:colOff>367275</xdr:colOff>
      <xdr:row>3</xdr:row>
      <xdr:rowOff>621519</xdr:rowOff>
    </xdr:to>
    <xdr:sp macro="" textlink="">
      <xdr:nvSpPr>
        <xdr:cNvPr id="129" name="Овал 128"/>
        <xdr:cNvSpPr/>
      </xdr:nvSpPr>
      <xdr:spPr>
        <a:xfrm>
          <a:off x="1514475" y="2749794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209550</xdr:colOff>
      <xdr:row>3</xdr:row>
      <xdr:rowOff>361950</xdr:rowOff>
    </xdr:from>
    <xdr:to>
      <xdr:col>0</xdr:col>
      <xdr:colOff>281550</xdr:colOff>
      <xdr:row>3</xdr:row>
      <xdr:rowOff>433950</xdr:rowOff>
    </xdr:to>
    <xdr:sp macro="" textlink="">
      <xdr:nvSpPr>
        <xdr:cNvPr id="130" name="Овал 129"/>
        <xdr:cNvSpPr/>
      </xdr:nvSpPr>
      <xdr:spPr>
        <a:xfrm>
          <a:off x="209550" y="2562225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20203</xdr:colOff>
      <xdr:row>1</xdr:row>
      <xdr:rowOff>451617</xdr:rowOff>
    </xdr:from>
    <xdr:to>
      <xdr:col>2</xdr:col>
      <xdr:colOff>54818</xdr:colOff>
      <xdr:row>1</xdr:row>
      <xdr:rowOff>772999</xdr:rowOff>
    </xdr:to>
    <xdr:sp macro="" textlink="">
      <xdr:nvSpPr>
        <xdr:cNvPr id="131" name="Полилиния 130"/>
        <xdr:cNvSpPr/>
      </xdr:nvSpPr>
      <xdr:spPr>
        <a:xfrm>
          <a:off x="1236472" y="766675"/>
          <a:ext cx="34615" cy="32138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44823"/>
            <a:gd name="connsiteY0" fmla="*/ 683560 h 683560"/>
            <a:gd name="connsiteX1" fmla="*/ 44823 w 44823"/>
            <a:gd name="connsiteY1" fmla="*/ 1 h 683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4823" h="683560">
              <a:moveTo>
                <a:pt x="0" y="683560"/>
              </a:moveTo>
              <a:cubicBezTo>
                <a:pt x="933" y="453839"/>
                <a:pt x="1867" y="224119"/>
                <a:pt x="44823" y="1"/>
              </a:cubicBezTo>
            </a:path>
          </a:pathLst>
        </a:custGeom>
        <a:noFill/>
        <a:ln w="3810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171393</xdr:colOff>
      <xdr:row>3</xdr:row>
      <xdr:rowOff>751804</xdr:rowOff>
    </xdr:from>
    <xdr:to>
      <xdr:col>2</xdr:col>
      <xdr:colOff>239857</xdr:colOff>
      <xdr:row>3</xdr:row>
      <xdr:rowOff>823804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387662" y="2957208"/>
          <a:ext cx="68464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242388</xdr:colOff>
      <xdr:row>3</xdr:row>
      <xdr:rowOff>156160</xdr:rowOff>
    </xdr:from>
    <xdr:to>
      <xdr:col>2</xdr:col>
      <xdr:colOff>406811</xdr:colOff>
      <xdr:row>3</xdr:row>
      <xdr:rowOff>467004</xdr:rowOff>
    </xdr:to>
    <xdr:sp macro="" textlink="">
      <xdr:nvSpPr>
        <xdr:cNvPr id="133" name="Полилиния 132"/>
        <xdr:cNvSpPr/>
      </xdr:nvSpPr>
      <xdr:spPr>
        <a:xfrm>
          <a:off x="1458657" y="2361564"/>
          <a:ext cx="164423" cy="31084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12912"/>
            <a:gd name="connsiteY0" fmla="*/ 661147 h 661146"/>
            <a:gd name="connsiteX1" fmla="*/ 212912 w 212912"/>
            <a:gd name="connsiteY1" fmla="*/ 0 h 661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2912" h="661146">
              <a:moveTo>
                <a:pt x="0" y="661147"/>
              </a:moveTo>
              <a:cubicBezTo>
                <a:pt x="42956" y="437029"/>
                <a:pt x="127934" y="218514"/>
                <a:pt x="212912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98218</xdr:colOff>
      <xdr:row>3</xdr:row>
      <xdr:rowOff>348993</xdr:rowOff>
    </xdr:from>
    <xdr:to>
      <xdr:col>2</xdr:col>
      <xdr:colOff>220439</xdr:colOff>
      <xdr:row>3</xdr:row>
      <xdr:rowOff>477023</xdr:rowOff>
    </xdr:to>
    <xdr:grpSp>
      <xdr:nvGrpSpPr>
        <xdr:cNvPr id="134" name="Группа 133"/>
        <xdr:cNvGrpSpPr/>
      </xdr:nvGrpSpPr>
      <xdr:grpSpPr>
        <a:xfrm>
          <a:off x="1317418" y="2549268"/>
          <a:ext cx="122221" cy="128030"/>
          <a:chOff x="1132242" y="1306343"/>
          <a:chExt cx="123151" cy="128030"/>
        </a:xfrm>
      </xdr:grpSpPr>
      <xdr:cxnSp macro="">
        <xdr:nvCxnSpPr>
          <xdr:cNvPr id="135" name="Прямая соединительная линия 13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6" name="Прямоугольник 13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238105</xdr:colOff>
      <xdr:row>3</xdr:row>
      <xdr:rowOff>484810</xdr:rowOff>
    </xdr:from>
    <xdr:to>
      <xdr:col>2</xdr:col>
      <xdr:colOff>597310</xdr:colOff>
      <xdr:row>3</xdr:row>
      <xdr:rowOff>484810</xdr:rowOff>
    </xdr:to>
    <xdr:cxnSp macro="">
      <xdr:nvCxnSpPr>
        <xdr:cNvPr id="137" name="Прямая со стрелкой 1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454374" y="2690214"/>
          <a:ext cx="359205" cy="0"/>
        </a:xfrm>
        <a:prstGeom prst="straightConnector1">
          <a:avLst/>
        </a:prstGeom>
        <a:ln w="38100">
          <a:prstDash val="sysDash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203376</xdr:colOff>
      <xdr:row>3</xdr:row>
      <xdr:rowOff>473598</xdr:rowOff>
    </xdr:from>
    <xdr:to>
      <xdr:col>2</xdr:col>
      <xdr:colOff>237991</xdr:colOff>
      <xdr:row>3</xdr:row>
      <xdr:rowOff>794980</xdr:rowOff>
    </xdr:to>
    <xdr:sp macro="" textlink="">
      <xdr:nvSpPr>
        <xdr:cNvPr id="138" name="Полилиния 137"/>
        <xdr:cNvSpPr/>
      </xdr:nvSpPr>
      <xdr:spPr>
        <a:xfrm>
          <a:off x="1419645" y="2679002"/>
          <a:ext cx="34615" cy="321382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44823"/>
            <a:gd name="connsiteY0" fmla="*/ 683560 h 683560"/>
            <a:gd name="connsiteX1" fmla="*/ 44823 w 44823"/>
            <a:gd name="connsiteY1" fmla="*/ 1 h 6835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4823" h="683560">
              <a:moveTo>
                <a:pt x="0" y="683560"/>
              </a:moveTo>
              <a:cubicBezTo>
                <a:pt x="933" y="453839"/>
                <a:pt x="1867" y="224119"/>
                <a:pt x="44823" y="1"/>
              </a:cubicBezTo>
            </a:path>
          </a:pathLst>
        </a:custGeom>
        <a:noFill/>
        <a:ln w="3810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14</xdr:row>
      <xdr:rowOff>9525</xdr:rowOff>
    </xdr:from>
    <xdr:to>
      <xdr:col>3</xdr:col>
      <xdr:colOff>209550</xdr:colOff>
      <xdr:row>14</xdr:row>
      <xdr:rowOff>619125</xdr:rowOff>
    </xdr:to>
    <xdr:sp macro="" textlink="">
      <xdr:nvSpPr>
        <xdr:cNvPr id="10" name="Прямоугольник 9"/>
        <xdr:cNvSpPr/>
      </xdr:nvSpPr>
      <xdr:spPr>
        <a:xfrm>
          <a:off x="1809750" y="3438525"/>
          <a:ext cx="409575" cy="609600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376831</xdr:colOff>
      <xdr:row>21</xdr:row>
      <xdr:rowOff>391481</xdr:rowOff>
    </xdr:from>
    <xdr:to>
      <xdr:col>4</xdr:col>
      <xdr:colOff>376831</xdr:colOff>
      <xdr:row>22</xdr:row>
      <xdr:rowOff>529827</xdr:rowOff>
    </xdr:to>
    <xdr:cxnSp macro="">
      <xdr:nvCxnSpPr>
        <xdr:cNvPr id="579" name="Прямая соединительная линия 578"/>
        <xdr:cNvCxnSpPr/>
      </xdr:nvCxnSpPr>
      <xdr:spPr>
        <a:xfrm flipV="1">
          <a:off x="2967631" y="11469056"/>
          <a:ext cx="0" cy="833671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238124</xdr:colOff>
      <xdr:row>79</xdr:row>
      <xdr:rowOff>480563</xdr:rowOff>
    </xdr:from>
    <xdr:to>
      <xdr:col>4</xdr:col>
      <xdr:colOff>1131094</xdr:colOff>
      <xdr:row>79</xdr:row>
      <xdr:rowOff>480563</xdr:rowOff>
    </xdr:to>
    <xdr:cxnSp macro="">
      <xdr:nvCxnSpPr>
        <xdr:cNvPr id="578" name="Прямая соединительная линия 577"/>
        <xdr:cNvCxnSpPr/>
      </xdr:nvCxnSpPr>
      <xdr:spPr>
        <a:xfrm flipH="1">
          <a:off x="2831855" y="61682351"/>
          <a:ext cx="892970" cy="0"/>
        </a:xfrm>
        <a:prstGeom prst="line">
          <a:avLst/>
        </a:prstGeom>
        <a:ln w="508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238124</xdr:colOff>
      <xdr:row>80</xdr:row>
      <xdr:rowOff>62928</xdr:rowOff>
    </xdr:from>
    <xdr:to>
      <xdr:col>4</xdr:col>
      <xdr:colOff>1131094</xdr:colOff>
      <xdr:row>80</xdr:row>
      <xdr:rowOff>62928</xdr:rowOff>
    </xdr:to>
    <xdr:cxnSp macro="">
      <xdr:nvCxnSpPr>
        <xdr:cNvPr id="576" name="Прямая соединительная линия 575"/>
        <xdr:cNvCxnSpPr/>
      </xdr:nvCxnSpPr>
      <xdr:spPr>
        <a:xfrm flipH="1">
          <a:off x="2831855" y="61960774"/>
          <a:ext cx="892970" cy="0"/>
        </a:xfrm>
        <a:prstGeom prst="line">
          <a:avLst/>
        </a:prstGeom>
        <a:ln w="508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1126332</xdr:colOff>
      <xdr:row>79</xdr:row>
      <xdr:rowOff>185738</xdr:rowOff>
    </xdr:from>
    <xdr:to>
      <xdr:col>4</xdr:col>
      <xdr:colOff>1126332</xdr:colOff>
      <xdr:row>80</xdr:row>
      <xdr:rowOff>455066</xdr:rowOff>
    </xdr:to>
    <xdr:cxnSp macro="">
      <xdr:nvCxnSpPr>
        <xdr:cNvPr id="577" name="Прямая соединительная линия 576"/>
        <xdr:cNvCxnSpPr/>
      </xdr:nvCxnSpPr>
      <xdr:spPr>
        <a:xfrm flipV="1">
          <a:off x="3721895" y="60895707"/>
          <a:ext cx="0" cy="959890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11</xdr:row>
      <xdr:rowOff>95250</xdr:rowOff>
    </xdr:from>
    <xdr:to>
      <xdr:col>3</xdr:col>
      <xdr:colOff>1</xdr:colOff>
      <xdr:row>12</xdr:row>
      <xdr:rowOff>583748</xdr:rowOff>
    </xdr:to>
    <xdr:cxnSp macro="">
      <xdr:nvCxnSpPr>
        <xdr:cNvPr id="18" name="Прямая соединительная линия 17"/>
        <xdr:cNvCxnSpPr/>
      </xdr:nvCxnSpPr>
      <xdr:spPr>
        <a:xfrm flipV="1">
          <a:off x="2009776" y="2828925"/>
          <a:ext cx="0" cy="1183823"/>
        </a:xfrm>
        <a:prstGeom prst="line">
          <a:avLst/>
        </a:prstGeom>
        <a:ln w="50800">
          <a:solidFill>
            <a:schemeClr val="tx1"/>
          </a:solidFill>
          <a:prstDash val="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12</xdr:row>
      <xdr:rowOff>519793</xdr:rowOff>
    </xdr:from>
    <xdr:to>
      <xdr:col>3</xdr:col>
      <xdr:colOff>54932</xdr:colOff>
      <xdr:row>12</xdr:row>
      <xdr:rowOff>627793</xdr:rowOff>
    </xdr:to>
    <xdr:sp macro="" textlink="">
      <xdr:nvSpPr>
        <xdr:cNvPr id="19" name="Овал 18"/>
        <xdr:cNvSpPr/>
      </xdr:nvSpPr>
      <xdr:spPr>
        <a:xfrm>
          <a:off x="1956707" y="39487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137432</xdr:colOff>
      <xdr:row>11</xdr:row>
      <xdr:rowOff>643618</xdr:rowOff>
    </xdr:from>
    <xdr:to>
      <xdr:col>3</xdr:col>
      <xdr:colOff>281432</xdr:colOff>
      <xdr:row>12</xdr:row>
      <xdr:rowOff>92293</xdr:rowOff>
    </xdr:to>
    <xdr:sp macro="" textlink="">
      <xdr:nvSpPr>
        <xdr:cNvPr id="22" name="Овал 21"/>
        <xdr:cNvSpPr/>
      </xdr:nvSpPr>
      <xdr:spPr>
        <a:xfrm>
          <a:off x="2147207" y="337729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501657</xdr:colOff>
      <xdr:row>19</xdr:row>
      <xdr:rowOff>29766</xdr:rowOff>
    </xdr:from>
    <xdr:to>
      <xdr:col>3</xdr:col>
      <xdr:colOff>145664</xdr:colOff>
      <xdr:row>20</xdr:row>
      <xdr:rowOff>625078</xdr:rowOff>
    </xdr:to>
    <xdr:sp macro="" textlink="">
      <xdr:nvSpPr>
        <xdr:cNvPr id="97" name="Полилиния 96"/>
        <xdr:cNvSpPr/>
      </xdr:nvSpPr>
      <xdr:spPr>
        <a:xfrm>
          <a:off x="1930407" y="11138297"/>
          <a:ext cx="227413" cy="1291828"/>
        </a:xfrm>
        <a:custGeom>
          <a:avLst/>
          <a:gdLst>
            <a:gd name="connsiteX0" fmla="*/ 224166 w 224166"/>
            <a:gd name="connsiteY0" fmla="*/ 1150327 h 1150327"/>
            <a:gd name="connsiteX1" fmla="*/ 158223 w 224166"/>
            <a:gd name="connsiteY1" fmla="*/ 725365 h 1150327"/>
            <a:gd name="connsiteX2" fmla="*/ 19012 w 224166"/>
            <a:gd name="connsiteY2" fmla="*/ 439615 h 1150327"/>
            <a:gd name="connsiteX3" fmla="*/ 4358 w 224166"/>
            <a:gd name="connsiteY3" fmla="*/ 0 h 11503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4166" h="1150327">
              <a:moveTo>
                <a:pt x="224166" y="1150327"/>
              </a:moveTo>
              <a:cubicBezTo>
                <a:pt x="208290" y="997072"/>
                <a:pt x="192415" y="843817"/>
                <a:pt x="158223" y="725365"/>
              </a:cubicBezTo>
              <a:cubicBezTo>
                <a:pt x="124031" y="606913"/>
                <a:pt x="44656" y="560509"/>
                <a:pt x="19012" y="439615"/>
              </a:cubicBezTo>
              <a:cubicBezTo>
                <a:pt x="-6632" y="318721"/>
                <a:pt x="-527" y="70827"/>
                <a:pt x="4358" y="0"/>
              </a:cubicBez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73060</xdr:colOff>
      <xdr:row>20</xdr:row>
      <xdr:rowOff>103910</xdr:rowOff>
    </xdr:from>
    <xdr:to>
      <xdr:col>3</xdr:col>
      <xdr:colOff>527662</xdr:colOff>
      <xdr:row>20</xdr:row>
      <xdr:rowOff>103910</xdr:rowOff>
    </xdr:to>
    <xdr:cxnSp macro="">
      <xdr:nvCxnSpPr>
        <xdr:cNvPr id="106" name="Прямая соединительная линия 105"/>
        <xdr:cNvCxnSpPr/>
      </xdr:nvCxnSpPr>
      <xdr:spPr>
        <a:xfrm flipH="1">
          <a:off x="2085216" y="11908957"/>
          <a:ext cx="45460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60072</xdr:colOff>
      <xdr:row>20</xdr:row>
      <xdr:rowOff>21649</xdr:rowOff>
    </xdr:from>
    <xdr:to>
      <xdr:col>3</xdr:col>
      <xdr:colOff>9200</xdr:colOff>
      <xdr:row>20</xdr:row>
      <xdr:rowOff>21649</xdr:rowOff>
    </xdr:to>
    <xdr:cxnSp macro="">
      <xdr:nvCxnSpPr>
        <xdr:cNvPr id="107" name="Прямая соединительная линия 106"/>
        <xdr:cNvCxnSpPr/>
      </xdr:nvCxnSpPr>
      <xdr:spPr>
        <a:xfrm flipH="1">
          <a:off x="1488822" y="11826696"/>
          <a:ext cx="532534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60071</xdr:colOff>
      <xdr:row>19</xdr:row>
      <xdr:rowOff>545522</xdr:rowOff>
    </xdr:from>
    <xdr:to>
      <xdr:col>2</xdr:col>
      <xdr:colOff>514673</xdr:colOff>
      <xdr:row>19</xdr:row>
      <xdr:rowOff>545522</xdr:rowOff>
    </xdr:to>
    <xdr:cxnSp macro="">
      <xdr:nvCxnSpPr>
        <xdr:cNvPr id="108" name="Прямая соединительная линия 107"/>
        <xdr:cNvCxnSpPr/>
      </xdr:nvCxnSpPr>
      <xdr:spPr>
        <a:xfrm flipH="1">
          <a:off x="1488821" y="11654053"/>
          <a:ext cx="45460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85044</xdr:colOff>
      <xdr:row>20</xdr:row>
      <xdr:rowOff>535638</xdr:rowOff>
    </xdr:from>
    <xdr:to>
      <xdr:col>3</xdr:col>
      <xdr:colOff>195425</xdr:colOff>
      <xdr:row>20</xdr:row>
      <xdr:rowOff>643638</xdr:rowOff>
    </xdr:to>
    <xdr:sp macro="" textlink="">
      <xdr:nvSpPr>
        <xdr:cNvPr id="110" name="Овал 109"/>
        <xdr:cNvSpPr/>
      </xdr:nvSpPr>
      <xdr:spPr>
        <a:xfrm>
          <a:off x="2097200" y="12340685"/>
          <a:ext cx="1103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128246</xdr:colOff>
      <xdr:row>19</xdr:row>
      <xdr:rowOff>385052</xdr:rowOff>
    </xdr:from>
    <xdr:to>
      <xdr:col>4</xdr:col>
      <xdr:colOff>590550</xdr:colOff>
      <xdr:row>20</xdr:row>
      <xdr:rowOff>343817</xdr:rowOff>
    </xdr:to>
    <xdr:grpSp>
      <xdr:nvGrpSpPr>
        <xdr:cNvPr id="111" name="Группа 110"/>
        <xdr:cNvGrpSpPr/>
      </xdr:nvGrpSpPr>
      <xdr:grpSpPr>
        <a:xfrm flipH="1">
          <a:off x="2725973" y="7329643"/>
          <a:ext cx="462304" cy="651492"/>
          <a:chOff x="2614271" y="8502585"/>
          <a:chExt cx="716548" cy="1013807"/>
        </a:xfrm>
      </xdr:grpSpPr>
      <xdr:grpSp>
        <xdr:nvGrpSpPr>
          <xdr:cNvPr id="112" name="Группа 111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117" name="Прямоугольник 116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8" name="Овал 117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9" name="Овал 118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0" name="Овал 119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113" name="Группа 112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114" name="Прямоугольник 113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5" name="Стрелка вправо 114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6" name="Овал 115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180661</xdr:colOff>
      <xdr:row>20</xdr:row>
      <xdr:rowOff>217416</xdr:rowOff>
    </xdr:from>
    <xdr:to>
      <xdr:col>3</xdr:col>
      <xdr:colOff>324661</xdr:colOff>
      <xdr:row>20</xdr:row>
      <xdr:rowOff>361830</xdr:rowOff>
    </xdr:to>
    <xdr:sp macro="" textlink="">
      <xdr:nvSpPr>
        <xdr:cNvPr id="122" name="Овал 121"/>
        <xdr:cNvSpPr/>
      </xdr:nvSpPr>
      <xdr:spPr>
        <a:xfrm>
          <a:off x="2190436" y="11990316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315071</xdr:colOff>
      <xdr:row>21</xdr:row>
      <xdr:rowOff>198905</xdr:rowOff>
    </xdr:from>
    <xdr:to>
      <xdr:col>3</xdr:col>
      <xdr:colOff>273031</xdr:colOff>
      <xdr:row>22</xdr:row>
      <xdr:rowOff>533655</xdr:rowOff>
    </xdr:to>
    <xdr:cxnSp macro="">
      <xdr:nvCxnSpPr>
        <xdr:cNvPr id="125" name="Прямая соединительная линия 124"/>
        <xdr:cNvCxnSpPr/>
      </xdr:nvCxnSpPr>
      <xdr:spPr>
        <a:xfrm rot="17637267">
          <a:off x="1504999" y="11548359"/>
          <a:ext cx="1029515" cy="54066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525026</xdr:colOff>
      <xdr:row>22</xdr:row>
      <xdr:rowOff>517024</xdr:rowOff>
    </xdr:from>
    <xdr:to>
      <xdr:col>3</xdr:col>
      <xdr:colOff>52001</xdr:colOff>
      <xdr:row>22</xdr:row>
      <xdr:rowOff>625024</xdr:rowOff>
    </xdr:to>
    <xdr:sp macro="" textlink="">
      <xdr:nvSpPr>
        <xdr:cNvPr id="127" name="Овал 126"/>
        <xdr:cNvSpPr/>
      </xdr:nvSpPr>
      <xdr:spPr>
        <a:xfrm>
          <a:off x="1961103" y="12298716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104461</xdr:colOff>
      <xdr:row>22</xdr:row>
      <xdr:rowOff>93591</xdr:rowOff>
    </xdr:from>
    <xdr:to>
      <xdr:col>3</xdr:col>
      <xdr:colOff>248461</xdr:colOff>
      <xdr:row>22</xdr:row>
      <xdr:rowOff>238005</xdr:rowOff>
    </xdr:to>
    <xdr:sp macro="" textlink="">
      <xdr:nvSpPr>
        <xdr:cNvPr id="129" name="Овал 128"/>
        <xdr:cNvSpPr/>
      </xdr:nvSpPr>
      <xdr:spPr>
        <a:xfrm>
          <a:off x="2114236" y="1325714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189631</xdr:colOff>
      <xdr:row>21</xdr:row>
      <xdr:rowOff>294735</xdr:rowOff>
    </xdr:from>
    <xdr:to>
      <xdr:col>4</xdr:col>
      <xdr:colOff>564031</xdr:colOff>
      <xdr:row>21</xdr:row>
      <xdr:rowOff>627157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0431" y="11372310"/>
          <a:ext cx="374400" cy="332422"/>
        </a:xfrm>
        <a:prstGeom prst="rect">
          <a:avLst/>
        </a:prstGeom>
      </xdr:spPr>
    </xdr:pic>
    <xdr:clientData/>
  </xdr:twoCellAnchor>
  <xdr:twoCellAnchor>
    <xdr:from>
      <xdr:col>2</xdr:col>
      <xdr:colOff>314655</xdr:colOff>
      <xdr:row>23</xdr:row>
      <xdr:rowOff>78828</xdr:rowOff>
    </xdr:from>
    <xdr:to>
      <xdr:col>2</xdr:col>
      <xdr:colOff>314655</xdr:colOff>
      <xdr:row>24</xdr:row>
      <xdr:rowOff>561929</xdr:rowOff>
    </xdr:to>
    <xdr:cxnSp macro="">
      <xdr:nvCxnSpPr>
        <xdr:cNvPr id="132" name="Прямая соединительная линия 131"/>
        <xdr:cNvCxnSpPr/>
      </xdr:nvCxnSpPr>
      <xdr:spPr>
        <a:xfrm flipV="1">
          <a:off x="1746689" y="13932776"/>
          <a:ext cx="0" cy="117941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319337</xdr:colOff>
      <xdr:row>23</xdr:row>
      <xdr:rowOff>319641</xdr:rowOff>
    </xdr:from>
    <xdr:to>
      <xdr:col>3</xdr:col>
      <xdr:colOff>409687</xdr:colOff>
      <xdr:row>24</xdr:row>
      <xdr:rowOff>303636</xdr:rowOff>
    </xdr:to>
    <xdr:cxnSp macro="">
      <xdr:nvCxnSpPr>
        <xdr:cNvPr id="134" name="Прямая соединительная линия 133"/>
        <xdr:cNvCxnSpPr/>
      </xdr:nvCxnSpPr>
      <xdr:spPr>
        <a:xfrm flipV="1">
          <a:off x="1748087" y="7246914"/>
          <a:ext cx="670509" cy="68105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264542</xdr:colOff>
      <xdr:row>24</xdr:row>
      <xdr:rowOff>488449</xdr:rowOff>
    </xdr:from>
    <xdr:to>
      <xdr:col>2</xdr:col>
      <xdr:colOff>369586</xdr:colOff>
      <xdr:row>24</xdr:row>
      <xdr:rowOff>596449</xdr:rowOff>
    </xdr:to>
    <xdr:sp macro="" textlink="">
      <xdr:nvSpPr>
        <xdr:cNvPr id="136" name="Овал 135"/>
        <xdr:cNvSpPr/>
      </xdr:nvSpPr>
      <xdr:spPr>
        <a:xfrm>
          <a:off x="1696576" y="15038708"/>
          <a:ext cx="10504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508453</xdr:colOff>
      <xdr:row>23</xdr:row>
      <xdr:rowOff>290090</xdr:rowOff>
    </xdr:from>
    <xdr:to>
      <xdr:col>3</xdr:col>
      <xdr:colOff>70927</xdr:colOff>
      <xdr:row>23</xdr:row>
      <xdr:rowOff>435022</xdr:rowOff>
    </xdr:to>
    <xdr:sp macro="" textlink="">
      <xdr:nvSpPr>
        <xdr:cNvPr id="137" name="Овал 136"/>
        <xdr:cNvSpPr/>
      </xdr:nvSpPr>
      <xdr:spPr>
        <a:xfrm>
          <a:off x="1942216" y="14186564"/>
          <a:ext cx="144000" cy="144932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86225</xdr:colOff>
      <xdr:row>23</xdr:row>
      <xdr:rowOff>183641</xdr:rowOff>
    </xdr:from>
    <xdr:to>
      <xdr:col>4</xdr:col>
      <xdr:colOff>1091738</xdr:colOff>
      <xdr:row>24</xdr:row>
      <xdr:rowOff>566484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041" y="14080115"/>
          <a:ext cx="1005513" cy="107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517087</xdr:colOff>
      <xdr:row>28</xdr:row>
      <xdr:rowOff>518679</xdr:rowOff>
    </xdr:from>
    <xdr:to>
      <xdr:col>3</xdr:col>
      <xdr:colOff>44062</xdr:colOff>
      <xdr:row>28</xdr:row>
      <xdr:rowOff>626679</xdr:rowOff>
    </xdr:to>
    <xdr:sp macro="" textlink="">
      <xdr:nvSpPr>
        <xdr:cNvPr id="145" name="Овал 144"/>
        <xdr:cNvSpPr/>
      </xdr:nvSpPr>
      <xdr:spPr>
        <a:xfrm>
          <a:off x="1941696" y="16446136"/>
          <a:ext cx="10675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118279</xdr:colOff>
      <xdr:row>28</xdr:row>
      <xdr:rowOff>80529</xdr:rowOff>
    </xdr:from>
    <xdr:to>
      <xdr:col>3</xdr:col>
      <xdr:colOff>262279</xdr:colOff>
      <xdr:row>28</xdr:row>
      <xdr:rowOff>224943</xdr:rowOff>
    </xdr:to>
    <xdr:sp macro="" textlink="">
      <xdr:nvSpPr>
        <xdr:cNvPr id="148" name="Овал 147"/>
        <xdr:cNvSpPr/>
      </xdr:nvSpPr>
      <xdr:spPr>
        <a:xfrm>
          <a:off x="2122670" y="16007986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572226</xdr:colOff>
      <xdr:row>27</xdr:row>
      <xdr:rowOff>74544</xdr:rowOff>
    </xdr:from>
    <xdr:to>
      <xdr:col>2</xdr:col>
      <xdr:colOff>572226</xdr:colOff>
      <xdr:row>28</xdr:row>
      <xdr:rowOff>595474</xdr:rowOff>
    </xdr:to>
    <xdr:cxnSp macro="">
      <xdr:nvCxnSpPr>
        <xdr:cNvPr id="149" name="Прямая соединительная линия 148"/>
        <xdr:cNvCxnSpPr/>
      </xdr:nvCxnSpPr>
      <xdr:spPr>
        <a:xfrm flipV="1">
          <a:off x="1996835" y="15306261"/>
          <a:ext cx="0" cy="121667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345629</xdr:colOff>
      <xdr:row>27</xdr:row>
      <xdr:rowOff>328449</xdr:rowOff>
    </xdr:from>
    <xdr:to>
      <xdr:col>4</xdr:col>
      <xdr:colOff>345629</xdr:colOff>
      <xdr:row>28</xdr:row>
      <xdr:rowOff>597777</xdr:rowOff>
    </xdr:to>
    <xdr:cxnSp macro="">
      <xdr:nvCxnSpPr>
        <xdr:cNvPr id="154" name="Прямая соединительная линия 153"/>
        <xdr:cNvCxnSpPr/>
      </xdr:nvCxnSpPr>
      <xdr:spPr>
        <a:xfrm flipV="1">
          <a:off x="2933801" y="14182397"/>
          <a:ext cx="0" cy="965639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159170</xdr:colOff>
      <xdr:row>27</xdr:row>
      <xdr:rowOff>92994</xdr:rowOff>
    </xdr:from>
    <xdr:to>
      <xdr:col>4</xdr:col>
      <xdr:colOff>532088</xdr:colOff>
      <xdr:row>27</xdr:row>
      <xdr:rowOff>465683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342" y="13946942"/>
          <a:ext cx="372918" cy="372689"/>
        </a:xfrm>
        <a:prstGeom prst="rect">
          <a:avLst/>
        </a:prstGeom>
      </xdr:spPr>
    </xdr:pic>
    <xdr:clientData/>
  </xdr:twoCellAnchor>
  <xdr:twoCellAnchor>
    <xdr:from>
      <xdr:col>4</xdr:col>
      <xdr:colOff>159186</xdr:colOff>
      <xdr:row>27</xdr:row>
      <xdr:rowOff>520154</xdr:rowOff>
    </xdr:from>
    <xdr:to>
      <xdr:col>4</xdr:col>
      <xdr:colOff>532072</xdr:colOff>
      <xdr:row>28</xdr:row>
      <xdr:rowOff>196500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358" y="14374102"/>
          <a:ext cx="372886" cy="372657"/>
        </a:xfrm>
        <a:prstGeom prst="rect">
          <a:avLst/>
        </a:prstGeom>
      </xdr:spPr>
    </xdr:pic>
    <xdr:clientData/>
  </xdr:twoCellAnchor>
  <xdr:twoCellAnchor>
    <xdr:from>
      <xdr:col>4</xdr:col>
      <xdr:colOff>160118</xdr:colOff>
      <xdr:row>28</xdr:row>
      <xdr:rowOff>251361</xdr:rowOff>
    </xdr:from>
    <xdr:to>
      <xdr:col>4</xdr:col>
      <xdr:colOff>531140</xdr:colOff>
      <xdr:row>28</xdr:row>
      <xdr:rowOff>437574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8290" y="14801620"/>
          <a:ext cx="371022" cy="18621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504825</xdr:rowOff>
    </xdr:from>
    <xdr:to>
      <xdr:col>4</xdr:col>
      <xdr:colOff>743003</xdr:colOff>
      <xdr:row>30</xdr:row>
      <xdr:rowOff>351358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5754350"/>
          <a:ext cx="609653" cy="541858"/>
        </a:xfrm>
        <a:prstGeom prst="rect">
          <a:avLst/>
        </a:prstGeom>
      </xdr:spPr>
    </xdr:pic>
    <xdr:clientData/>
  </xdr:twoCellAnchor>
  <xdr:twoCellAnchor>
    <xdr:from>
      <xdr:col>2</xdr:col>
      <xdr:colOff>515684</xdr:colOff>
      <xdr:row>30</xdr:row>
      <xdr:rowOff>518431</xdr:rowOff>
    </xdr:from>
    <xdr:to>
      <xdr:col>3</xdr:col>
      <xdr:colOff>42659</xdr:colOff>
      <xdr:row>30</xdr:row>
      <xdr:rowOff>626431</xdr:rowOff>
    </xdr:to>
    <xdr:sp macro="" textlink="">
      <xdr:nvSpPr>
        <xdr:cNvPr id="167" name="Овал 166"/>
        <xdr:cNvSpPr/>
      </xdr:nvSpPr>
      <xdr:spPr>
        <a:xfrm>
          <a:off x="1951761" y="16476469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97631</xdr:colOff>
      <xdr:row>30</xdr:row>
      <xdr:rowOff>8163</xdr:rowOff>
    </xdr:from>
    <xdr:to>
      <xdr:col>3</xdr:col>
      <xdr:colOff>526256</xdr:colOff>
      <xdr:row>30</xdr:row>
      <xdr:rowOff>8163</xdr:rowOff>
    </xdr:to>
    <xdr:cxnSp macro="">
      <xdr:nvCxnSpPr>
        <xdr:cNvPr id="168" name="Прямая соединительная линия 167"/>
        <xdr:cNvCxnSpPr/>
      </xdr:nvCxnSpPr>
      <xdr:spPr>
        <a:xfrm>
          <a:off x="1526381" y="15953013"/>
          <a:ext cx="100965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154781</xdr:colOff>
      <xdr:row>30</xdr:row>
      <xdr:rowOff>80281</xdr:rowOff>
    </xdr:from>
    <xdr:to>
      <xdr:col>3</xdr:col>
      <xdr:colOff>298781</xdr:colOff>
      <xdr:row>30</xdr:row>
      <xdr:rowOff>224695</xdr:rowOff>
    </xdr:to>
    <xdr:sp macro="" textlink="">
      <xdr:nvSpPr>
        <xdr:cNvPr id="170" name="Овал 169"/>
        <xdr:cNvSpPr/>
      </xdr:nvSpPr>
      <xdr:spPr>
        <a:xfrm>
          <a:off x="2182245" y="1322478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515684</xdr:colOff>
      <xdr:row>32</xdr:row>
      <xdr:rowOff>527956</xdr:rowOff>
    </xdr:from>
    <xdr:to>
      <xdr:col>3</xdr:col>
      <xdr:colOff>42659</xdr:colOff>
      <xdr:row>32</xdr:row>
      <xdr:rowOff>635956</xdr:rowOff>
    </xdr:to>
    <xdr:sp macro="" textlink="">
      <xdr:nvSpPr>
        <xdr:cNvPr id="172" name="Овал 171"/>
        <xdr:cNvSpPr/>
      </xdr:nvSpPr>
      <xdr:spPr>
        <a:xfrm>
          <a:off x="1951761" y="17878110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78581</xdr:colOff>
      <xdr:row>32</xdr:row>
      <xdr:rowOff>17688</xdr:rowOff>
    </xdr:from>
    <xdr:to>
      <xdr:col>3</xdr:col>
      <xdr:colOff>507206</xdr:colOff>
      <xdr:row>32</xdr:row>
      <xdr:rowOff>17688</xdr:rowOff>
    </xdr:to>
    <xdr:cxnSp macro="">
      <xdr:nvCxnSpPr>
        <xdr:cNvPr id="173" name="Прямая соединительная линия 172"/>
        <xdr:cNvCxnSpPr/>
      </xdr:nvCxnSpPr>
      <xdr:spPr>
        <a:xfrm>
          <a:off x="1507331" y="18743838"/>
          <a:ext cx="100965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578826</xdr:colOff>
      <xdr:row>19</xdr:row>
      <xdr:rowOff>0</xdr:rowOff>
    </xdr:from>
    <xdr:to>
      <xdr:col>3</xdr:col>
      <xdr:colOff>123686</xdr:colOff>
      <xdr:row>19</xdr:row>
      <xdr:rowOff>0</xdr:rowOff>
    </xdr:to>
    <xdr:grpSp>
      <xdr:nvGrpSpPr>
        <xdr:cNvPr id="197" name="Группа 196"/>
        <xdr:cNvGrpSpPr/>
      </xdr:nvGrpSpPr>
      <xdr:grpSpPr>
        <a:xfrm flipH="1">
          <a:off x="1998917" y="6944591"/>
          <a:ext cx="133678" cy="0"/>
          <a:chOff x="1132242" y="1306343"/>
          <a:chExt cx="123151" cy="128030"/>
        </a:xfrm>
      </xdr:grpSpPr>
      <xdr:cxnSp macro="">
        <xdr:nvCxnSpPr>
          <xdr:cNvPr id="198" name="Прямая соединительная линия 19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9" name="Прямоугольник 19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550251</xdr:colOff>
      <xdr:row>20</xdr:row>
      <xdr:rowOff>174382</xdr:rowOff>
    </xdr:from>
    <xdr:to>
      <xdr:col>3</xdr:col>
      <xdr:colOff>95111</xdr:colOff>
      <xdr:row>20</xdr:row>
      <xdr:rowOff>301679</xdr:rowOff>
    </xdr:to>
    <xdr:grpSp>
      <xdr:nvGrpSpPr>
        <xdr:cNvPr id="200" name="Группа 199"/>
        <xdr:cNvGrpSpPr/>
      </xdr:nvGrpSpPr>
      <xdr:grpSpPr>
        <a:xfrm>
          <a:off x="1970342" y="7811700"/>
          <a:ext cx="133678" cy="127297"/>
          <a:chOff x="1132242" y="1306343"/>
          <a:chExt cx="123151" cy="128030"/>
        </a:xfrm>
      </xdr:grpSpPr>
      <xdr:cxnSp macro="">
        <xdr:nvCxnSpPr>
          <xdr:cNvPr id="201" name="Прямая соединительная линия 20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2" name="Прямоугольник 20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532579</xdr:colOff>
      <xdr:row>34</xdr:row>
      <xdr:rowOff>511931</xdr:rowOff>
    </xdr:from>
    <xdr:to>
      <xdr:col>3</xdr:col>
      <xdr:colOff>59554</xdr:colOff>
      <xdr:row>34</xdr:row>
      <xdr:rowOff>619931</xdr:rowOff>
    </xdr:to>
    <xdr:sp macro="" textlink="">
      <xdr:nvSpPr>
        <xdr:cNvPr id="138" name="Овал 137"/>
        <xdr:cNvSpPr/>
      </xdr:nvSpPr>
      <xdr:spPr>
        <a:xfrm>
          <a:off x="1961329" y="2758198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579695</xdr:colOff>
      <xdr:row>33</xdr:row>
      <xdr:rowOff>57150</xdr:rowOff>
    </xdr:from>
    <xdr:to>
      <xdr:col>2</xdr:col>
      <xdr:colOff>579695</xdr:colOff>
      <xdr:row>34</xdr:row>
      <xdr:rowOff>578080</xdr:rowOff>
    </xdr:to>
    <xdr:cxnSp macro="">
      <xdr:nvCxnSpPr>
        <xdr:cNvPr id="139" name="Прямая соединительная линия 138"/>
        <xdr:cNvCxnSpPr/>
      </xdr:nvCxnSpPr>
      <xdr:spPr>
        <a:xfrm flipV="1">
          <a:off x="2019028" y="26568400"/>
          <a:ext cx="0" cy="1219430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70037</xdr:colOff>
      <xdr:row>34</xdr:row>
      <xdr:rowOff>13766</xdr:rowOff>
    </xdr:from>
    <xdr:to>
      <xdr:col>3</xdr:col>
      <xdr:colOff>536762</xdr:colOff>
      <xdr:row>34</xdr:row>
      <xdr:rowOff>13766</xdr:rowOff>
    </xdr:to>
    <xdr:cxnSp macro="">
      <xdr:nvCxnSpPr>
        <xdr:cNvPr id="155" name="Прямая соединительная линия 154"/>
        <xdr:cNvCxnSpPr/>
      </xdr:nvCxnSpPr>
      <xdr:spPr>
        <a:xfrm>
          <a:off x="1504390" y="18761207"/>
          <a:ext cx="1049431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9567</xdr:colOff>
      <xdr:row>33</xdr:row>
      <xdr:rowOff>565719</xdr:rowOff>
    </xdr:from>
    <xdr:to>
      <xdr:col>3</xdr:col>
      <xdr:colOff>137833</xdr:colOff>
      <xdr:row>33</xdr:row>
      <xdr:rowOff>692030</xdr:rowOff>
    </xdr:to>
    <xdr:grpSp>
      <xdr:nvGrpSpPr>
        <xdr:cNvPr id="156" name="Группа 155"/>
        <xdr:cNvGrpSpPr/>
      </xdr:nvGrpSpPr>
      <xdr:grpSpPr>
        <a:xfrm rot="10800000" flipV="1">
          <a:off x="2018476" y="15823037"/>
          <a:ext cx="128266" cy="126311"/>
          <a:chOff x="1132242" y="1306343"/>
          <a:chExt cx="123151" cy="128030"/>
        </a:xfrm>
      </xdr:grpSpPr>
      <xdr:cxnSp macro="">
        <xdr:nvCxnSpPr>
          <xdr:cNvPr id="157" name="Прямая соединительная линия 15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8" name="Прямоугольник 15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133246</xdr:colOff>
      <xdr:row>34</xdr:row>
      <xdr:rowOff>92529</xdr:rowOff>
    </xdr:from>
    <xdr:to>
      <xdr:col>3</xdr:col>
      <xdr:colOff>277246</xdr:colOff>
      <xdr:row>34</xdr:row>
      <xdr:rowOff>236529</xdr:rowOff>
    </xdr:to>
    <xdr:sp macro="" textlink="">
      <xdr:nvSpPr>
        <xdr:cNvPr id="162" name="Овал 161"/>
        <xdr:cNvSpPr/>
      </xdr:nvSpPr>
      <xdr:spPr>
        <a:xfrm>
          <a:off x="2143021" y="27162579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200025</xdr:colOff>
      <xdr:row>33</xdr:row>
      <xdr:rowOff>361950</xdr:rowOff>
    </xdr:from>
    <xdr:to>
      <xdr:col>4</xdr:col>
      <xdr:colOff>662329</xdr:colOff>
      <xdr:row>34</xdr:row>
      <xdr:rowOff>320715</xdr:rowOff>
    </xdr:to>
    <xdr:grpSp>
      <xdr:nvGrpSpPr>
        <xdr:cNvPr id="163" name="Группа 162"/>
        <xdr:cNvGrpSpPr/>
      </xdr:nvGrpSpPr>
      <xdr:grpSpPr>
        <a:xfrm flipH="1">
          <a:off x="2797752" y="15619268"/>
          <a:ext cx="462304" cy="651492"/>
          <a:chOff x="2614271" y="8502585"/>
          <a:chExt cx="716548" cy="1013807"/>
        </a:xfrm>
      </xdr:grpSpPr>
      <xdr:grpSp>
        <xdr:nvGrpSpPr>
          <xdr:cNvPr id="164" name="Группа 163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203" name="Прямоугольник 202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4" name="Овал 203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5" name="Овал 204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6" name="Овал 205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175" name="Группа 174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179" name="Прямоугольник 178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80" name="Стрелка вправо 179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81" name="Овал 180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2</xdr:col>
      <xdr:colOff>527957</xdr:colOff>
      <xdr:row>36</xdr:row>
      <xdr:rowOff>524922</xdr:rowOff>
    </xdr:from>
    <xdr:to>
      <xdr:col>3</xdr:col>
      <xdr:colOff>54932</xdr:colOff>
      <xdr:row>36</xdr:row>
      <xdr:rowOff>632922</xdr:rowOff>
    </xdr:to>
    <xdr:sp macro="" textlink="">
      <xdr:nvSpPr>
        <xdr:cNvPr id="208" name="Овал 207"/>
        <xdr:cNvSpPr/>
      </xdr:nvSpPr>
      <xdr:spPr>
        <a:xfrm>
          <a:off x="1956707" y="2898562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400050</xdr:colOff>
      <xdr:row>35</xdr:row>
      <xdr:rowOff>85725</xdr:rowOff>
    </xdr:from>
    <xdr:to>
      <xdr:col>2</xdr:col>
      <xdr:colOff>578807</xdr:colOff>
      <xdr:row>36</xdr:row>
      <xdr:rowOff>559872</xdr:rowOff>
    </xdr:to>
    <xdr:cxnSp macro="">
      <xdr:nvCxnSpPr>
        <xdr:cNvPr id="209" name="Прямая соединительная линия 208"/>
        <xdr:cNvCxnSpPr/>
      </xdr:nvCxnSpPr>
      <xdr:spPr>
        <a:xfrm>
          <a:off x="1828800" y="27851100"/>
          <a:ext cx="178757" cy="1169472"/>
        </a:xfrm>
        <a:prstGeom prst="line">
          <a:avLst/>
        </a:prstGeom>
        <a:ln w="50800">
          <a:solidFill>
            <a:schemeClr val="tx1"/>
          </a:solidFill>
          <a:head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571502</xdr:colOff>
      <xdr:row>35</xdr:row>
      <xdr:rowOff>142875</xdr:rowOff>
    </xdr:from>
    <xdr:to>
      <xdr:col>3</xdr:col>
      <xdr:colOff>171450</xdr:colOff>
      <xdr:row>36</xdr:row>
      <xdr:rowOff>597972</xdr:rowOff>
    </xdr:to>
    <xdr:cxnSp macro="">
      <xdr:nvCxnSpPr>
        <xdr:cNvPr id="211" name="Прямая соединительная линия 210"/>
        <xdr:cNvCxnSpPr/>
      </xdr:nvCxnSpPr>
      <xdr:spPr>
        <a:xfrm flipH="1">
          <a:off x="2000252" y="27908250"/>
          <a:ext cx="180973" cy="1150422"/>
        </a:xfrm>
        <a:prstGeom prst="line">
          <a:avLst/>
        </a:prstGeom>
        <a:ln w="19050">
          <a:solidFill>
            <a:schemeClr val="tx1"/>
          </a:solidFill>
          <a:head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578826</xdr:colOff>
      <xdr:row>36</xdr:row>
      <xdr:rowOff>441082</xdr:rowOff>
    </xdr:from>
    <xdr:to>
      <xdr:col>3</xdr:col>
      <xdr:colOff>123686</xdr:colOff>
      <xdr:row>36</xdr:row>
      <xdr:rowOff>568379</xdr:rowOff>
    </xdr:to>
    <xdr:grpSp>
      <xdr:nvGrpSpPr>
        <xdr:cNvPr id="212" name="Группа 211"/>
        <xdr:cNvGrpSpPr/>
      </xdr:nvGrpSpPr>
      <xdr:grpSpPr>
        <a:xfrm flipH="1">
          <a:off x="1998917" y="17776582"/>
          <a:ext cx="133678" cy="127297"/>
          <a:chOff x="1132242" y="1306343"/>
          <a:chExt cx="123151" cy="128030"/>
        </a:xfrm>
      </xdr:grpSpPr>
      <xdr:cxnSp macro="">
        <xdr:nvCxnSpPr>
          <xdr:cNvPr id="213" name="Прямая соединительная линия 21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4" name="Прямоугольник 21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527957</xdr:colOff>
      <xdr:row>38</xdr:row>
      <xdr:rowOff>486822</xdr:rowOff>
    </xdr:from>
    <xdr:to>
      <xdr:col>3</xdr:col>
      <xdr:colOff>54932</xdr:colOff>
      <xdr:row>38</xdr:row>
      <xdr:rowOff>594822</xdr:rowOff>
    </xdr:to>
    <xdr:sp macro="" textlink="">
      <xdr:nvSpPr>
        <xdr:cNvPr id="215" name="Овал 214"/>
        <xdr:cNvSpPr/>
      </xdr:nvSpPr>
      <xdr:spPr>
        <a:xfrm>
          <a:off x="1956707" y="3033817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400050</xdr:colOff>
      <xdr:row>37</xdr:row>
      <xdr:rowOff>47625</xdr:rowOff>
    </xdr:from>
    <xdr:to>
      <xdr:col>2</xdr:col>
      <xdr:colOff>578807</xdr:colOff>
      <xdr:row>38</xdr:row>
      <xdr:rowOff>521772</xdr:rowOff>
    </xdr:to>
    <xdr:cxnSp macro="">
      <xdr:nvCxnSpPr>
        <xdr:cNvPr id="216" name="Прямая соединительная линия 215"/>
        <xdr:cNvCxnSpPr/>
      </xdr:nvCxnSpPr>
      <xdr:spPr>
        <a:xfrm>
          <a:off x="1828800" y="29203650"/>
          <a:ext cx="178757" cy="1169472"/>
        </a:xfrm>
        <a:prstGeom prst="line">
          <a:avLst/>
        </a:prstGeom>
        <a:ln w="50800">
          <a:solidFill>
            <a:schemeClr val="tx1"/>
          </a:solidFill>
          <a:head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578826</xdr:colOff>
      <xdr:row>38</xdr:row>
      <xdr:rowOff>402982</xdr:rowOff>
    </xdr:from>
    <xdr:to>
      <xdr:col>3</xdr:col>
      <xdr:colOff>123686</xdr:colOff>
      <xdr:row>38</xdr:row>
      <xdr:rowOff>530279</xdr:rowOff>
    </xdr:to>
    <xdr:grpSp>
      <xdr:nvGrpSpPr>
        <xdr:cNvPr id="219" name="Группа 218"/>
        <xdr:cNvGrpSpPr/>
      </xdr:nvGrpSpPr>
      <xdr:grpSpPr>
        <a:xfrm flipH="1">
          <a:off x="1998917" y="19123937"/>
          <a:ext cx="133678" cy="127297"/>
          <a:chOff x="1132242" y="1306343"/>
          <a:chExt cx="123151" cy="128030"/>
        </a:xfrm>
      </xdr:grpSpPr>
      <xdr:cxnSp macro="">
        <xdr:nvCxnSpPr>
          <xdr:cNvPr id="221" name="Прямая соединительная линия 22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2" name="Прямоугольник 22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8194</xdr:colOff>
      <xdr:row>37</xdr:row>
      <xdr:rowOff>104775</xdr:rowOff>
    </xdr:from>
    <xdr:to>
      <xdr:col>3</xdr:col>
      <xdr:colOff>8194</xdr:colOff>
      <xdr:row>38</xdr:row>
      <xdr:rowOff>559031</xdr:rowOff>
    </xdr:to>
    <xdr:cxnSp macro="">
      <xdr:nvCxnSpPr>
        <xdr:cNvPr id="223" name="Прямая соединительная линия 222"/>
        <xdr:cNvCxnSpPr/>
      </xdr:nvCxnSpPr>
      <xdr:spPr>
        <a:xfrm flipV="1">
          <a:off x="2017969" y="29260800"/>
          <a:ext cx="0" cy="114958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570036</xdr:colOff>
      <xdr:row>39</xdr:row>
      <xdr:rowOff>95250</xdr:rowOff>
    </xdr:from>
    <xdr:to>
      <xdr:col>2</xdr:col>
      <xdr:colOff>570036</xdr:colOff>
      <xdr:row>40</xdr:row>
      <xdr:rowOff>583748</xdr:rowOff>
    </xdr:to>
    <xdr:cxnSp macro="">
      <xdr:nvCxnSpPr>
        <xdr:cNvPr id="230" name="Прямая соединительная линия 229"/>
        <xdr:cNvCxnSpPr/>
      </xdr:nvCxnSpPr>
      <xdr:spPr>
        <a:xfrm flipV="1">
          <a:off x="1998786" y="3064192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516967</xdr:colOff>
      <xdr:row>40</xdr:row>
      <xdr:rowOff>519793</xdr:rowOff>
    </xdr:from>
    <xdr:to>
      <xdr:col>3</xdr:col>
      <xdr:colOff>43942</xdr:colOff>
      <xdr:row>40</xdr:row>
      <xdr:rowOff>627793</xdr:rowOff>
    </xdr:to>
    <xdr:sp macro="" textlink="">
      <xdr:nvSpPr>
        <xdr:cNvPr id="231" name="Овал 230"/>
        <xdr:cNvSpPr/>
      </xdr:nvSpPr>
      <xdr:spPr>
        <a:xfrm>
          <a:off x="1945717" y="317617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126442</xdr:colOff>
      <xdr:row>39</xdr:row>
      <xdr:rowOff>643618</xdr:rowOff>
    </xdr:from>
    <xdr:to>
      <xdr:col>3</xdr:col>
      <xdr:colOff>270442</xdr:colOff>
      <xdr:row>40</xdr:row>
      <xdr:rowOff>92293</xdr:rowOff>
    </xdr:to>
    <xdr:sp macro="" textlink="">
      <xdr:nvSpPr>
        <xdr:cNvPr id="233" name="Овал 232"/>
        <xdr:cNvSpPr/>
      </xdr:nvSpPr>
      <xdr:spPr>
        <a:xfrm>
          <a:off x="2136217" y="3119029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428625</xdr:colOff>
      <xdr:row>39</xdr:row>
      <xdr:rowOff>549520</xdr:rowOff>
    </xdr:from>
    <xdr:to>
      <xdr:col>2</xdr:col>
      <xdr:colOff>552312</xdr:colOff>
      <xdr:row>39</xdr:row>
      <xdr:rowOff>677550</xdr:rowOff>
    </xdr:to>
    <xdr:grpSp>
      <xdr:nvGrpSpPr>
        <xdr:cNvPr id="240" name="Группа 239"/>
        <xdr:cNvGrpSpPr/>
      </xdr:nvGrpSpPr>
      <xdr:grpSpPr>
        <a:xfrm>
          <a:off x="1848716" y="19963202"/>
          <a:ext cx="123687" cy="128030"/>
          <a:chOff x="1132242" y="1306343"/>
          <a:chExt cx="123151" cy="128030"/>
        </a:xfrm>
      </xdr:grpSpPr>
      <xdr:cxnSp macro="">
        <xdr:nvCxnSpPr>
          <xdr:cNvPr id="249" name="Прямая соединительная линия 24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0" name="Прямоугольник 24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55580</xdr:colOff>
      <xdr:row>44</xdr:row>
      <xdr:rowOff>439196</xdr:rowOff>
    </xdr:from>
    <xdr:to>
      <xdr:col>3</xdr:col>
      <xdr:colOff>165261</xdr:colOff>
      <xdr:row>44</xdr:row>
      <xdr:rowOff>547196</xdr:rowOff>
    </xdr:to>
    <xdr:sp macro="" textlink="">
      <xdr:nvSpPr>
        <xdr:cNvPr id="259" name="Овал 258"/>
        <xdr:cNvSpPr/>
      </xdr:nvSpPr>
      <xdr:spPr>
        <a:xfrm>
          <a:off x="2070484" y="28926273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129071</xdr:colOff>
      <xdr:row>43</xdr:row>
      <xdr:rowOff>560510</xdr:rowOff>
    </xdr:from>
    <xdr:to>
      <xdr:col>3</xdr:col>
      <xdr:colOff>256637</xdr:colOff>
      <xdr:row>43</xdr:row>
      <xdr:rowOff>687807</xdr:rowOff>
    </xdr:to>
    <xdr:grpSp>
      <xdr:nvGrpSpPr>
        <xdr:cNvPr id="261" name="Группа 260"/>
        <xdr:cNvGrpSpPr/>
      </xdr:nvGrpSpPr>
      <xdr:grpSpPr>
        <a:xfrm flipH="1">
          <a:off x="2137980" y="22745101"/>
          <a:ext cx="127566" cy="127297"/>
          <a:chOff x="1132242" y="1306343"/>
          <a:chExt cx="123151" cy="128030"/>
        </a:xfrm>
      </xdr:grpSpPr>
      <xdr:cxnSp macro="">
        <xdr:nvCxnSpPr>
          <xdr:cNvPr id="262" name="Прямая соединительная линия 26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3" name="Прямоугольник 26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527957</xdr:colOff>
      <xdr:row>48</xdr:row>
      <xdr:rowOff>515397</xdr:rowOff>
    </xdr:from>
    <xdr:to>
      <xdr:col>3</xdr:col>
      <xdr:colOff>54932</xdr:colOff>
      <xdr:row>48</xdr:row>
      <xdr:rowOff>623397</xdr:rowOff>
    </xdr:to>
    <xdr:sp macro="" textlink="">
      <xdr:nvSpPr>
        <xdr:cNvPr id="268" name="Овал 267"/>
        <xdr:cNvSpPr/>
      </xdr:nvSpPr>
      <xdr:spPr>
        <a:xfrm>
          <a:off x="1956707" y="3871064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</xdr:colOff>
      <xdr:row>47</xdr:row>
      <xdr:rowOff>38100</xdr:rowOff>
    </xdr:from>
    <xdr:to>
      <xdr:col>3</xdr:col>
      <xdr:colOff>180977</xdr:colOff>
      <xdr:row>48</xdr:row>
      <xdr:rowOff>571500</xdr:rowOff>
    </xdr:to>
    <xdr:cxnSp macro="">
      <xdr:nvCxnSpPr>
        <xdr:cNvPr id="269" name="Прямая соединительная линия 268"/>
        <xdr:cNvCxnSpPr/>
      </xdr:nvCxnSpPr>
      <xdr:spPr>
        <a:xfrm flipH="1">
          <a:off x="2019300" y="37538025"/>
          <a:ext cx="171452" cy="1228725"/>
        </a:xfrm>
        <a:prstGeom prst="line">
          <a:avLst/>
        </a:prstGeom>
        <a:ln w="50800">
          <a:solidFill>
            <a:schemeClr val="tx1"/>
          </a:solidFill>
          <a:head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8194</xdr:colOff>
      <xdr:row>47</xdr:row>
      <xdr:rowOff>95251</xdr:rowOff>
    </xdr:from>
    <xdr:to>
      <xdr:col>3</xdr:col>
      <xdr:colOff>8194</xdr:colOff>
      <xdr:row>48</xdr:row>
      <xdr:rowOff>571500</xdr:rowOff>
    </xdr:to>
    <xdr:cxnSp macro="">
      <xdr:nvCxnSpPr>
        <xdr:cNvPr id="273" name="Прямая соединительная линия 272"/>
        <xdr:cNvCxnSpPr/>
      </xdr:nvCxnSpPr>
      <xdr:spPr>
        <a:xfrm flipV="1">
          <a:off x="2017969" y="37595176"/>
          <a:ext cx="0" cy="11715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570036</xdr:colOff>
      <xdr:row>45</xdr:row>
      <xdr:rowOff>66675</xdr:rowOff>
    </xdr:from>
    <xdr:to>
      <xdr:col>2</xdr:col>
      <xdr:colOff>570036</xdr:colOff>
      <xdr:row>46</xdr:row>
      <xdr:rowOff>555173</xdr:rowOff>
    </xdr:to>
    <xdr:cxnSp macro="">
      <xdr:nvCxnSpPr>
        <xdr:cNvPr id="274" name="Прямая соединительная линия 273"/>
        <xdr:cNvCxnSpPr/>
      </xdr:nvCxnSpPr>
      <xdr:spPr>
        <a:xfrm flipV="1">
          <a:off x="1998786" y="32004000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516967</xdr:colOff>
      <xdr:row>46</xdr:row>
      <xdr:rowOff>491218</xdr:rowOff>
    </xdr:from>
    <xdr:to>
      <xdr:col>3</xdr:col>
      <xdr:colOff>43942</xdr:colOff>
      <xdr:row>46</xdr:row>
      <xdr:rowOff>599218</xdr:rowOff>
    </xdr:to>
    <xdr:sp macro="" textlink="">
      <xdr:nvSpPr>
        <xdr:cNvPr id="275" name="Овал 274"/>
        <xdr:cNvSpPr/>
      </xdr:nvSpPr>
      <xdr:spPr>
        <a:xfrm>
          <a:off x="1945717" y="3312386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126442</xdr:colOff>
      <xdr:row>45</xdr:row>
      <xdr:rowOff>615043</xdr:rowOff>
    </xdr:from>
    <xdr:to>
      <xdr:col>3</xdr:col>
      <xdr:colOff>270442</xdr:colOff>
      <xdr:row>46</xdr:row>
      <xdr:rowOff>63718</xdr:rowOff>
    </xdr:to>
    <xdr:sp macro="" textlink="">
      <xdr:nvSpPr>
        <xdr:cNvPr id="276" name="Овал 275"/>
        <xdr:cNvSpPr/>
      </xdr:nvSpPr>
      <xdr:spPr>
        <a:xfrm>
          <a:off x="2136217" y="3255236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428625</xdr:colOff>
      <xdr:row>45</xdr:row>
      <xdr:rowOff>520945</xdr:rowOff>
    </xdr:from>
    <xdr:to>
      <xdr:col>2</xdr:col>
      <xdr:colOff>552312</xdr:colOff>
      <xdr:row>45</xdr:row>
      <xdr:rowOff>648975</xdr:rowOff>
    </xdr:to>
    <xdr:grpSp>
      <xdr:nvGrpSpPr>
        <xdr:cNvPr id="277" name="Группа 276"/>
        <xdr:cNvGrpSpPr/>
      </xdr:nvGrpSpPr>
      <xdr:grpSpPr>
        <a:xfrm>
          <a:off x="1848716" y="24090990"/>
          <a:ext cx="123687" cy="128030"/>
          <a:chOff x="1132242" y="1306343"/>
          <a:chExt cx="123151" cy="128030"/>
        </a:xfrm>
      </xdr:grpSpPr>
      <xdr:cxnSp macro="">
        <xdr:nvCxnSpPr>
          <xdr:cNvPr id="278" name="Прямая соединительная линия 27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9" name="Прямоугольник 27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347380</xdr:colOff>
      <xdr:row>45</xdr:row>
      <xdr:rowOff>157444</xdr:rowOff>
    </xdr:from>
    <xdr:to>
      <xdr:col>6</xdr:col>
      <xdr:colOff>337855</xdr:colOff>
      <xdr:row>45</xdr:row>
      <xdr:rowOff>557494</xdr:rowOff>
    </xdr:to>
    <xdr:sp macro="" textlink="">
      <xdr:nvSpPr>
        <xdr:cNvPr id="280" name="Прямоугольник 279"/>
        <xdr:cNvSpPr/>
      </xdr:nvSpPr>
      <xdr:spPr>
        <a:xfrm>
          <a:off x="2947145" y="34884473"/>
          <a:ext cx="1716181" cy="4000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СМОЛЕНСК</a:t>
          </a:r>
        </a:p>
      </xdr:txBody>
    </xdr:sp>
    <xdr:clientData/>
  </xdr:twoCellAnchor>
  <xdr:twoCellAnchor>
    <xdr:from>
      <xdr:col>3</xdr:col>
      <xdr:colOff>193117</xdr:colOff>
      <xdr:row>48</xdr:row>
      <xdr:rowOff>310243</xdr:rowOff>
    </xdr:from>
    <xdr:to>
      <xdr:col>3</xdr:col>
      <xdr:colOff>337117</xdr:colOff>
      <xdr:row>48</xdr:row>
      <xdr:rowOff>454243</xdr:rowOff>
    </xdr:to>
    <xdr:sp macro="" textlink="">
      <xdr:nvSpPr>
        <xdr:cNvPr id="282" name="Овал 281"/>
        <xdr:cNvSpPr/>
      </xdr:nvSpPr>
      <xdr:spPr>
        <a:xfrm>
          <a:off x="2202892" y="3850549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2283</xdr:colOff>
      <xdr:row>48</xdr:row>
      <xdr:rowOff>417635</xdr:rowOff>
    </xdr:from>
    <xdr:to>
      <xdr:col>3</xdr:col>
      <xdr:colOff>129849</xdr:colOff>
      <xdr:row>48</xdr:row>
      <xdr:rowOff>544932</xdr:rowOff>
    </xdr:to>
    <xdr:grpSp>
      <xdr:nvGrpSpPr>
        <xdr:cNvPr id="283" name="Группа 282"/>
        <xdr:cNvGrpSpPr/>
      </xdr:nvGrpSpPr>
      <xdr:grpSpPr>
        <a:xfrm flipH="1">
          <a:off x="2011192" y="26065862"/>
          <a:ext cx="127566" cy="127297"/>
          <a:chOff x="1132242" y="1306343"/>
          <a:chExt cx="123151" cy="128030"/>
        </a:xfrm>
      </xdr:grpSpPr>
      <xdr:cxnSp macro="">
        <xdr:nvCxnSpPr>
          <xdr:cNvPr id="284" name="Прямая соединительная линия 28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5" name="Прямоугольник 28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76200</xdr:colOff>
      <xdr:row>47</xdr:row>
      <xdr:rowOff>381000</xdr:rowOff>
    </xdr:from>
    <xdr:to>
      <xdr:col>4</xdr:col>
      <xdr:colOff>685801</xdr:colOff>
      <xdr:row>48</xdr:row>
      <xdr:rowOff>295276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6490275"/>
          <a:ext cx="609601" cy="609601"/>
        </a:xfrm>
        <a:prstGeom prst="rect">
          <a:avLst/>
        </a:prstGeom>
      </xdr:spPr>
    </xdr:pic>
    <xdr:clientData/>
  </xdr:twoCellAnchor>
  <xdr:twoCellAnchor>
    <xdr:from>
      <xdr:col>2</xdr:col>
      <xdr:colOff>570036</xdr:colOff>
      <xdr:row>41</xdr:row>
      <xdr:rowOff>66675</xdr:rowOff>
    </xdr:from>
    <xdr:to>
      <xdr:col>2</xdr:col>
      <xdr:colOff>570036</xdr:colOff>
      <xdr:row>42</xdr:row>
      <xdr:rowOff>555173</xdr:rowOff>
    </xdr:to>
    <xdr:cxnSp macro="">
      <xdr:nvCxnSpPr>
        <xdr:cNvPr id="251" name="Прямая соединительная линия 250"/>
        <xdr:cNvCxnSpPr/>
      </xdr:nvCxnSpPr>
      <xdr:spPr>
        <a:xfrm flipV="1">
          <a:off x="1998786" y="34785300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516967</xdr:colOff>
      <xdr:row>42</xdr:row>
      <xdr:rowOff>491218</xdr:rowOff>
    </xdr:from>
    <xdr:to>
      <xdr:col>3</xdr:col>
      <xdr:colOff>43942</xdr:colOff>
      <xdr:row>42</xdr:row>
      <xdr:rowOff>599218</xdr:rowOff>
    </xdr:to>
    <xdr:sp macro="" textlink="">
      <xdr:nvSpPr>
        <xdr:cNvPr id="252" name="Овал 251"/>
        <xdr:cNvSpPr/>
      </xdr:nvSpPr>
      <xdr:spPr>
        <a:xfrm>
          <a:off x="1945717" y="3590516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126442</xdr:colOff>
      <xdr:row>41</xdr:row>
      <xdr:rowOff>615043</xdr:rowOff>
    </xdr:from>
    <xdr:to>
      <xdr:col>3</xdr:col>
      <xdr:colOff>270442</xdr:colOff>
      <xdr:row>42</xdr:row>
      <xdr:rowOff>63718</xdr:rowOff>
    </xdr:to>
    <xdr:sp macro="" textlink="">
      <xdr:nvSpPr>
        <xdr:cNvPr id="253" name="Овал 252"/>
        <xdr:cNvSpPr/>
      </xdr:nvSpPr>
      <xdr:spPr>
        <a:xfrm>
          <a:off x="2136217" y="3533366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428625</xdr:colOff>
      <xdr:row>41</xdr:row>
      <xdr:rowOff>520945</xdr:rowOff>
    </xdr:from>
    <xdr:to>
      <xdr:col>2</xdr:col>
      <xdr:colOff>552312</xdr:colOff>
      <xdr:row>41</xdr:row>
      <xdr:rowOff>648975</xdr:rowOff>
    </xdr:to>
    <xdr:grpSp>
      <xdr:nvGrpSpPr>
        <xdr:cNvPr id="254" name="Группа 253"/>
        <xdr:cNvGrpSpPr/>
      </xdr:nvGrpSpPr>
      <xdr:grpSpPr>
        <a:xfrm>
          <a:off x="1848716" y="21320081"/>
          <a:ext cx="123687" cy="128030"/>
          <a:chOff x="1132242" y="1306343"/>
          <a:chExt cx="123151" cy="128030"/>
        </a:xfrm>
      </xdr:grpSpPr>
      <xdr:cxnSp macro="">
        <xdr:nvCxnSpPr>
          <xdr:cNvPr id="255" name="Прямая соединительная линия 25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6" name="Прямоугольник 25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347380</xdr:colOff>
      <xdr:row>41</xdr:row>
      <xdr:rowOff>157442</xdr:rowOff>
    </xdr:from>
    <xdr:to>
      <xdr:col>6</xdr:col>
      <xdr:colOff>337855</xdr:colOff>
      <xdr:row>41</xdr:row>
      <xdr:rowOff>557492</xdr:rowOff>
    </xdr:to>
    <xdr:sp macro="" textlink="">
      <xdr:nvSpPr>
        <xdr:cNvPr id="258" name="Прямоугольник 257"/>
        <xdr:cNvSpPr/>
      </xdr:nvSpPr>
      <xdr:spPr>
        <a:xfrm>
          <a:off x="2947145" y="32105413"/>
          <a:ext cx="1716181" cy="4000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СМОЛЕНСК</a:t>
          </a:r>
        </a:p>
      </xdr:txBody>
    </xdr:sp>
    <xdr:clientData/>
  </xdr:twoCellAnchor>
  <xdr:twoCellAnchor>
    <xdr:from>
      <xdr:col>4</xdr:col>
      <xdr:colOff>728380</xdr:colOff>
      <xdr:row>41</xdr:row>
      <xdr:rowOff>180822</xdr:rowOff>
    </xdr:from>
    <xdr:to>
      <xdr:col>5</xdr:col>
      <xdr:colOff>520562</xdr:colOff>
      <xdr:row>41</xdr:row>
      <xdr:rowOff>531515</xdr:rowOff>
    </xdr:to>
    <xdr:cxnSp macro="">
      <xdr:nvCxnSpPr>
        <xdr:cNvPr id="3" name="Прямая соединительная линия 2"/>
        <xdr:cNvCxnSpPr/>
      </xdr:nvCxnSpPr>
      <xdr:spPr>
        <a:xfrm flipV="1">
          <a:off x="3328145" y="32128793"/>
          <a:ext cx="935182" cy="3506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518513</xdr:colOff>
      <xdr:row>56</xdr:row>
      <xdr:rowOff>516394</xdr:rowOff>
    </xdr:from>
    <xdr:to>
      <xdr:col>3</xdr:col>
      <xdr:colOff>45488</xdr:colOff>
      <xdr:row>56</xdr:row>
      <xdr:rowOff>624394</xdr:rowOff>
    </xdr:to>
    <xdr:sp macro="" textlink="">
      <xdr:nvSpPr>
        <xdr:cNvPr id="270" name="Овал 269"/>
        <xdr:cNvSpPr/>
      </xdr:nvSpPr>
      <xdr:spPr>
        <a:xfrm>
          <a:off x="1950547" y="40133825"/>
          <a:ext cx="10504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76162</xdr:colOff>
      <xdr:row>55</xdr:row>
      <xdr:rowOff>301401</xdr:rowOff>
    </xdr:from>
    <xdr:to>
      <xdr:col>3</xdr:col>
      <xdr:colOff>220162</xdr:colOff>
      <xdr:row>55</xdr:row>
      <xdr:rowOff>445815</xdr:rowOff>
    </xdr:to>
    <xdr:sp macro="" textlink="">
      <xdr:nvSpPr>
        <xdr:cNvPr id="272" name="Овал 271"/>
        <xdr:cNvSpPr/>
      </xdr:nvSpPr>
      <xdr:spPr>
        <a:xfrm>
          <a:off x="2084576" y="39261372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573652</xdr:colOff>
      <xdr:row>55</xdr:row>
      <xdr:rowOff>72258</xdr:rowOff>
    </xdr:from>
    <xdr:to>
      <xdr:col>2</xdr:col>
      <xdr:colOff>573652</xdr:colOff>
      <xdr:row>56</xdr:row>
      <xdr:rowOff>593189</xdr:rowOff>
    </xdr:to>
    <xdr:cxnSp macro="">
      <xdr:nvCxnSpPr>
        <xdr:cNvPr id="281" name="Прямая соединительная линия 280"/>
        <xdr:cNvCxnSpPr/>
      </xdr:nvCxnSpPr>
      <xdr:spPr>
        <a:xfrm flipV="1">
          <a:off x="2005686" y="38993379"/>
          <a:ext cx="0" cy="121724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565815</xdr:colOff>
      <xdr:row>55</xdr:row>
      <xdr:rowOff>553053</xdr:rowOff>
    </xdr:from>
    <xdr:to>
      <xdr:col>3</xdr:col>
      <xdr:colOff>495300</xdr:colOff>
      <xdr:row>56</xdr:row>
      <xdr:rowOff>32657</xdr:rowOff>
    </xdr:to>
    <xdr:cxnSp macro="">
      <xdr:nvCxnSpPr>
        <xdr:cNvPr id="290" name="Прямая соединительная линия 289"/>
        <xdr:cNvCxnSpPr/>
      </xdr:nvCxnSpPr>
      <xdr:spPr>
        <a:xfrm>
          <a:off x="1991844" y="39513024"/>
          <a:ext cx="511870" cy="17629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75958</xdr:colOff>
      <xdr:row>55</xdr:row>
      <xdr:rowOff>215596</xdr:rowOff>
    </xdr:from>
    <xdr:to>
      <xdr:col>2</xdr:col>
      <xdr:colOff>576943</xdr:colOff>
      <xdr:row>55</xdr:row>
      <xdr:rowOff>435429</xdr:rowOff>
    </xdr:to>
    <xdr:cxnSp macro="">
      <xdr:nvCxnSpPr>
        <xdr:cNvPr id="291" name="Прямая соединительная линия 290"/>
        <xdr:cNvCxnSpPr/>
      </xdr:nvCxnSpPr>
      <xdr:spPr>
        <a:xfrm>
          <a:off x="1501987" y="39175567"/>
          <a:ext cx="500985" cy="21983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514451</xdr:colOff>
      <xdr:row>62</xdr:row>
      <xdr:rowOff>527795</xdr:rowOff>
    </xdr:from>
    <xdr:to>
      <xdr:col>3</xdr:col>
      <xdr:colOff>48464</xdr:colOff>
      <xdr:row>62</xdr:row>
      <xdr:rowOff>635795</xdr:rowOff>
    </xdr:to>
    <xdr:sp macro="" textlink="">
      <xdr:nvSpPr>
        <xdr:cNvPr id="292" name="Овал 291"/>
        <xdr:cNvSpPr/>
      </xdr:nvSpPr>
      <xdr:spPr>
        <a:xfrm>
          <a:off x="1946485" y="41537847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62</xdr:row>
      <xdr:rowOff>114962</xdr:rowOff>
    </xdr:from>
    <xdr:to>
      <xdr:col>3</xdr:col>
      <xdr:colOff>266156</xdr:colOff>
      <xdr:row>62</xdr:row>
      <xdr:rowOff>258962</xdr:rowOff>
    </xdr:to>
    <xdr:sp macro="" textlink="">
      <xdr:nvSpPr>
        <xdr:cNvPr id="298" name="Овал 297"/>
        <xdr:cNvSpPr/>
      </xdr:nvSpPr>
      <xdr:spPr>
        <a:xfrm>
          <a:off x="2132259" y="41125014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1327</xdr:colOff>
      <xdr:row>61</xdr:row>
      <xdr:rowOff>65690</xdr:rowOff>
    </xdr:from>
    <xdr:to>
      <xdr:col>3</xdr:col>
      <xdr:colOff>1327</xdr:colOff>
      <xdr:row>62</xdr:row>
      <xdr:rowOff>571500</xdr:rowOff>
    </xdr:to>
    <xdr:cxnSp macro="">
      <xdr:nvCxnSpPr>
        <xdr:cNvPr id="301" name="Прямая соединительная линия 300"/>
        <xdr:cNvCxnSpPr/>
      </xdr:nvCxnSpPr>
      <xdr:spPr>
        <a:xfrm flipV="1">
          <a:off x="2018386" y="41740366"/>
          <a:ext cx="0" cy="120057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13623</xdr:colOff>
      <xdr:row>56</xdr:row>
      <xdr:rowOff>29778</xdr:rowOff>
    </xdr:from>
    <xdr:to>
      <xdr:col>3</xdr:col>
      <xdr:colOff>140920</xdr:colOff>
      <xdr:row>56</xdr:row>
      <xdr:rowOff>157344</xdr:rowOff>
    </xdr:to>
    <xdr:grpSp>
      <xdr:nvGrpSpPr>
        <xdr:cNvPr id="305" name="Группа 304"/>
        <xdr:cNvGrpSpPr/>
      </xdr:nvGrpSpPr>
      <xdr:grpSpPr>
        <a:xfrm rot="5400000" flipH="1">
          <a:off x="2022398" y="31219957"/>
          <a:ext cx="127566" cy="127297"/>
          <a:chOff x="1132242" y="1306343"/>
          <a:chExt cx="123151" cy="128030"/>
        </a:xfrm>
      </xdr:grpSpPr>
      <xdr:cxnSp macro="">
        <xdr:nvCxnSpPr>
          <xdr:cNvPr id="306" name="Прямая соединительная линия 30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7" name="Прямоугольник 30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162341</xdr:colOff>
      <xdr:row>61</xdr:row>
      <xdr:rowOff>346683</xdr:rowOff>
    </xdr:from>
    <xdr:to>
      <xdr:col>4</xdr:col>
      <xdr:colOff>393974</xdr:colOff>
      <xdr:row>62</xdr:row>
      <xdr:rowOff>305448</xdr:rowOff>
    </xdr:to>
    <xdr:grpSp>
      <xdr:nvGrpSpPr>
        <xdr:cNvPr id="309" name="Группа 308"/>
        <xdr:cNvGrpSpPr/>
      </xdr:nvGrpSpPr>
      <xdr:grpSpPr>
        <a:xfrm flipH="1">
          <a:off x="2760068" y="35000365"/>
          <a:ext cx="231633" cy="651492"/>
          <a:chOff x="2974731" y="8507714"/>
          <a:chExt cx="359019" cy="1014540"/>
        </a:xfrm>
      </xdr:grpSpPr>
      <xdr:sp macro="" textlink="">
        <xdr:nvSpPr>
          <xdr:cNvPr id="314" name="Прямоугольник 313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5" name="Овал 314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6" name="Овал 315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7" name="Овал 316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539724</xdr:colOff>
      <xdr:row>64</xdr:row>
      <xdr:rowOff>516191</xdr:rowOff>
    </xdr:from>
    <xdr:to>
      <xdr:col>3</xdr:col>
      <xdr:colOff>66699</xdr:colOff>
      <xdr:row>64</xdr:row>
      <xdr:rowOff>624191</xdr:rowOff>
    </xdr:to>
    <xdr:sp macro="" textlink="">
      <xdr:nvSpPr>
        <xdr:cNvPr id="353" name="Овал 352"/>
        <xdr:cNvSpPr/>
      </xdr:nvSpPr>
      <xdr:spPr>
        <a:xfrm>
          <a:off x="1968474" y="4288339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87967</xdr:colOff>
      <xdr:row>64</xdr:row>
      <xdr:rowOff>5923</xdr:rowOff>
    </xdr:from>
    <xdr:to>
      <xdr:col>3</xdr:col>
      <xdr:colOff>536201</xdr:colOff>
      <xdr:row>64</xdr:row>
      <xdr:rowOff>5923</xdr:rowOff>
    </xdr:to>
    <xdr:cxnSp macro="">
      <xdr:nvCxnSpPr>
        <xdr:cNvPr id="354" name="Прямая соединительная линия 353"/>
        <xdr:cNvCxnSpPr/>
      </xdr:nvCxnSpPr>
      <xdr:spPr>
        <a:xfrm>
          <a:off x="1516717" y="42373123"/>
          <a:ext cx="1029259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11768</xdr:colOff>
      <xdr:row>63</xdr:row>
      <xdr:rowOff>123265</xdr:rowOff>
    </xdr:from>
    <xdr:to>
      <xdr:col>3</xdr:col>
      <xdr:colOff>11768</xdr:colOff>
      <xdr:row>64</xdr:row>
      <xdr:rowOff>571502</xdr:rowOff>
    </xdr:to>
    <xdr:cxnSp macro="">
      <xdr:nvCxnSpPr>
        <xdr:cNvPr id="357" name="Прямая соединительная линия 356"/>
        <xdr:cNvCxnSpPr/>
      </xdr:nvCxnSpPr>
      <xdr:spPr>
        <a:xfrm flipV="1">
          <a:off x="2021543" y="41795140"/>
          <a:ext cx="0" cy="1143562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84056</xdr:colOff>
      <xdr:row>73</xdr:row>
      <xdr:rowOff>467387</xdr:rowOff>
    </xdr:from>
    <xdr:to>
      <xdr:col>3</xdr:col>
      <xdr:colOff>228056</xdr:colOff>
      <xdr:row>73</xdr:row>
      <xdr:rowOff>611387</xdr:rowOff>
    </xdr:to>
    <xdr:sp macro="" textlink="">
      <xdr:nvSpPr>
        <xdr:cNvPr id="395" name="Овал 394"/>
        <xdr:cNvSpPr/>
      </xdr:nvSpPr>
      <xdr:spPr>
        <a:xfrm>
          <a:off x="2093831" y="47701862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539724</xdr:colOff>
      <xdr:row>70</xdr:row>
      <xdr:rowOff>525716</xdr:rowOff>
    </xdr:from>
    <xdr:to>
      <xdr:col>3</xdr:col>
      <xdr:colOff>66699</xdr:colOff>
      <xdr:row>70</xdr:row>
      <xdr:rowOff>633716</xdr:rowOff>
    </xdr:to>
    <xdr:sp macro="" textlink="">
      <xdr:nvSpPr>
        <xdr:cNvPr id="398" name="Овал 397"/>
        <xdr:cNvSpPr/>
      </xdr:nvSpPr>
      <xdr:spPr>
        <a:xfrm>
          <a:off x="1968474" y="4428356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87967</xdr:colOff>
      <xdr:row>70</xdr:row>
      <xdr:rowOff>15448</xdr:rowOff>
    </xdr:from>
    <xdr:to>
      <xdr:col>3</xdr:col>
      <xdr:colOff>536201</xdr:colOff>
      <xdr:row>70</xdr:row>
      <xdr:rowOff>15448</xdr:rowOff>
    </xdr:to>
    <xdr:cxnSp macro="">
      <xdr:nvCxnSpPr>
        <xdr:cNvPr id="399" name="Прямая соединительная линия 398"/>
        <xdr:cNvCxnSpPr/>
      </xdr:nvCxnSpPr>
      <xdr:spPr>
        <a:xfrm>
          <a:off x="1516717" y="43773298"/>
          <a:ext cx="1029259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11768</xdr:colOff>
      <xdr:row>69</xdr:row>
      <xdr:rowOff>132790</xdr:rowOff>
    </xdr:from>
    <xdr:to>
      <xdr:col>3</xdr:col>
      <xdr:colOff>11768</xdr:colOff>
      <xdr:row>70</xdr:row>
      <xdr:rowOff>581027</xdr:rowOff>
    </xdr:to>
    <xdr:cxnSp macro="">
      <xdr:nvCxnSpPr>
        <xdr:cNvPr id="400" name="Прямая соединительная линия 399"/>
        <xdr:cNvCxnSpPr/>
      </xdr:nvCxnSpPr>
      <xdr:spPr>
        <a:xfrm flipV="1">
          <a:off x="2021543" y="43195315"/>
          <a:ext cx="0" cy="1143562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533183</xdr:colOff>
      <xdr:row>74</xdr:row>
      <xdr:rowOff>507226</xdr:rowOff>
    </xdr:from>
    <xdr:to>
      <xdr:col>3</xdr:col>
      <xdr:colOff>60158</xdr:colOff>
      <xdr:row>74</xdr:row>
      <xdr:rowOff>615226</xdr:rowOff>
    </xdr:to>
    <xdr:sp macro="" textlink="">
      <xdr:nvSpPr>
        <xdr:cNvPr id="404" name="Овал 403"/>
        <xdr:cNvSpPr/>
      </xdr:nvSpPr>
      <xdr:spPr>
        <a:xfrm>
          <a:off x="1969260" y="47091803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74099</xdr:colOff>
      <xdr:row>73</xdr:row>
      <xdr:rowOff>692283</xdr:rowOff>
    </xdr:from>
    <xdr:to>
      <xdr:col>3</xdr:col>
      <xdr:colOff>488716</xdr:colOff>
      <xdr:row>73</xdr:row>
      <xdr:rowOff>692283</xdr:rowOff>
    </xdr:to>
    <xdr:cxnSp macro="">
      <xdr:nvCxnSpPr>
        <xdr:cNvPr id="405" name="Прямая соединительная линия 404"/>
        <xdr:cNvCxnSpPr/>
      </xdr:nvCxnSpPr>
      <xdr:spPr>
        <a:xfrm>
          <a:off x="1502849" y="47926758"/>
          <a:ext cx="99564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7425</xdr:colOff>
      <xdr:row>74</xdr:row>
      <xdr:rowOff>0</xdr:rowOff>
    </xdr:from>
    <xdr:to>
      <xdr:col>3</xdr:col>
      <xdr:colOff>7425</xdr:colOff>
      <xdr:row>74</xdr:row>
      <xdr:rowOff>607361</xdr:rowOff>
    </xdr:to>
    <xdr:cxnSp macro="">
      <xdr:nvCxnSpPr>
        <xdr:cNvPr id="408" name="Прямая соединительная линия 407"/>
        <xdr:cNvCxnSpPr/>
      </xdr:nvCxnSpPr>
      <xdr:spPr>
        <a:xfrm flipV="1">
          <a:off x="2024484" y="45148500"/>
          <a:ext cx="0" cy="60736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</xdr:colOff>
      <xdr:row>61</xdr:row>
      <xdr:rowOff>696486</xdr:rowOff>
    </xdr:from>
    <xdr:to>
      <xdr:col>3</xdr:col>
      <xdr:colOff>536201</xdr:colOff>
      <xdr:row>61</xdr:row>
      <xdr:rowOff>696486</xdr:rowOff>
    </xdr:to>
    <xdr:cxnSp macro="">
      <xdr:nvCxnSpPr>
        <xdr:cNvPr id="425" name="Прямая соединительная линия 424"/>
        <xdr:cNvCxnSpPr/>
      </xdr:nvCxnSpPr>
      <xdr:spPr>
        <a:xfrm>
          <a:off x="2018109" y="42451705"/>
          <a:ext cx="53024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525856</xdr:colOff>
      <xdr:row>80</xdr:row>
      <xdr:rowOff>507226</xdr:rowOff>
    </xdr:from>
    <xdr:to>
      <xdr:col>3</xdr:col>
      <xdr:colOff>52831</xdr:colOff>
      <xdr:row>80</xdr:row>
      <xdr:rowOff>615226</xdr:rowOff>
    </xdr:to>
    <xdr:sp macro="" textlink="">
      <xdr:nvSpPr>
        <xdr:cNvPr id="489" name="Овал 488"/>
        <xdr:cNvSpPr/>
      </xdr:nvSpPr>
      <xdr:spPr>
        <a:xfrm>
          <a:off x="1954606" y="5817157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74099</xdr:colOff>
      <xdr:row>79</xdr:row>
      <xdr:rowOff>692283</xdr:rowOff>
    </xdr:from>
    <xdr:to>
      <xdr:col>3</xdr:col>
      <xdr:colOff>488716</xdr:colOff>
      <xdr:row>79</xdr:row>
      <xdr:rowOff>692283</xdr:rowOff>
    </xdr:to>
    <xdr:cxnSp macro="">
      <xdr:nvCxnSpPr>
        <xdr:cNvPr id="490" name="Прямая соединительная линия 489"/>
        <xdr:cNvCxnSpPr/>
      </xdr:nvCxnSpPr>
      <xdr:spPr>
        <a:xfrm>
          <a:off x="1502849" y="57661308"/>
          <a:ext cx="99564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92189</xdr:colOff>
      <xdr:row>80</xdr:row>
      <xdr:rowOff>347542</xdr:rowOff>
    </xdr:from>
    <xdr:to>
      <xdr:col>3</xdr:col>
      <xdr:colOff>236189</xdr:colOff>
      <xdr:row>80</xdr:row>
      <xdr:rowOff>491956</xdr:rowOff>
    </xdr:to>
    <xdr:sp macro="" textlink="">
      <xdr:nvSpPr>
        <xdr:cNvPr id="492" name="Овал 491"/>
        <xdr:cNvSpPr/>
      </xdr:nvSpPr>
      <xdr:spPr>
        <a:xfrm>
          <a:off x="2101964" y="63574492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578925</xdr:colOff>
      <xdr:row>79</xdr:row>
      <xdr:rowOff>114300</xdr:rowOff>
    </xdr:from>
    <xdr:to>
      <xdr:col>2</xdr:col>
      <xdr:colOff>578925</xdr:colOff>
      <xdr:row>80</xdr:row>
      <xdr:rowOff>562537</xdr:rowOff>
    </xdr:to>
    <xdr:cxnSp macro="">
      <xdr:nvCxnSpPr>
        <xdr:cNvPr id="493" name="Прямая соединительная линия 492"/>
        <xdr:cNvCxnSpPr/>
      </xdr:nvCxnSpPr>
      <xdr:spPr>
        <a:xfrm flipV="1">
          <a:off x="2007675" y="57083325"/>
          <a:ext cx="0" cy="1143562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518529</xdr:colOff>
      <xdr:row>84</xdr:row>
      <xdr:rowOff>507226</xdr:rowOff>
    </xdr:from>
    <xdr:to>
      <xdr:col>3</xdr:col>
      <xdr:colOff>45504</xdr:colOff>
      <xdr:row>84</xdr:row>
      <xdr:rowOff>615226</xdr:rowOff>
    </xdr:to>
    <xdr:sp macro="" textlink="">
      <xdr:nvSpPr>
        <xdr:cNvPr id="498" name="Овал 497"/>
        <xdr:cNvSpPr/>
      </xdr:nvSpPr>
      <xdr:spPr>
        <a:xfrm>
          <a:off x="1954606" y="63797188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74099</xdr:colOff>
      <xdr:row>83</xdr:row>
      <xdr:rowOff>692283</xdr:rowOff>
    </xdr:from>
    <xdr:to>
      <xdr:col>3</xdr:col>
      <xdr:colOff>488716</xdr:colOff>
      <xdr:row>83</xdr:row>
      <xdr:rowOff>692283</xdr:rowOff>
    </xdr:to>
    <xdr:cxnSp macro="">
      <xdr:nvCxnSpPr>
        <xdr:cNvPr id="499" name="Прямая соединительная линия 498"/>
        <xdr:cNvCxnSpPr/>
      </xdr:nvCxnSpPr>
      <xdr:spPr>
        <a:xfrm>
          <a:off x="1502849" y="57661308"/>
          <a:ext cx="99564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368414</xdr:colOff>
      <xdr:row>83</xdr:row>
      <xdr:rowOff>442792</xdr:rowOff>
    </xdr:from>
    <xdr:to>
      <xdr:col>2</xdr:col>
      <xdr:colOff>512414</xdr:colOff>
      <xdr:row>83</xdr:row>
      <xdr:rowOff>587206</xdr:rowOff>
    </xdr:to>
    <xdr:sp macro="" textlink="">
      <xdr:nvSpPr>
        <xdr:cNvPr id="501" name="Овал 500"/>
        <xdr:cNvSpPr/>
      </xdr:nvSpPr>
      <xdr:spPr>
        <a:xfrm>
          <a:off x="1797164" y="62974417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571598</xdr:colOff>
      <xdr:row>83</xdr:row>
      <xdr:rowOff>114300</xdr:rowOff>
    </xdr:from>
    <xdr:to>
      <xdr:col>2</xdr:col>
      <xdr:colOff>571598</xdr:colOff>
      <xdr:row>84</xdr:row>
      <xdr:rowOff>562537</xdr:rowOff>
    </xdr:to>
    <xdr:cxnSp macro="">
      <xdr:nvCxnSpPr>
        <xdr:cNvPr id="502" name="Прямая соединительная линия 501"/>
        <xdr:cNvCxnSpPr/>
      </xdr:nvCxnSpPr>
      <xdr:spPr>
        <a:xfrm flipV="1">
          <a:off x="2007675" y="62708204"/>
          <a:ext cx="0" cy="1144295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196398</xdr:colOff>
      <xdr:row>83</xdr:row>
      <xdr:rowOff>518713</xdr:rowOff>
    </xdr:from>
    <xdr:to>
      <xdr:col>4</xdr:col>
      <xdr:colOff>818029</xdr:colOff>
      <xdr:row>84</xdr:row>
      <xdr:rowOff>348266</xdr:rowOff>
    </xdr:to>
    <xdr:sp macro="" textlink="">
      <xdr:nvSpPr>
        <xdr:cNvPr id="88" name="Равнобедренный треугольник 87"/>
        <xdr:cNvSpPr/>
      </xdr:nvSpPr>
      <xdr:spPr>
        <a:xfrm flipV="1">
          <a:off x="2796163" y="63036331"/>
          <a:ext cx="621631" cy="524317"/>
        </a:xfrm>
        <a:prstGeom prst="triangle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108696</xdr:colOff>
      <xdr:row>84</xdr:row>
      <xdr:rowOff>99562</xdr:rowOff>
    </xdr:from>
    <xdr:to>
      <xdr:col>4</xdr:col>
      <xdr:colOff>571499</xdr:colOff>
      <xdr:row>84</xdr:row>
      <xdr:rowOff>99562</xdr:rowOff>
    </xdr:to>
    <xdr:cxnSp macro="">
      <xdr:nvCxnSpPr>
        <xdr:cNvPr id="504" name="Прямая соединительная линия 503"/>
        <xdr:cNvCxnSpPr/>
      </xdr:nvCxnSpPr>
      <xdr:spPr>
        <a:xfrm flipH="1">
          <a:off x="2708461" y="63311944"/>
          <a:ext cx="462803" cy="0"/>
        </a:xfrm>
        <a:prstGeom prst="line">
          <a:avLst/>
        </a:prstGeom>
        <a:ln w="508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13489</xdr:colOff>
      <xdr:row>69</xdr:row>
      <xdr:rowOff>585723</xdr:rowOff>
    </xdr:from>
    <xdr:to>
      <xdr:col>3</xdr:col>
      <xdr:colOff>141055</xdr:colOff>
      <xdr:row>70</xdr:row>
      <xdr:rowOff>18255</xdr:rowOff>
    </xdr:to>
    <xdr:grpSp>
      <xdr:nvGrpSpPr>
        <xdr:cNvPr id="508" name="Группа 507"/>
        <xdr:cNvGrpSpPr/>
      </xdr:nvGrpSpPr>
      <xdr:grpSpPr>
        <a:xfrm flipH="1">
          <a:off x="2022398" y="40781223"/>
          <a:ext cx="127566" cy="125259"/>
          <a:chOff x="1132242" y="1306343"/>
          <a:chExt cx="123151" cy="128030"/>
        </a:xfrm>
      </xdr:grpSpPr>
      <xdr:cxnSp macro="">
        <xdr:nvCxnSpPr>
          <xdr:cNvPr id="509" name="Прямая соединительная линия 50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0" name="Прямоугольник 50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89648</xdr:colOff>
      <xdr:row>79</xdr:row>
      <xdr:rowOff>330253</xdr:rowOff>
    </xdr:from>
    <xdr:to>
      <xdr:col>4</xdr:col>
      <xdr:colOff>699301</xdr:colOff>
      <xdr:row>80</xdr:row>
      <xdr:rowOff>245143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448" y="62861878"/>
          <a:ext cx="609653" cy="610214"/>
        </a:xfrm>
        <a:prstGeom prst="rect">
          <a:avLst/>
        </a:prstGeom>
      </xdr:spPr>
    </xdr:pic>
    <xdr:clientData/>
  </xdr:twoCellAnchor>
  <xdr:twoCellAnchor editAs="oneCell">
    <xdr:from>
      <xdr:col>4</xdr:col>
      <xdr:colOff>739588</xdr:colOff>
      <xdr:row>79</xdr:row>
      <xdr:rowOff>330253</xdr:rowOff>
    </xdr:from>
    <xdr:to>
      <xdr:col>4</xdr:col>
      <xdr:colOff>1047463</xdr:colOff>
      <xdr:row>80</xdr:row>
      <xdr:rowOff>245143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388" y="62861878"/>
          <a:ext cx="307875" cy="610214"/>
        </a:xfrm>
        <a:prstGeom prst="rect">
          <a:avLst/>
        </a:prstGeom>
      </xdr:spPr>
    </xdr:pic>
    <xdr:clientData/>
  </xdr:twoCellAnchor>
  <xdr:twoCellAnchor>
    <xdr:from>
      <xdr:col>2</xdr:col>
      <xdr:colOff>533069</xdr:colOff>
      <xdr:row>114</xdr:row>
      <xdr:rowOff>558822</xdr:rowOff>
    </xdr:from>
    <xdr:to>
      <xdr:col>3</xdr:col>
      <xdr:colOff>67082</xdr:colOff>
      <xdr:row>114</xdr:row>
      <xdr:rowOff>666822</xdr:rowOff>
    </xdr:to>
    <xdr:sp macro="" textlink="">
      <xdr:nvSpPr>
        <xdr:cNvPr id="591" name="Овал 590"/>
        <xdr:cNvSpPr/>
      </xdr:nvSpPr>
      <xdr:spPr>
        <a:xfrm>
          <a:off x="1967422" y="76276969"/>
          <a:ext cx="11671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6542</xdr:colOff>
      <xdr:row>113</xdr:row>
      <xdr:rowOff>96716</xdr:rowOff>
    </xdr:from>
    <xdr:to>
      <xdr:col>3</xdr:col>
      <xdr:colOff>6542</xdr:colOff>
      <xdr:row>114</xdr:row>
      <xdr:rowOff>624254</xdr:rowOff>
    </xdr:to>
    <xdr:cxnSp macro="">
      <xdr:nvCxnSpPr>
        <xdr:cNvPr id="594" name="Прямая соединительная линия 593"/>
        <xdr:cNvCxnSpPr/>
      </xdr:nvCxnSpPr>
      <xdr:spPr>
        <a:xfrm flipV="1">
          <a:off x="2016317" y="68190941"/>
          <a:ext cx="0" cy="12228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575467</xdr:colOff>
      <xdr:row>114</xdr:row>
      <xdr:rowOff>0</xdr:rowOff>
    </xdr:from>
    <xdr:to>
      <xdr:col>3</xdr:col>
      <xdr:colOff>514350</xdr:colOff>
      <xdr:row>114</xdr:row>
      <xdr:rowOff>24097</xdr:rowOff>
    </xdr:to>
    <xdr:cxnSp macro="">
      <xdr:nvCxnSpPr>
        <xdr:cNvPr id="595" name="Прямая соединительная линия 594"/>
        <xdr:cNvCxnSpPr/>
      </xdr:nvCxnSpPr>
      <xdr:spPr>
        <a:xfrm flipH="1">
          <a:off x="2004217" y="68789550"/>
          <a:ext cx="519908" cy="24097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113</xdr:row>
      <xdr:rowOff>587188</xdr:rowOff>
    </xdr:from>
    <xdr:to>
      <xdr:col>3</xdr:col>
      <xdr:colOff>135410</xdr:colOff>
      <xdr:row>114</xdr:row>
      <xdr:rowOff>19160</xdr:rowOff>
    </xdr:to>
    <xdr:grpSp>
      <xdr:nvGrpSpPr>
        <xdr:cNvPr id="596" name="Группа 595"/>
        <xdr:cNvGrpSpPr/>
      </xdr:nvGrpSpPr>
      <xdr:grpSpPr>
        <a:xfrm flipH="1">
          <a:off x="2018434" y="67106324"/>
          <a:ext cx="125885" cy="124700"/>
          <a:chOff x="1132242" y="1306343"/>
          <a:chExt cx="123151" cy="128030"/>
        </a:xfrm>
      </xdr:grpSpPr>
      <xdr:cxnSp macro="">
        <xdr:nvCxnSpPr>
          <xdr:cNvPr id="597" name="Прямая соединительная линия 59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98" name="Прямоугольник 59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123825</xdr:colOff>
      <xdr:row>113</xdr:row>
      <xdr:rowOff>514350</xdr:rowOff>
    </xdr:from>
    <xdr:to>
      <xdr:col>3</xdr:col>
      <xdr:colOff>1608</xdr:colOff>
      <xdr:row>113</xdr:row>
      <xdr:rowOff>594227</xdr:rowOff>
    </xdr:to>
    <xdr:cxnSp macro="">
      <xdr:nvCxnSpPr>
        <xdr:cNvPr id="605" name="Прямая соединительная линия 604"/>
        <xdr:cNvCxnSpPr/>
      </xdr:nvCxnSpPr>
      <xdr:spPr>
        <a:xfrm flipH="1" flipV="1">
          <a:off x="1552575" y="68608575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525657</xdr:colOff>
      <xdr:row>60</xdr:row>
      <xdr:rowOff>527795</xdr:rowOff>
    </xdr:from>
    <xdr:to>
      <xdr:col>3</xdr:col>
      <xdr:colOff>59670</xdr:colOff>
      <xdr:row>60</xdr:row>
      <xdr:rowOff>635795</xdr:rowOff>
    </xdr:to>
    <xdr:sp macro="" textlink="">
      <xdr:nvSpPr>
        <xdr:cNvPr id="629" name="Овал 628"/>
        <xdr:cNvSpPr/>
      </xdr:nvSpPr>
      <xdr:spPr>
        <a:xfrm>
          <a:off x="1960010" y="37339119"/>
          <a:ext cx="11671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59</xdr:row>
      <xdr:rowOff>629312</xdr:rowOff>
    </xdr:from>
    <xdr:to>
      <xdr:col>3</xdr:col>
      <xdr:colOff>266156</xdr:colOff>
      <xdr:row>60</xdr:row>
      <xdr:rowOff>77987</xdr:rowOff>
    </xdr:to>
    <xdr:sp macro="" textlink="">
      <xdr:nvSpPr>
        <xdr:cNvPr id="631" name="Овал 630"/>
        <xdr:cNvSpPr/>
      </xdr:nvSpPr>
      <xdr:spPr>
        <a:xfrm>
          <a:off x="2131931" y="40910537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59</xdr:row>
      <xdr:rowOff>66675</xdr:rowOff>
    </xdr:from>
    <xdr:to>
      <xdr:col>3</xdr:col>
      <xdr:colOff>0</xdr:colOff>
      <xdr:row>60</xdr:row>
      <xdr:rowOff>572485</xdr:rowOff>
    </xdr:to>
    <xdr:cxnSp macro="">
      <xdr:nvCxnSpPr>
        <xdr:cNvPr id="640" name="Прямая соединительная линия 639"/>
        <xdr:cNvCxnSpPr/>
      </xdr:nvCxnSpPr>
      <xdr:spPr>
        <a:xfrm flipV="1">
          <a:off x="2009775" y="40347900"/>
          <a:ext cx="0" cy="120113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82664</xdr:colOff>
      <xdr:row>114</xdr:row>
      <xdr:rowOff>128467</xdr:rowOff>
    </xdr:from>
    <xdr:to>
      <xdr:col>3</xdr:col>
      <xdr:colOff>226664</xdr:colOff>
      <xdr:row>114</xdr:row>
      <xdr:rowOff>272881</xdr:rowOff>
    </xdr:to>
    <xdr:sp macro="" textlink="">
      <xdr:nvSpPr>
        <xdr:cNvPr id="495" name="Овал 494"/>
        <xdr:cNvSpPr/>
      </xdr:nvSpPr>
      <xdr:spPr>
        <a:xfrm>
          <a:off x="2092439" y="68918017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203387</xdr:colOff>
      <xdr:row>113</xdr:row>
      <xdr:rowOff>425264</xdr:rowOff>
    </xdr:from>
    <xdr:to>
      <xdr:col>6</xdr:col>
      <xdr:colOff>489137</xdr:colOff>
      <xdr:row>114</xdr:row>
      <xdr:rowOff>282389</xdr:rowOff>
    </xdr:to>
    <xdr:grpSp>
      <xdr:nvGrpSpPr>
        <xdr:cNvPr id="33" name="Группа 32"/>
        <xdr:cNvGrpSpPr/>
      </xdr:nvGrpSpPr>
      <xdr:grpSpPr>
        <a:xfrm>
          <a:off x="2801114" y="66944400"/>
          <a:ext cx="2017568" cy="549853"/>
          <a:chOff x="2771775" y="68541900"/>
          <a:chExt cx="2009775" cy="552450"/>
        </a:xfrm>
      </xdr:grpSpPr>
      <xdr:sp macro="" textlink="">
        <xdr:nvSpPr>
          <xdr:cNvPr id="496" name="Прямоугольник 495"/>
          <xdr:cNvSpPr/>
        </xdr:nvSpPr>
        <xdr:spPr>
          <a:xfrm>
            <a:off x="2771775" y="68541900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494" name="Прямоугольник 493"/>
          <xdr:cNvSpPr/>
        </xdr:nvSpPr>
        <xdr:spPr>
          <a:xfrm>
            <a:off x="2876550" y="68618100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8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30" name="Стрелка вправо 29"/>
          <xdr:cNvSpPr/>
        </xdr:nvSpPr>
        <xdr:spPr>
          <a:xfrm>
            <a:off x="4314825" y="68675250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579561</xdr:colOff>
      <xdr:row>121</xdr:row>
      <xdr:rowOff>76200</xdr:rowOff>
    </xdr:from>
    <xdr:to>
      <xdr:col>2</xdr:col>
      <xdr:colOff>579561</xdr:colOff>
      <xdr:row>122</xdr:row>
      <xdr:rowOff>564698</xdr:rowOff>
    </xdr:to>
    <xdr:cxnSp macro="">
      <xdr:nvCxnSpPr>
        <xdr:cNvPr id="564" name="Прямая соединительная линия 563"/>
        <xdr:cNvCxnSpPr/>
      </xdr:nvCxnSpPr>
      <xdr:spPr>
        <a:xfrm flipV="1">
          <a:off x="2008311" y="7095172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122</xdr:row>
      <xdr:rowOff>500743</xdr:rowOff>
    </xdr:from>
    <xdr:to>
      <xdr:col>3</xdr:col>
      <xdr:colOff>53467</xdr:colOff>
      <xdr:row>122</xdr:row>
      <xdr:rowOff>608743</xdr:rowOff>
    </xdr:to>
    <xdr:sp macro="" textlink="">
      <xdr:nvSpPr>
        <xdr:cNvPr id="569" name="Овал 568"/>
        <xdr:cNvSpPr/>
      </xdr:nvSpPr>
      <xdr:spPr>
        <a:xfrm>
          <a:off x="1955242" y="720715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121</xdr:row>
      <xdr:rowOff>624568</xdr:rowOff>
    </xdr:from>
    <xdr:to>
      <xdr:col>3</xdr:col>
      <xdr:colOff>279967</xdr:colOff>
      <xdr:row>122</xdr:row>
      <xdr:rowOff>73243</xdr:rowOff>
    </xdr:to>
    <xdr:sp macro="" textlink="">
      <xdr:nvSpPr>
        <xdr:cNvPr id="570" name="Овал 569"/>
        <xdr:cNvSpPr/>
      </xdr:nvSpPr>
      <xdr:spPr>
        <a:xfrm>
          <a:off x="2145742" y="7150009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438150</xdr:colOff>
      <xdr:row>121</xdr:row>
      <xdr:rowOff>530470</xdr:rowOff>
    </xdr:from>
    <xdr:to>
      <xdr:col>2</xdr:col>
      <xdr:colOff>561837</xdr:colOff>
      <xdr:row>121</xdr:row>
      <xdr:rowOff>658500</xdr:rowOff>
    </xdr:to>
    <xdr:grpSp>
      <xdr:nvGrpSpPr>
        <xdr:cNvPr id="571" name="Группа 570"/>
        <xdr:cNvGrpSpPr/>
      </xdr:nvGrpSpPr>
      <xdr:grpSpPr>
        <a:xfrm>
          <a:off x="1858241" y="71205970"/>
          <a:ext cx="123687" cy="128030"/>
          <a:chOff x="1132242" y="1306343"/>
          <a:chExt cx="123151" cy="128030"/>
        </a:xfrm>
      </xdr:grpSpPr>
      <xdr:cxnSp macro="">
        <xdr:nvCxnSpPr>
          <xdr:cNvPr id="572" name="Прямая соединительная линия 57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3" name="Прямоугольник 57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30</xdr:row>
      <xdr:rowOff>38100</xdr:rowOff>
    </xdr:from>
    <xdr:to>
      <xdr:col>3</xdr:col>
      <xdr:colOff>152400</xdr:colOff>
      <xdr:row>30</xdr:row>
      <xdr:rowOff>409575</xdr:rowOff>
    </xdr:to>
    <xdr:cxnSp macro="">
      <xdr:nvCxnSpPr>
        <xdr:cNvPr id="450" name="Прямая соединительная линия 449"/>
        <xdr:cNvCxnSpPr/>
      </xdr:nvCxnSpPr>
      <xdr:spPr>
        <a:xfrm>
          <a:off x="2027464" y="13182600"/>
          <a:ext cx="152400" cy="371475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83</xdr:row>
      <xdr:rowOff>304800</xdr:rowOff>
    </xdr:from>
    <xdr:to>
      <xdr:col>4</xdr:col>
      <xdr:colOff>114300</xdr:colOff>
      <xdr:row>84</xdr:row>
      <xdr:rowOff>574128</xdr:rowOff>
    </xdr:to>
    <xdr:cxnSp macro="">
      <xdr:nvCxnSpPr>
        <xdr:cNvPr id="479" name="Прямая соединительная линия 478"/>
        <xdr:cNvCxnSpPr/>
      </xdr:nvCxnSpPr>
      <xdr:spPr>
        <a:xfrm flipV="1">
          <a:off x="2705100" y="72570975"/>
          <a:ext cx="0" cy="964653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118</xdr:row>
      <xdr:rowOff>524922</xdr:rowOff>
    </xdr:from>
    <xdr:to>
      <xdr:col>3</xdr:col>
      <xdr:colOff>69900</xdr:colOff>
      <xdr:row>118</xdr:row>
      <xdr:rowOff>632922</xdr:rowOff>
    </xdr:to>
    <xdr:sp macro="" textlink="">
      <xdr:nvSpPr>
        <xdr:cNvPr id="480" name="Овал 479"/>
        <xdr:cNvSpPr/>
      </xdr:nvSpPr>
      <xdr:spPr>
        <a:xfrm>
          <a:off x="1971675" y="8043967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117</xdr:row>
      <xdr:rowOff>104776</xdr:rowOff>
    </xdr:from>
    <xdr:to>
      <xdr:col>3</xdr:col>
      <xdr:colOff>23162</xdr:colOff>
      <xdr:row>118</xdr:row>
      <xdr:rowOff>581025</xdr:rowOff>
    </xdr:to>
    <xdr:cxnSp macro="">
      <xdr:nvCxnSpPr>
        <xdr:cNvPr id="482" name="Прямая соединительная линия 481"/>
        <xdr:cNvCxnSpPr/>
      </xdr:nvCxnSpPr>
      <xdr:spPr>
        <a:xfrm flipV="1">
          <a:off x="2032937" y="79324201"/>
          <a:ext cx="0" cy="11715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118</xdr:row>
      <xdr:rowOff>427160</xdr:rowOff>
    </xdr:from>
    <xdr:to>
      <xdr:col>3</xdr:col>
      <xdr:colOff>144817</xdr:colOff>
      <xdr:row>118</xdr:row>
      <xdr:rowOff>554457</xdr:rowOff>
    </xdr:to>
    <xdr:grpSp>
      <xdr:nvGrpSpPr>
        <xdr:cNvPr id="484" name="Группа 483"/>
        <xdr:cNvGrpSpPr/>
      </xdr:nvGrpSpPr>
      <xdr:grpSpPr>
        <a:xfrm flipH="1">
          <a:off x="2026160" y="70409933"/>
          <a:ext cx="127566" cy="127297"/>
          <a:chOff x="1132242" y="1306343"/>
          <a:chExt cx="123151" cy="128030"/>
        </a:xfrm>
      </xdr:grpSpPr>
      <xdr:cxnSp macro="">
        <xdr:nvCxnSpPr>
          <xdr:cNvPr id="485" name="Прямая соединительная линия 48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6" name="Прямоугольник 48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117</xdr:row>
      <xdr:rowOff>114300</xdr:rowOff>
    </xdr:from>
    <xdr:to>
      <xdr:col>3</xdr:col>
      <xdr:colOff>304800</xdr:colOff>
      <xdr:row>118</xdr:row>
      <xdr:rowOff>552450</xdr:rowOff>
    </xdr:to>
    <xdr:sp macro="" textlink="">
      <xdr:nvSpPr>
        <xdr:cNvPr id="15" name="Полилиния 14"/>
        <xdr:cNvSpPr/>
      </xdr:nvSpPr>
      <xdr:spPr>
        <a:xfrm>
          <a:off x="2019300" y="79333725"/>
          <a:ext cx="295275" cy="1133475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169251</xdr:colOff>
      <xdr:row>24</xdr:row>
      <xdr:rowOff>145807</xdr:rowOff>
    </xdr:from>
    <xdr:to>
      <xdr:col>2</xdr:col>
      <xdr:colOff>295136</xdr:colOff>
      <xdr:row>24</xdr:row>
      <xdr:rowOff>273104</xdr:rowOff>
    </xdr:to>
    <xdr:grpSp>
      <xdr:nvGrpSpPr>
        <xdr:cNvPr id="545" name="Группа 544"/>
        <xdr:cNvGrpSpPr/>
      </xdr:nvGrpSpPr>
      <xdr:grpSpPr>
        <a:xfrm>
          <a:off x="1589342" y="10554034"/>
          <a:ext cx="125885" cy="127297"/>
          <a:chOff x="1132242" y="1306343"/>
          <a:chExt cx="123151" cy="128030"/>
        </a:xfrm>
      </xdr:grpSpPr>
      <xdr:cxnSp macro="">
        <xdr:nvCxnSpPr>
          <xdr:cNvPr id="546" name="Прямая соединительная линия 54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7" name="Прямоугольник 54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119062</xdr:colOff>
      <xdr:row>11</xdr:row>
      <xdr:rowOff>392906</xdr:rowOff>
    </xdr:from>
    <xdr:to>
      <xdr:col>4</xdr:col>
      <xdr:colOff>728715</xdr:colOff>
      <xdr:row>12</xdr:row>
      <xdr:rowOff>311997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714500"/>
          <a:ext cx="609653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121</xdr:row>
      <xdr:rowOff>404813</xdr:rowOff>
    </xdr:from>
    <xdr:to>
      <xdr:col>4</xdr:col>
      <xdr:colOff>681090</xdr:colOff>
      <xdr:row>122</xdr:row>
      <xdr:rowOff>323906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70782657"/>
          <a:ext cx="609653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39</xdr:row>
      <xdr:rowOff>381000</xdr:rowOff>
    </xdr:from>
    <xdr:to>
      <xdr:col>4</xdr:col>
      <xdr:colOff>704903</xdr:colOff>
      <xdr:row>40</xdr:row>
      <xdr:rowOff>300093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30706219"/>
          <a:ext cx="609653" cy="609653"/>
        </a:xfrm>
        <a:prstGeom prst="rect">
          <a:avLst/>
        </a:prstGeom>
      </xdr:spPr>
    </xdr:pic>
    <xdr:clientData/>
  </xdr:twoCellAnchor>
  <xdr:twoCellAnchor>
    <xdr:from>
      <xdr:col>4</xdr:col>
      <xdr:colOff>153589</xdr:colOff>
      <xdr:row>22</xdr:row>
      <xdr:rowOff>0</xdr:rowOff>
    </xdr:from>
    <xdr:to>
      <xdr:col>4</xdr:col>
      <xdr:colOff>600074</xdr:colOff>
      <xdr:row>22</xdr:row>
      <xdr:rowOff>446485</xdr:rowOff>
    </xdr:to>
    <xdr:grpSp>
      <xdr:nvGrpSpPr>
        <xdr:cNvPr id="45" name="Группа 44"/>
        <xdr:cNvGrpSpPr/>
      </xdr:nvGrpSpPr>
      <xdr:grpSpPr>
        <a:xfrm>
          <a:off x="2751316" y="9022773"/>
          <a:ext cx="446485" cy="446485"/>
          <a:chOff x="2881312" y="11781235"/>
          <a:chExt cx="446485" cy="446485"/>
        </a:xfrm>
      </xdr:grpSpPr>
      <xdr:sp macro="" textlink="">
        <xdr:nvSpPr>
          <xdr:cNvPr id="44" name="Прямоугольник 43"/>
          <xdr:cNvSpPr/>
        </xdr:nvSpPr>
        <xdr:spPr>
          <a:xfrm>
            <a:off x="2881312" y="11781235"/>
            <a:ext cx="446485" cy="446485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37" name="Рисунок 3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17354" y="11817277"/>
            <a:ext cx="374400" cy="3744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571500</xdr:colOff>
      <xdr:row>21</xdr:row>
      <xdr:rowOff>315057</xdr:rowOff>
    </xdr:from>
    <xdr:to>
      <xdr:col>3</xdr:col>
      <xdr:colOff>490904</xdr:colOff>
      <xdr:row>22</xdr:row>
      <xdr:rowOff>578827</xdr:rowOff>
    </xdr:to>
    <xdr:sp macro="" textlink="">
      <xdr:nvSpPr>
        <xdr:cNvPr id="5" name="Полилиния 4"/>
        <xdr:cNvSpPr/>
      </xdr:nvSpPr>
      <xdr:spPr>
        <a:xfrm>
          <a:off x="2007577" y="11400692"/>
          <a:ext cx="498231" cy="959827"/>
        </a:xfrm>
        <a:custGeom>
          <a:avLst/>
          <a:gdLst>
            <a:gd name="connsiteX0" fmla="*/ 0 w 498231"/>
            <a:gd name="connsiteY0" fmla="*/ 959827 h 959827"/>
            <a:gd name="connsiteX1" fmla="*/ 0 w 498231"/>
            <a:gd name="connsiteY1" fmla="*/ 410308 h 959827"/>
            <a:gd name="connsiteX2" fmla="*/ 498231 w 498231"/>
            <a:gd name="connsiteY2" fmla="*/ 0 h 95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8231" h="959827">
              <a:moveTo>
                <a:pt x="0" y="959827"/>
              </a:moveTo>
              <a:lnTo>
                <a:pt x="0" y="410308"/>
              </a:lnTo>
              <a:lnTo>
                <a:pt x="498231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440347</xdr:colOff>
      <xdr:row>21</xdr:row>
      <xdr:rowOff>586888</xdr:rowOff>
    </xdr:from>
    <xdr:to>
      <xdr:col>2</xdr:col>
      <xdr:colOff>566232</xdr:colOff>
      <xdr:row>22</xdr:row>
      <xdr:rowOff>18128</xdr:rowOff>
    </xdr:to>
    <xdr:grpSp>
      <xdr:nvGrpSpPr>
        <xdr:cNvPr id="540" name="Группа 539"/>
        <xdr:cNvGrpSpPr/>
      </xdr:nvGrpSpPr>
      <xdr:grpSpPr>
        <a:xfrm>
          <a:off x="1860438" y="8916933"/>
          <a:ext cx="125885" cy="123968"/>
          <a:chOff x="1132242" y="1306343"/>
          <a:chExt cx="123151" cy="128030"/>
        </a:xfrm>
      </xdr:grpSpPr>
      <xdr:cxnSp macro="">
        <xdr:nvCxnSpPr>
          <xdr:cNvPr id="543" name="Прямая соединительная линия 5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4" name="Прямоугольник 54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19050</xdr:colOff>
      <xdr:row>28</xdr:row>
      <xdr:rowOff>0</xdr:rowOff>
    </xdr:from>
    <xdr:to>
      <xdr:col>2</xdr:col>
      <xdr:colOff>564173</xdr:colOff>
      <xdr:row>28</xdr:row>
      <xdr:rowOff>564173</xdr:rowOff>
    </xdr:to>
    <xdr:sp macro="" textlink="">
      <xdr:nvSpPr>
        <xdr:cNvPr id="11" name="Полилиния 10"/>
        <xdr:cNvSpPr/>
      </xdr:nvSpPr>
      <xdr:spPr>
        <a:xfrm>
          <a:off x="1447800" y="14554200"/>
          <a:ext cx="545123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558" h="564173">
              <a:moveTo>
                <a:pt x="505558" y="564173"/>
              </a:moveTo>
              <a:lnTo>
                <a:pt x="50555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28575</xdr:colOff>
      <xdr:row>29</xdr:row>
      <xdr:rowOff>690929</xdr:rowOff>
    </xdr:from>
    <xdr:to>
      <xdr:col>2</xdr:col>
      <xdr:colOff>564173</xdr:colOff>
      <xdr:row>30</xdr:row>
      <xdr:rowOff>559777</xdr:rowOff>
    </xdr:to>
    <xdr:sp macro="" textlink="">
      <xdr:nvSpPr>
        <xdr:cNvPr id="481" name="Полилиния 480"/>
        <xdr:cNvSpPr/>
      </xdr:nvSpPr>
      <xdr:spPr>
        <a:xfrm>
          <a:off x="1457325" y="15940454"/>
          <a:ext cx="535598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36635</xdr:colOff>
      <xdr:row>32</xdr:row>
      <xdr:rowOff>7326</xdr:rowOff>
    </xdr:from>
    <xdr:to>
      <xdr:col>2</xdr:col>
      <xdr:colOff>564173</xdr:colOff>
      <xdr:row>32</xdr:row>
      <xdr:rowOff>571499</xdr:rowOff>
    </xdr:to>
    <xdr:sp macro="" textlink="">
      <xdr:nvSpPr>
        <xdr:cNvPr id="483" name="Полилиния 482"/>
        <xdr:cNvSpPr/>
      </xdr:nvSpPr>
      <xdr:spPr>
        <a:xfrm>
          <a:off x="1472712" y="17357480"/>
          <a:ext cx="527538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578826</xdr:colOff>
      <xdr:row>31</xdr:row>
      <xdr:rowOff>590120</xdr:rowOff>
    </xdr:from>
    <xdr:to>
      <xdr:col>3</xdr:col>
      <xdr:colOff>123686</xdr:colOff>
      <xdr:row>32</xdr:row>
      <xdr:rowOff>22652</xdr:rowOff>
    </xdr:to>
    <xdr:grpSp>
      <xdr:nvGrpSpPr>
        <xdr:cNvPr id="234" name="Группа 233"/>
        <xdr:cNvGrpSpPr/>
      </xdr:nvGrpSpPr>
      <xdr:grpSpPr>
        <a:xfrm flipH="1">
          <a:off x="1998917" y="14461984"/>
          <a:ext cx="133678" cy="125259"/>
          <a:chOff x="1132242" y="1306343"/>
          <a:chExt cx="123151" cy="128030"/>
        </a:xfrm>
      </xdr:grpSpPr>
      <xdr:cxnSp macro="">
        <xdr:nvCxnSpPr>
          <xdr:cNvPr id="235" name="Прямая соединительная линия 23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6" name="Прямоугольник 23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95250</xdr:colOff>
      <xdr:row>56</xdr:row>
      <xdr:rowOff>21981</xdr:rowOff>
    </xdr:from>
    <xdr:to>
      <xdr:col>2</xdr:col>
      <xdr:colOff>571500</xdr:colOff>
      <xdr:row>56</xdr:row>
      <xdr:rowOff>571500</xdr:rowOff>
    </xdr:to>
    <xdr:sp macro="" textlink="">
      <xdr:nvSpPr>
        <xdr:cNvPr id="12" name="Полилиния 11"/>
        <xdr:cNvSpPr/>
      </xdr:nvSpPr>
      <xdr:spPr>
        <a:xfrm>
          <a:off x="1531327" y="39645981"/>
          <a:ext cx="476250" cy="549519"/>
        </a:xfrm>
        <a:custGeom>
          <a:avLst/>
          <a:gdLst>
            <a:gd name="connsiteX0" fmla="*/ 476250 w 476250"/>
            <a:gd name="connsiteY0" fmla="*/ 549519 h 549519"/>
            <a:gd name="connsiteX1" fmla="*/ 476250 w 476250"/>
            <a:gd name="connsiteY1" fmla="*/ 0 h 549519"/>
            <a:gd name="connsiteX2" fmla="*/ 0 w 476250"/>
            <a:gd name="connsiteY2" fmla="*/ 161192 h 5495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6250" h="549519">
              <a:moveTo>
                <a:pt x="476250" y="549519"/>
              </a:moveTo>
              <a:lnTo>
                <a:pt x="476250" y="0"/>
              </a:lnTo>
              <a:lnTo>
                <a:pt x="0" y="161192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47624</xdr:colOff>
      <xdr:row>61</xdr:row>
      <xdr:rowOff>688732</xdr:rowOff>
    </xdr:from>
    <xdr:to>
      <xdr:col>2</xdr:col>
      <xdr:colOff>571499</xdr:colOff>
      <xdr:row>62</xdr:row>
      <xdr:rowOff>542193</xdr:rowOff>
    </xdr:to>
    <xdr:sp macro="" textlink="">
      <xdr:nvSpPr>
        <xdr:cNvPr id="487" name="Полилиния 486"/>
        <xdr:cNvSpPr/>
      </xdr:nvSpPr>
      <xdr:spPr>
        <a:xfrm>
          <a:off x="1476374" y="42360607"/>
          <a:ext cx="523875" cy="548786"/>
        </a:xfrm>
        <a:custGeom>
          <a:avLst/>
          <a:gdLst>
            <a:gd name="connsiteX0" fmla="*/ 476250 w 476250"/>
            <a:gd name="connsiteY0" fmla="*/ 549519 h 549519"/>
            <a:gd name="connsiteX1" fmla="*/ 476250 w 476250"/>
            <a:gd name="connsiteY1" fmla="*/ 0 h 549519"/>
            <a:gd name="connsiteX2" fmla="*/ 0 w 476250"/>
            <a:gd name="connsiteY2" fmla="*/ 161192 h 549519"/>
            <a:gd name="connsiteX0" fmla="*/ 523875 w 523875"/>
            <a:gd name="connsiteY0" fmla="*/ 549519 h 549519"/>
            <a:gd name="connsiteX1" fmla="*/ 523875 w 523875"/>
            <a:gd name="connsiteY1" fmla="*/ 0 h 549519"/>
            <a:gd name="connsiteX2" fmla="*/ 0 w 523875"/>
            <a:gd name="connsiteY2" fmla="*/ 180267 h 5495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3875" h="549519">
              <a:moveTo>
                <a:pt x="523875" y="549519"/>
              </a:moveTo>
              <a:lnTo>
                <a:pt x="523875" y="0"/>
              </a:lnTo>
              <a:lnTo>
                <a:pt x="0" y="180267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29308</xdr:colOff>
      <xdr:row>64</xdr:row>
      <xdr:rowOff>7328</xdr:rowOff>
    </xdr:from>
    <xdr:to>
      <xdr:col>3</xdr:col>
      <xdr:colOff>14653</xdr:colOff>
      <xdr:row>64</xdr:row>
      <xdr:rowOff>571501</xdr:rowOff>
    </xdr:to>
    <xdr:sp macro="" textlink="">
      <xdr:nvSpPr>
        <xdr:cNvPr id="538" name="Полилиния 537"/>
        <xdr:cNvSpPr/>
      </xdr:nvSpPr>
      <xdr:spPr>
        <a:xfrm>
          <a:off x="1465385" y="43807674"/>
          <a:ext cx="564172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13489</xdr:colOff>
      <xdr:row>63</xdr:row>
      <xdr:rowOff>585724</xdr:rowOff>
    </xdr:from>
    <xdr:to>
      <xdr:col>3</xdr:col>
      <xdr:colOff>141055</xdr:colOff>
      <xdr:row>64</xdr:row>
      <xdr:rowOff>18256</xdr:rowOff>
    </xdr:to>
    <xdr:grpSp>
      <xdr:nvGrpSpPr>
        <xdr:cNvPr id="505" name="Группа 504"/>
        <xdr:cNvGrpSpPr/>
      </xdr:nvGrpSpPr>
      <xdr:grpSpPr>
        <a:xfrm flipH="1">
          <a:off x="2022398" y="36624860"/>
          <a:ext cx="127566" cy="125260"/>
          <a:chOff x="1132242" y="1306343"/>
          <a:chExt cx="123151" cy="128030"/>
        </a:xfrm>
      </xdr:grpSpPr>
      <xdr:cxnSp macro="">
        <xdr:nvCxnSpPr>
          <xdr:cNvPr id="506" name="Прямая соединительная линия 50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7" name="Прямоугольник 50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29308</xdr:colOff>
      <xdr:row>70</xdr:row>
      <xdr:rowOff>7327</xdr:rowOff>
    </xdr:from>
    <xdr:to>
      <xdr:col>3</xdr:col>
      <xdr:colOff>14653</xdr:colOff>
      <xdr:row>70</xdr:row>
      <xdr:rowOff>571500</xdr:rowOff>
    </xdr:to>
    <xdr:sp macro="" textlink="">
      <xdr:nvSpPr>
        <xdr:cNvPr id="580" name="Полилиния 579"/>
        <xdr:cNvSpPr/>
      </xdr:nvSpPr>
      <xdr:spPr>
        <a:xfrm>
          <a:off x="1465385" y="45199789"/>
          <a:ext cx="564172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7328</xdr:colOff>
      <xdr:row>79</xdr:row>
      <xdr:rowOff>681406</xdr:rowOff>
    </xdr:from>
    <xdr:to>
      <xdr:col>2</xdr:col>
      <xdr:colOff>571500</xdr:colOff>
      <xdr:row>80</xdr:row>
      <xdr:rowOff>549521</xdr:rowOff>
    </xdr:to>
    <xdr:sp macro="" textlink="">
      <xdr:nvSpPr>
        <xdr:cNvPr id="620" name="Полилиния 619"/>
        <xdr:cNvSpPr/>
      </xdr:nvSpPr>
      <xdr:spPr>
        <a:xfrm>
          <a:off x="1443405" y="61883194"/>
          <a:ext cx="564172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15085</xdr:colOff>
      <xdr:row>83</xdr:row>
      <xdr:rowOff>560295</xdr:rowOff>
    </xdr:from>
    <xdr:to>
      <xdr:col>3</xdr:col>
      <xdr:colOff>142651</xdr:colOff>
      <xdr:row>83</xdr:row>
      <xdr:rowOff>687592</xdr:rowOff>
    </xdr:to>
    <xdr:grpSp>
      <xdr:nvGrpSpPr>
        <xdr:cNvPr id="520" name="Группа 519"/>
        <xdr:cNvGrpSpPr/>
      </xdr:nvGrpSpPr>
      <xdr:grpSpPr>
        <a:xfrm flipH="1">
          <a:off x="2023994" y="47683068"/>
          <a:ext cx="127566" cy="127297"/>
          <a:chOff x="1132242" y="1306343"/>
          <a:chExt cx="123151" cy="128030"/>
        </a:xfrm>
      </xdr:grpSpPr>
      <xdr:cxnSp macro="">
        <xdr:nvCxnSpPr>
          <xdr:cNvPr id="521" name="Прямая соединительная линия 52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2" name="Прямоугольник 52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13489</xdr:colOff>
      <xdr:row>61</xdr:row>
      <xdr:rowOff>547624</xdr:rowOff>
    </xdr:from>
    <xdr:to>
      <xdr:col>3</xdr:col>
      <xdr:colOff>141055</xdr:colOff>
      <xdr:row>61</xdr:row>
      <xdr:rowOff>675481</xdr:rowOff>
    </xdr:to>
    <xdr:grpSp>
      <xdr:nvGrpSpPr>
        <xdr:cNvPr id="652" name="Группа 651"/>
        <xdr:cNvGrpSpPr/>
      </xdr:nvGrpSpPr>
      <xdr:grpSpPr>
        <a:xfrm flipH="1">
          <a:off x="2022398" y="35201306"/>
          <a:ext cx="127566" cy="127857"/>
          <a:chOff x="1132242" y="1306343"/>
          <a:chExt cx="123151" cy="128030"/>
        </a:xfrm>
      </xdr:grpSpPr>
      <xdr:cxnSp macro="">
        <xdr:nvCxnSpPr>
          <xdr:cNvPr id="653" name="Прямая соединительная линия 65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4" name="Прямоугольник 65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13489</xdr:colOff>
      <xdr:row>59</xdr:row>
      <xdr:rowOff>585724</xdr:rowOff>
    </xdr:from>
    <xdr:to>
      <xdr:col>3</xdr:col>
      <xdr:colOff>141055</xdr:colOff>
      <xdr:row>60</xdr:row>
      <xdr:rowOff>18256</xdr:rowOff>
    </xdr:to>
    <xdr:grpSp>
      <xdr:nvGrpSpPr>
        <xdr:cNvPr id="655" name="Группа 654"/>
        <xdr:cNvGrpSpPr/>
      </xdr:nvGrpSpPr>
      <xdr:grpSpPr>
        <a:xfrm flipH="1">
          <a:off x="2022398" y="33853951"/>
          <a:ext cx="127566" cy="125260"/>
          <a:chOff x="1132242" y="1306343"/>
          <a:chExt cx="123151" cy="128030"/>
        </a:xfrm>
      </xdr:grpSpPr>
      <xdr:cxnSp macro="">
        <xdr:nvCxnSpPr>
          <xdr:cNvPr id="656" name="Прямая соединительная линия 65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7" name="Прямоугольник 65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114926</xdr:colOff>
      <xdr:row>44</xdr:row>
      <xdr:rowOff>16811</xdr:rowOff>
    </xdr:from>
    <xdr:to>
      <xdr:col>3</xdr:col>
      <xdr:colOff>315170</xdr:colOff>
      <xdr:row>44</xdr:row>
      <xdr:rowOff>16811</xdr:rowOff>
    </xdr:to>
    <xdr:cxnSp macro="">
      <xdr:nvCxnSpPr>
        <xdr:cNvPr id="421" name="Прямая соединительная линия 420"/>
        <xdr:cNvCxnSpPr/>
      </xdr:nvCxnSpPr>
      <xdr:spPr>
        <a:xfrm rot="376765">
          <a:off x="2129830" y="28503888"/>
          <a:ext cx="200244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315483</xdr:colOff>
      <xdr:row>44</xdr:row>
      <xdr:rowOff>37766</xdr:rowOff>
    </xdr:from>
    <xdr:to>
      <xdr:col>3</xdr:col>
      <xdr:colOff>495483</xdr:colOff>
      <xdr:row>44</xdr:row>
      <xdr:rowOff>37766</xdr:rowOff>
    </xdr:to>
    <xdr:cxnSp macro="">
      <xdr:nvCxnSpPr>
        <xdr:cNvPr id="424" name="Прямая соединительная линия 423"/>
        <xdr:cNvCxnSpPr/>
      </xdr:nvCxnSpPr>
      <xdr:spPr>
        <a:xfrm rot="376765">
          <a:off x="2330387" y="28524843"/>
          <a:ext cx="180000" cy="0"/>
        </a:xfrm>
        <a:prstGeom prst="line">
          <a:avLst/>
        </a:prstGeom>
        <a:ln w="1905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580922</xdr:colOff>
      <xdr:row>51</xdr:row>
      <xdr:rowOff>68036</xdr:rowOff>
    </xdr:from>
    <xdr:to>
      <xdr:col>2</xdr:col>
      <xdr:colOff>580922</xdr:colOff>
      <xdr:row>52</xdr:row>
      <xdr:rowOff>556534</xdr:rowOff>
    </xdr:to>
    <xdr:cxnSp macro="">
      <xdr:nvCxnSpPr>
        <xdr:cNvPr id="445" name="Прямая соединительная линия 444"/>
        <xdr:cNvCxnSpPr/>
      </xdr:nvCxnSpPr>
      <xdr:spPr>
        <a:xfrm flipV="1">
          <a:off x="2023279" y="29173715"/>
          <a:ext cx="0" cy="11824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523771</xdr:colOff>
      <xdr:row>52</xdr:row>
      <xdr:rowOff>492579</xdr:rowOff>
    </xdr:from>
    <xdr:to>
      <xdr:col>3</xdr:col>
      <xdr:colOff>50746</xdr:colOff>
      <xdr:row>52</xdr:row>
      <xdr:rowOff>600579</xdr:rowOff>
    </xdr:to>
    <xdr:sp macro="" textlink="">
      <xdr:nvSpPr>
        <xdr:cNvPr id="446" name="Овал 445"/>
        <xdr:cNvSpPr/>
      </xdr:nvSpPr>
      <xdr:spPr>
        <a:xfrm>
          <a:off x="1966128" y="30292222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4633</xdr:colOff>
      <xdr:row>51</xdr:row>
      <xdr:rowOff>572103</xdr:rowOff>
    </xdr:from>
    <xdr:to>
      <xdr:col>3</xdr:col>
      <xdr:colOff>132663</xdr:colOff>
      <xdr:row>52</xdr:row>
      <xdr:rowOff>465</xdr:rowOff>
    </xdr:to>
    <xdr:grpSp>
      <xdr:nvGrpSpPr>
        <xdr:cNvPr id="447" name="Группа 446"/>
        <xdr:cNvGrpSpPr/>
      </xdr:nvGrpSpPr>
      <xdr:grpSpPr>
        <a:xfrm rot="5400000">
          <a:off x="2017012" y="28295042"/>
          <a:ext cx="121089" cy="128030"/>
          <a:chOff x="1132242" y="1306343"/>
          <a:chExt cx="123151" cy="128030"/>
        </a:xfrm>
      </xdr:grpSpPr>
      <xdr:cxnSp macro="">
        <xdr:nvCxnSpPr>
          <xdr:cNvPr id="458" name="Прямая соединительная линия 45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9" name="Прямоугольник 45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133246</xdr:colOff>
      <xdr:row>51</xdr:row>
      <xdr:rowOff>635454</xdr:rowOff>
    </xdr:from>
    <xdr:to>
      <xdr:col>3</xdr:col>
      <xdr:colOff>277246</xdr:colOff>
      <xdr:row>52</xdr:row>
      <xdr:rowOff>84129</xdr:rowOff>
    </xdr:to>
    <xdr:sp macro="" textlink="">
      <xdr:nvSpPr>
        <xdr:cNvPr id="462" name="Овал 461"/>
        <xdr:cNvSpPr/>
      </xdr:nvSpPr>
      <xdr:spPr>
        <a:xfrm>
          <a:off x="2160710" y="29741133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580922</xdr:colOff>
      <xdr:row>53</xdr:row>
      <xdr:rowOff>68036</xdr:rowOff>
    </xdr:from>
    <xdr:to>
      <xdr:col>2</xdr:col>
      <xdr:colOff>580922</xdr:colOff>
      <xdr:row>54</xdr:row>
      <xdr:rowOff>556534</xdr:rowOff>
    </xdr:to>
    <xdr:cxnSp macro="">
      <xdr:nvCxnSpPr>
        <xdr:cNvPr id="468" name="Прямая соединительная линия 467"/>
        <xdr:cNvCxnSpPr/>
      </xdr:nvCxnSpPr>
      <xdr:spPr>
        <a:xfrm flipV="1">
          <a:off x="2023279" y="43053000"/>
          <a:ext cx="0" cy="11824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523771</xdr:colOff>
      <xdr:row>54</xdr:row>
      <xdr:rowOff>492579</xdr:rowOff>
    </xdr:from>
    <xdr:to>
      <xdr:col>3</xdr:col>
      <xdr:colOff>50746</xdr:colOff>
      <xdr:row>54</xdr:row>
      <xdr:rowOff>600579</xdr:rowOff>
    </xdr:to>
    <xdr:sp macro="" textlink="">
      <xdr:nvSpPr>
        <xdr:cNvPr id="469" name="Овал 468"/>
        <xdr:cNvSpPr/>
      </xdr:nvSpPr>
      <xdr:spPr>
        <a:xfrm>
          <a:off x="1966128" y="44171508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4633</xdr:colOff>
      <xdr:row>53</xdr:row>
      <xdr:rowOff>572103</xdr:rowOff>
    </xdr:from>
    <xdr:to>
      <xdr:col>3</xdr:col>
      <xdr:colOff>132663</xdr:colOff>
      <xdr:row>54</xdr:row>
      <xdr:rowOff>465</xdr:rowOff>
    </xdr:to>
    <xdr:grpSp>
      <xdr:nvGrpSpPr>
        <xdr:cNvPr id="470" name="Группа 469"/>
        <xdr:cNvGrpSpPr/>
      </xdr:nvGrpSpPr>
      <xdr:grpSpPr>
        <a:xfrm rot="5400000">
          <a:off x="2017012" y="29680497"/>
          <a:ext cx="121089" cy="128030"/>
          <a:chOff x="1132242" y="1306343"/>
          <a:chExt cx="123151" cy="128030"/>
        </a:xfrm>
      </xdr:grpSpPr>
      <xdr:cxnSp macro="">
        <xdr:nvCxnSpPr>
          <xdr:cNvPr id="471" name="Прямая соединительная линия 47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4" name="Прямоугольник 47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133246</xdr:colOff>
      <xdr:row>53</xdr:row>
      <xdr:rowOff>635454</xdr:rowOff>
    </xdr:from>
    <xdr:to>
      <xdr:col>3</xdr:col>
      <xdr:colOff>277246</xdr:colOff>
      <xdr:row>54</xdr:row>
      <xdr:rowOff>84129</xdr:rowOff>
    </xdr:to>
    <xdr:sp macro="" textlink="">
      <xdr:nvSpPr>
        <xdr:cNvPr id="478" name="Овал 477"/>
        <xdr:cNvSpPr/>
      </xdr:nvSpPr>
      <xdr:spPr>
        <a:xfrm>
          <a:off x="2160710" y="43620418"/>
          <a:ext cx="144000" cy="1426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522827</xdr:colOff>
      <xdr:row>58</xdr:row>
      <xdr:rowOff>508901</xdr:rowOff>
    </xdr:from>
    <xdr:to>
      <xdr:col>3</xdr:col>
      <xdr:colOff>49802</xdr:colOff>
      <xdr:row>58</xdr:row>
      <xdr:rowOff>623939</xdr:rowOff>
    </xdr:to>
    <xdr:sp macro="" textlink="">
      <xdr:nvSpPr>
        <xdr:cNvPr id="491" name="Овал 490"/>
        <xdr:cNvSpPr/>
      </xdr:nvSpPr>
      <xdr:spPr>
        <a:xfrm rot="5614795">
          <a:off x="1948058" y="76255220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78441</xdr:colOff>
      <xdr:row>57</xdr:row>
      <xdr:rowOff>638735</xdr:rowOff>
    </xdr:from>
    <xdr:to>
      <xdr:col>3</xdr:col>
      <xdr:colOff>481853</xdr:colOff>
      <xdr:row>58</xdr:row>
      <xdr:rowOff>67235</xdr:rowOff>
    </xdr:to>
    <xdr:cxnSp macro="">
      <xdr:nvCxnSpPr>
        <xdr:cNvPr id="497" name="Прямая соединительная линия 496"/>
        <xdr:cNvCxnSpPr/>
      </xdr:nvCxnSpPr>
      <xdr:spPr>
        <a:xfrm flipH="1">
          <a:off x="1512794" y="47871529"/>
          <a:ext cx="986118" cy="1232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58</xdr:row>
      <xdr:rowOff>0</xdr:rowOff>
    </xdr:from>
    <xdr:to>
      <xdr:col>3</xdr:col>
      <xdr:colOff>0</xdr:colOff>
      <xdr:row>58</xdr:row>
      <xdr:rowOff>555700</xdr:rowOff>
    </xdr:to>
    <xdr:cxnSp macro="">
      <xdr:nvCxnSpPr>
        <xdr:cNvPr id="500" name="Прямая соединительная линия 499"/>
        <xdr:cNvCxnSpPr/>
      </xdr:nvCxnSpPr>
      <xdr:spPr>
        <a:xfrm flipV="1">
          <a:off x="2009775" y="75742800"/>
          <a:ext cx="0" cy="5557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576430</xdr:colOff>
      <xdr:row>57</xdr:row>
      <xdr:rowOff>571706</xdr:rowOff>
    </xdr:from>
    <xdr:to>
      <xdr:col>3</xdr:col>
      <xdr:colOff>118889</xdr:colOff>
      <xdr:row>58</xdr:row>
      <xdr:rowOff>4238</xdr:rowOff>
    </xdr:to>
    <xdr:grpSp>
      <xdr:nvGrpSpPr>
        <xdr:cNvPr id="536" name="Группа 535"/>
        <xdr:cNvGrpSpPr/>
      </xdr:nvGrpSpPr>
      <xdr:grpSpPr>
        <a:xfrm flipH="1">
          <a:off x="1996521" y="32454479"/>
          <a:ext cx="131277" cy="125259"/>
          <a:chOff x="1132242" y="1306343"/>
          <a:chExt cx="123151" cy="128030"/>
        </a:xfrm>
      </xdr:grpSpPr>
      <xdr:cxnSp macro="">
        <xdr:nvCxnSpPr>
          <xdr:cNvPr id="551" name="Прямая соединительная линия 55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2" name="Прямоугольник 55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57</xdr:row>
      <xdr:rowOff>616324</xdr:rowOff>
    </xdr:from>
    <xdr:to>
      <xdr:col>3</xdr:col>
      <xdr:colOff>515470</xdr:colOff>
      <xdr:row>58</xdr:row>
      <xdr:rowOff>560294</xdr:rowOff>
    </xdr:to>
    <xdr:sp macro="" textlink="">
      <xdr:nvSpPr>
        <xdr:cNvPr id="32" name="Полилиния 31"/>
        <xdr:cNvSpPr/>
      </xdr:nvSpPr>
      <xdr:spPr>
        <a:xfrm>
          <a:off x="2005853" y="47849118"/>
          <a:ext cx="526676" cy="638735"/>
        </a:xfrm>
        <a:custGeom>
          <a:avLst/>
          <a:gdLst>
            <a:gd name="connsiteX0" fmla="*/ 0 w 526676"/>
            <a:gd name="connsiteY0" fmla="*/ 638735 h 638735"/>
            <a:gd name="connsiteX1" fmla="*/ 0 w 526676"/>
            <a:gd name="connsiteY1" fmla="*/ 78441 h 638735"/>
            <a:gd name="connsiteX2" fmla="*/ 526676 w 526676"/>
            <a:gd name="connsiteY2" fmla="*/ 0 h 638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6" h="638735">
              <a:moveTo>
                <a:pt x="0" y="638735"/>
              </a:moveTo>
              <a:lnTo>
                <a:pt x="0" y="78441"/>
              </a:lnTo>
              <a:lnTo>
                <a:pt x="526676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99312</xdr:colOff>
      <xdr:row>63</xdr:row>
      <xdr:rowOff>406774</xdr:rowOff>
    </xdr:from>
    <xdr:ext cx="609653" cy="609653"/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077" y="72651098"/>
          <a:ext cx="609653" cy="609653"/>
        </a:xfrm>
        <a:prstGeom prst="rect">
          <a:avLst/>
        </a:prstGeom>
      </xdr:spPr>
    </xdr:pic>
    <xdr:clientData/>
  </xdr:oneCellAnchor>
  <xdr:twoCellAnchor>
    <xdr:from>
      <xdr:col>2</xdr:col>
      <xdr:colOff>523873</xdr:colOff>
      <xdr:row>14</xdr:row>
      <xdr:rowOff>310992</xdr:rowOff>
    </xdr:from>
    <xdr:to>
      <xdr:col>3</xdr:col>
      <xdr:colOff>50848</xdr:colOff>
      <xdr:row>14</xdr:row>
      <xdr:rowOff>418992</xdr:rowOff>
    </xdr:to>
    <xdr:sp macro="" textlink="">
      <xdr:nvSpPr>
        <xdr:cNvPr id="467" name="Овал 466"/>
        <xdr:cNvSpPr/>
      </xdr:nvSpPr>
      <xdr:spPr>
        <a:xfrm>
          <a:off x="1952623" y="373999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14</xdr:row>
      <xdr:rowOff>6611</xdr:rowOff>
    </xdr:from>
    <xdr:to>
      <xdr:col>3</xdr:col>
      <xdr:colOff>515395</xdr:colOff>
      <xdr:row>14</xdr:row>
      <xdr:rowOff>6611</xdr:rowOff>
    </xdr:to>
    <xdr:cxnSp macro="">
      <xdr:nvCxnSpPr>
        <xdr:cNvPr id="488" name="Прямая соединительная линия 487"/>
        <xdr:cNvCxnSpPr/>
      </xdr:nvCxnSpPr>
      <xdr:spPr>
        <a:xfrm>
          <a:off x="2014904" y="3435611"/>
          <a:ext cx="515395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4309</xdr:colOff>
      <xdr:row>13</xdr:row>
      <xdr:rowOff>582706</xdr:rowOff>
    </xdr:from>
    <xdr:to>
      <xdr:col>3</xdr:col>
      <xdr:colOff>131875</xdr:colOff>
      <xdr:row>14</xdr:row>
      <xdr:rowOff>15238</xdr:rowOff>
    </xdr:to>
    <xdr:grpSp>
      <xdr:nvGrpSpPr>
        <xdr:cNvPr id="531" name="Группа 530"/>
        <xdr:cNvGrpSpPr/>
      </xdr:nvGrpSpPr>
      <xdr:grpSpPr>
        <a:xfrm flipH="1">
          <a:off x="2013218" y="3370933"/>
          <a:ext cx="127566" cy="125260"/>
          <a:chOff x="1132242" y="1306343"/>
          <a:chExt cx="123151" cy="128030"/>
        </a:xfrm>
      </xdr:grpSpPr>
      <xdr:cxnSp macro="">
        <xdr:nvCxnSpPr>
          <xdr:cNvPr id="535" name="Прямая соединительная линия 53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4" name="Прямоугольник 55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490904</xdr:colOff>
      <xdr:row>43</xdr:row>
      <xdr:rowOff>688731</xdr:rowOff>
    </xdr:from>
    <xdr:to>
      <xdr:col>3</xdr:col>
      <xdr:colOff>117231</xdr:colOff>
      <xdr:row>43</xdr:row>
      <xdr:rowOff>688731</xdr:rowOff>
    </xdr:to>
    <xdr:cxnSp macro="">
      <xdr:nvCxnSpPr>
        <xdr:cNvPr id="24" name="Прямая соединительная линия 23"/>
        <xdr:cNvCxnSpPr/>
      </xdr:nvCxnSpPr>
      <xdr:spPr>
        <a:xfrm>
          <a:off x="1926981" y="28479750"/>
          <a:ext cx="205154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483577</xdr:colOff>
      <xdr:row>43</xdr:row>
      <xdr:rowOff>688731</xdr:rowOff>
    </xdr:from>
    <xdr:to>
      <xdr:col>3</xdr:col>
      <xdr:colOff>117231</xdr:colOff>
      <xdr:row>44</xdr:row>
      <xdr:rowOff>556846</xdr:rowOff>
    </xdr:to>
    <xdr:sp macro="" textlink="">
      <xdr:nvSpPr>
        <xdr:cNvPr id="34" name="Полилиния 33"/>
        <xdr:cNvSpPr/>
      </xdr:nvSpPr>
      <xdr:spPr>
        <a:xfrm>
          <a:off x="1919654" y="28479750"/>
          <a:ext cx="212481" cy="564173"/>
        </a:xfrm>
        <a:custGeom>
          <a:avLst/>
          <a:gdLst>
            <a:gd name="connsiteX0" fmla="*/ 212481 w 212481"/>
            <a:gd name="connsiteY0" fmla="*/ 505558 h 564173"/>
            <a:gd name="connsiteX1" fmla="*/ 212481 w 212481"/>
            <a:gd name="connsiteY1" fmla="*/ 0 h 564173"/>
            <a:gd name="connsiteX2" fmla="*/ 0 w 212481"/>
            <a:gd name="connsiteY2" fmla="*/ 0 h 564173"/>
            <a:gd name="connsiteX3" fmla="*/ 0 w 212481"/>
            <a:gd name="connsiteY3" fmla="*/ 564173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2481" h="564173">
              <a:moveTo>
                <a:pt x="212481" y="505558"/>
              </a:moveTo>
              <a:lnTo>
                <a:pt x="212481" y="0"/>
              </a:lnTo>
              <a:lnTo>
                <a:pt x="0" y="0"/>
              </a:lnTo>
              <a:lnTo>
                <a:pt x="0" y="564173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316057</xdr:colOff>
      <xdr:row>23</xdr:row>
      <xdr:rowOff>591964</xdr:rowOff>
    </xdr:from>
    <xdr:to>
      <xdr:col>3</xdr:col>
      <xdr:colOff>140615</xdr:colOff>
      <xdr:row>24</xdr:row>
      <xdr:rowOff>155863</xdr:rowOff>
    </xdr:to>
    <xdr:cxnSp macro="">
      <xdr:nvCxnSpPr>
        <xdr:cNvPr id="557" name="Прямая соединительная линия 556"/>
        <xdr:cNvCxnSpPr/>
      </xdr:nvCxnSpPr>
      <xdr:spPr>
        <a:xfrm flipV="1">
          <a:off x="1744807" y="7519237"/>
          <a:ext cx="404717" cy="26095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275080</xdr:colOff>
      <xdr:row>23</xdr:row>
      <xdr:rowOff>164021</xdr:rowOff>
    </xdr:from>
    <xdr:to>
      <xdr:col>3</xdr:col>
      <xdr:colOff>494069</xdr:colOff>
      <xdr:row>23</xdr:row>
      <xdr:rowOff>604382</xdr:rowOff>
    </xdr:to>
    <xdr:sp macro="" textlink="">
      <xdr:nvSpPr>
        <xdr:cNvPr id="558" name="Дуга 557"/>
        <xdr:cNvSpPr/>
      </xdr:nvSpPr>
      <xdr:spPr>
        <a:xfrm rot="9419595">
          <a:off x="1703830" y="7091294"/>
          <a:ext cx="799148" cy="440361"/>
        </a:xfrm>
        <a:prstGeom prst="arc">
          <a:avLst>
            <a:gd name="adj1" fmla="val 16859949"/>
            <a:gd name="adj2" fmla="val 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76200</xdr:colOff>
      <xdr:row>51</xdr:row>
      <xdr:rowOff>400050</xdr:rowOff>
    </xdr:from>
    <xdr:to>
      <xdr:col>4</xdr:col>
      <xdr:colOff>685853</xdr:colOff>
      <xdr:row>52</xdr:row>
      <xdr:rowOff>314378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36509325"/>
          <a:ext cx="609653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92850</xdr:colOff>
      <xdr:row>53</xdr:row>
      <xdr:rowOff>397650</xdr:rowOff>
    </xdr:from>
    <xdr:to>
      <xdr:col>4</xdr:col>
      <xdr:colOff>702503</xdr:colOff>
      <xdr:row>54</xdr:row>
      <xdr:rowOff>311979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650" y="37897575"/>
          <a:ext cx="609653" cy="609653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16</xdr:row>
      <xdr:rowOff>232</xdr:rowOff>
    </xdr:from>
    <xdr:to>
      <xdr:col>2</xdr:col>
      <xdr:colOff>571500</xdr:colOff>
      <xdr:row>16</xdr:row>
      <xdr:rowOff>112059</xdr:rowOff>
    </xdr:to>
    <xdr:cxnSp macro="">
      <xdr:nvCxnSpPr>
        <xdr:cNvPr id="548" name="Прямая соединительная линия 547"/>
        <xdr:cNvCxnSpPr/>
      </xdr:nvCxnSpPr>
      <xdr:spPr>
        <a:xfrm flipV="1">
          <a:off x="1512794" y="4852379"/>
          <a:ext cx="493059" cy="11182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518458</xdr:colOff>
      <xdr:row>16</xdr:row>
      <xdr:rowOff>517024</xdr:rowOff>
    </xdr:from>
    <xdr:to>
      <xdr:col>3</xdr:col>
      <xdr:colOff>45433</xdr:colOff>
      <xdr:row>16</xdr:row>
      <xdr:rowOff>625024</xdr:rowOff>
    </xdr:to>
    <xdr:sp macro="" textlink="">
      <xdr:nvSpPr>
        <xdr:cNvPr id="559" name="Овал 558"/>
        <xdr:cNvSpPr/>
      </xdr:nvSpPr>
      <xdr:spPr>
        <a:xfrm>
          <a:off x="1950492" y="5318938"/>
          <a:ext cx="10504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440347</xdr:colOff>
      <xdr:row>15</xdr:row>
      <xdr:rowOff>586888</xdr:rowOff>
    </xdr:from>
    <xdr:to>
      <xdr:col>2</xdr:col>
      <xdr:colOff>566232</xdr:colOff>
      <xdr:row>16</xdr:row>
      <xdr:rowOff>18128</xdr:rowOff>
    </xdr:to>
    <xdr:grpSp>
      <xdr:nvGrpSpPr>
        <xdr:cNvPr id="610" name="Группа 609"/>
        <xdr:cNvGrpSpPr/>
      </xdr:nvGrpSpPr>
      <xdr:grpSpPr>
        <a:xfrm>
          <a:off x="1860438" y="4760570"/>
          <a:ext cx="125885" cy="123967"/>
          <a:chOff x="1132242" y="1306343"/>
          <a:chExt cx="123151" cy="128030"/>
        </a:xfrm>
      </xdr:grpSpPr>
      <xdr:cxnSp macro="">
        <xdr:nvCxnSpPr>
          <xdr:cNvPr id="612" name="Прямая соединительная линия 61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3" name="Прямоугольник 61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571500</xdr:colOff>
      <xdr:row>16</xdr:row>
      <xdr:rowOff>8211</xdr:rowOff>
    </xdr:from>
    <xdr:to>
      <xdr:col>2</xdr:col>
      <xdr:colOff>571500</xdr:colOff>
      <xdr:row>16</xdr:row>
      <xdr:rowOff>545224</xdr:rowOff>
    </xdr:to>
    <xdr:cxnSp macro="">
      <xdr:nvCxnSpPr>
        <xdr:cNvPr id="21" name="Прямая соединительная линия 20"/>
        <xdr:cNvCxnSpPr/>
      </xdr:nvCxnSpPr>
      <xdr:spPr>
        <a:xfrm>
          <a:off x="2003534" y="4810125"/>
          <a:ext cx="0" cy="53701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571501</xdr:colOff>
      <xdr:row>15</xdr:row>
      <xdr:rowOff>134471</xdr:rowOff>
    </xdr:from>
    <xdr:to>
      <xdr:col>3</xdr:col>
      <xdr:colOff>407984</xdr:colOff>
      <xdr:row>16</xdr:row>
      <xdr:rowOff>232</xdr:rowOff>
    </xdr:to>
    <xdr:cxnSp macro="">
      <xdr:nvCxnSpPr>
        <xdr:cNvPr id="615" name="Прямая соединительная линия 614"/>
        <xdr:cNvCxnSpPr/>
      </xdr:nvCxnSpPr>
      <xdr:spPr>
        <a:xfrm flipH="1">
          <a:off x="2005854" y="4291853"/>
          <a:ext cx="419189" cy="56052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576138</xdr:colOff>
      <xdr:row>15</xdr:row>
      <xdr:rowOff>52552</xdr:rowOff>
    </xdr:from>
    <xdr:to>
      <xdr:col>3</xdr:col>
      <xdr:colOff>477603</xdr:colOff>
      <xdr:row>16</xdr:row>
      <xdr:rowOff>571500</xdr:rowOff>
    </xdr:to>
    <xdr:sp macro="" textlink="">
      <xdr:nvSpPr>
        <xdr:cNvPr id="56" name="Полилиния 55"/>
        <xdr:cNvSpPr/>
      </xdr:nvSpPr>
      <xdr:spPr>
        <a:xfrm>
          <a:off x="2010491" y="4209934"/>
          <a:ext cx="484171" cy="1213713"/>
        </a:xfrm>
        <a:custGeom>
          <a:avLst/>
          <a:gdLst>
            <a:gd name="connsiteX0" fmla="*/ 0 w 479534"/>
            <a:gd name="connsiteY0" fmla="*/ 1215259 h 1215259"/>
            <a:gd name="connsiteX1" fmla="*/ 0 w 479534"/>
            <a:gd name="connsiteY1" fmla="*/ 643759 h 1215259"/>
            <a:gd name="connsiteX2" fmla="*/ 479534 w 479534"/>
            <a:gd name="connsiteY2" fmla="*/ 0 h 12152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9534" h="1215259">
              <a:moveTo>
                <a:pt x="0" y="1215259"/>
              </a:moveTo>
              <a:lnTo>
                <a:pt x="0" y="643759"/>
              </a:lnTo>
              <a:lnTo>
                <a:pt x="479534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528176</xdr:colOff>
      <xdr:row>18</xdr:row>
      <xdr:rowOff>495602</xdr:rowOff>
    </xdr:from>
    <xdr:to>
      <xdr:col>3</xdr:col>
      <xdr:colOff>55151</xdr:colOff>
      <xdr:row>18</xdr:row>
      <xdr:rowOff>603602</xdr:rowOff>
    </xdr:to>
    <xdr:sp macro="" textlink="">
      <xdr:nvSpPr>
        <xdr:cNvPr id="633" name="Овал 632"/>
        <xdr:cNvSpPr/>
      </xdr:nvSpPr>
      <xdr:spPr>
        <a:xfrm>
          <a:off x="1962529" y="6737278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1391</xdr:colOff>
      <xdr:row>17</xdr:row>
      <xdr:rowOff>40822</xdr:rowOff>
    </xdr:from>
    <xdr:to>
      <xdr:col>3</xdr:col>
      <xdr:colOff>1391</xdr:colOff>
      <xdr:row>18</xdr:row>
      <xdr:rowOff>582706</xdr:rowOff>
    </xdr:to>
    <xdr:cxnSp macro="">
      <xdr:nvCxnSpPr>
        <xdr:cNvPr id="639" name="Прямая соединительная линия 638"/>
        <xdr:cNvCxnSpPr/>
      </xdr:nvCxnSpPr>
      <xdr:spPr>
        <a:xfrm flipV="1">
          <a:off x="2018450" y="5587734"/>
          <a:ext cx="0" cy="123664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54428</xdr:colOff>
      <xdr:row>17</xdr:row>
      <xdr:rowOff>691401</xdr:rowOff>
    </xdr:from>
    <xdr:to>
      <xdr:col>3</xdr:col>
      <xdr:colOff>521153</xdr:colOff>
      <xdr:row>17</xdr:row>
      <xdr:rowOff>691401</xdr:rowOff>
    </xdr:to>
    <xdr:cxnSp macro="">
      <xdr:nvCxnSpPr>
        <xdr:cNvPr id="644" name="Прямая соединительная линия 643"/>
        <xdr:cNvCxnSpPr/>
      </xdr:nvCxnSpPr>
      <xdr:spPr>
        <a:xfrm>
          <a:off x="1483178" y="6206376"/>
          <a:ext cx="10477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140049</xdr:colOff>
      <xdr:row>18</xdr:row>
      <xdr:rowOff>76200</xdr:rowOff>
    </xdr:from>
    <xdr:to>
      <xdr:col>3</xdr:col>
      <xdr:colOff>284049</xdr:colOff>
      <xdr:row>18</xdr:row>
      <xdr:rowOff>220200</xdr:rowOff>
    </xdr:to>
    <xdr:sp macro="" textlink="">
      <xdr:nvSpPr>
        <xdr:cNvPr id="646" name="Овал 645"/>
        <xdr:cNvSpPr/>
      </xdr:nvSpPr>
      <xdr:spPr>
        <a:xfrm>
          <a:off x="2149824" y="6286500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574732</xdr:colOff>
      <xdr:row>17</xdr:row>
      <xdr:rowOff>569097</xdr:rowOff>
    </xdr:from>
    <xdr:to>
      <xdr:col>3</xdr:col>
      <xdr:colOff>124929</xdr:colOff>
      <xdr:row>18</xdr:row>
      <xdr:rowOff>83</xdr:rowOff>
    </xdr:to>
    <xdr:grpSp>
      <xdr:nvGrpSpPr>
        <xdr:cNvPr id="670" name="Группа 669"/>
        <xdr:cNvGrpSpPr/>
      </xdr:nvGrpSpPr>
      <xdr:grpSpPr>
        <a:xfrm rot="10800000" flipV="1">
          <a:off x="1994823" y="6128233"/>
          <a:ext cx="139015" cy="123714"/>
          <a:chOff x="1132242" y="1306343"/>
          <a:chExt cx="123151" cy="128030"/>
        </a:xfrm>
      </xdr:grpSpPr>
      <xdr:cxnSp macro="">
        <xdr:nvCxnSpPr>
          <xdr:cNvPr id="671" name="Прямая соединительная линия 67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2" name="Прямоугольник 67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22413</xdr:colOff>
      <xdr:row>18</xdr:row>
      <xdr:rowOff>0</xdr:rowOff>
    </xdr:from>
    <xdr:to>
      <xdr:col>3</xdr:col>
      <xdr:colOff>1</xdr:colOff>
      <xdr:row>18</xdr:row>
      <xdr:rowOff>537883</xdr:rowOff>
    </xdr:to>
    <xdr:sp macro="" textlink="">
      <xdr:nvSpPr>
        <xdr:cNvPr id="59" name="Полилиния 58"/>
        <xdr:cNvSpPr/>
      </xdr:nvSpPr>
      <xdr:spPr>
        <a:xfrm>
          <a:off x="1456766" y="6241676"/>
          <a:ext cx="560294" cy="537883"/>
        </a:xfrm>
        <a:custGeom>
          <a:avLst/>
          <a:gdLst>
            <a:gd name="connsiteX0" fmla="*/ 526677 w 526677"/>
            <a:gd name="connsiteY0" fmla="*/ 537883 h 537883"/>
            <a:gd name="connsiteX1" fmla="*/ 526677 w 526677"/>
            <a:gd name="connsiteY1" fmla="*/ 0 h 537883"/>
            <a:gd name="connsiteX2" fmla="*/ 0 w 526677"/>
            <a:gd name="connsiteY2" fmla="*/ 0 h 537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7" h="537883">
              <a:moveTo>
                <a:pt x="526677" y="537883"/>
              </a:moveTo>
              <a:lnTo>
                <a:pt x="526677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528422</xdr:colOff>
      <xdr:row>66</xdr:row>
      <xdr:rowOff>496146</xdr:rowOff>
    </xdr:from>
    <xdr:to>
      <xdr:col>3</xdr:col>
      <xdr:colOff>53716</xdr:colOff>
      <xdr:row>66</xdr:row>
      <xdr:rowOff>608025</xdr:rowOff>
    </xdr:to>
    <xdr:sp macro="" textlink="">
      <xdr:nvSpPr>
        <xdr:cNvPr id="457" name="Овал 456"/>
        <xdr:cNvSpPr/>
      </xdr:nvSpPr>
      <xdr:spPr>
        <a:xfrm rot="10800000">
          <a:off x="1962775" y="41476058"/>
          <a:ext cx="108000" cy="11187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581240</xdr:colOff>
      <xdr:row>65</xdr:row>
      <xdr:rowOff>627529</xdr:rowOff>
    </xdr:from>
    <xdr:to>
      <xdr:col>2</xdr:col>
      <xdr:colOff>581240</xdr:colOff>
      <xdr:row>66</xdr:row>
      <xdr:rowOff>589804</xdr:rowOff>
    </xdr:to>
    <xdr:cxnSp macro="">
      <xdr:nvCxnSpPr>
        <xdr:cNvPr id="539" name="Прямая соединительная линия 538"/>
        <xdr:cNvCxnSpPr/>
      </xdr:nvCxnSpPr>
      <xdr:spPr>
        <a:xfrm flipV="1">
          <a:off x="2015593" y="40912676"/>
          <a:ext cx="0" cy="65704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78441</xdr:colOff>
      <xdr:row>65</xdr:row>
      <xdr:rowOff>619389</xdr:rowOff>
    </xdr:from>
    <xdr:to>
      <xdr:col>3</xdr:col>
      <xdr:colOff>526677</xdr:colOff>
      <xdr:row>65</xdr:row>
      <xdr:rowOff>619389</xdr:rowOff>
    </xdr:to>
    <xdr:cxnSp macro="">
      <xdr:nvCxnSpPr>
        <xdr:cNvPr id="561" name="Прямая соединительная линия 560"/>
        <xdr:cNvCxnSpPr/>
      </xdr:nvCxnSpPr>
      <xdr:spPr>
        <a:xfrm rot="5400000" flipV="1">
          <a:off x="2028265" y="40389065"/>
          <a:ext cx="0" cy="103094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78441</xdr:colOff>
      <xdr:row>66</xdr:row>
      <xdr:rowOff>89795</xdr:rowOff>
    </xdr:from>
    <xdr:to>
      <xdr:col>3</xdr:col>
      <xdr:colOff>526677</xdr:colOff>
      <xdr:row>66</xdr:row>
      <xdr:rowOff>89795</xdr:rowOff>
    </xdr:to>
    <xdr:cxnSp macro="">
      <xdr:nvCxnSpPr>
        <xdr:cNvPr id="565" name="Прямая соединительная линия 564"/>
        <xdr:cNvCxnSpPr/>
      </xdr:nvCxnSpPr>
      <xdr:spPr>
        <a:xfrm rot="5400000" flipV="1">
          <a:off x="2028265" y="40554236"/>
          <a:ext cx="0" cy="103094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568520</xdr:colOff>
      <xdr:row>65</xdr:row>
      <xdr:rowOff>483390</xdr:rowOff>
    </xdr:from>
    <xdr:to>
      <xdr:col>3</xdr:col>
      <xdr:colOff>109501</xdr:colOff>
      <xdr:row>65</xdr:row>
      <xdr:rowOff>610687</xdr:rowOff>
    </xdr:to>
    <xdr:grpSp>
      <xdr:nvGrpSpPr>
        <xdr:cNvPr id="611" name="Группа 610"/>
        <xdr:cNvGrpSpPr/>
      </xdr:nvGrpSpPr>
      <xdr:grpSpPr>
        <a:xfrm flipH="1">
          <a:off x="1988611" y="37907981"/>
          <a:ext cx="129799" cy="127297"/>
          <a:chOff x="1132242" y="1306343"/>
          <a:chExt cx="123151" cy="128030"/>
        </a:xfrm>
      </xdr:grpSpPr>
      <xdr:cxnSp macro="">
        <xdr:nvCxnSpPr>
          <xdr:cNvPr id="616" name="Прямая соединительная линия 61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7" name="Прямоугольник 61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581240</xdr:colOff>
      <xdr:row>65</xdr:row>
      <xdr:rowOff>114324</xdr:rowOff>
    </xdr:from>
    <xdr:to>
      <xdr:col>2</xdr:col>
      <xdr:colOff>581240</xdr:colOff>
      <xdr:row>65</xdr:row>
      <xdr:rowOff>605118</xdr:rowOff>
    </xdr:to>
    <xdr:cxnSp macro="">
      <xdr:nvCxnSpPr>
        <xdr:cNvPr id="622" name="Прямая соединительная линия 621"/>
        <xdr:cNvCxnSpPr/>
      </xdr:nvCxnSpPr>
      <xdr:spPr>
        <a:xfrm flipV="1">
          <a:off x="2015593" y="40399471"/>
          <a:ext cx="0" cy="490794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313765</xdr:colOff>
      <xdr:row>65</xdr:row>
      <xdr:rowOff>392206</xdr:rowOff>
    </xdr:from>
    <xdr:to>
      <xdr:col>3</xdr:col>
      <xdr:colOff>272678</xdr:colOff>
      <xdr:row>65</xdr:row>
      <xdr:rowOff>514347</xdr:rowOff>
    </xdr:to>
    <xdr:grpSp>
      <xdr:nvGrpSpPr>
        <xdr:cNvPr id="623" name="Группа 622"/>
        <xdr:cNvGrpSpPr/>
      </xdr:nvGrpSpPr>
      <xdr:grpSpPr>
        <a:xfrm rot="10800000">
          <a:off x="1733856" y="37816797"/>
          <a:ext cx="547731" cy="122141"/>
          <a:chOff x="760945" y="5714381"/>
          <a:chExt cx="364368" cy="118966"/>
        </a:xfrm>
      </xdr:grpSpPr>
      <xdr:grpSp>
        <xdr:nvGrpSpPr>
          <xdr:cNvPr id="624" name="Группа 623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628" name="Овал 627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69" name="Прямая со стрелкой 668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625" name="Группа 624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626" name="Овал 625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27" name="Прямая со стрелкой 626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11207</xdr:colOff>
      <xdr:row>65</xdr:row>
      <xdr:rowOff>616323</xdr:rowOff>
    </xdr:from>
    <xdr:to>
      <xdr:col>3</xdr:col>
      <xdr:colOff>1</xdr:colOff>
      <xdr:row>66</xdr:row>
      <xdr:rowOff>537882</xdr:rowOff>
    </xdr:to>
    <xdr:sp macro="" textlink="">
      <xdr:nvSpPr>
        <xdr:cNvPr id="14" name="Полилиния 13"/>
        <xdr:cNvSpPr/>
      </xdr:nvSpPr>
      <xdr:spPr>
        <a:xfrm>
          <a:off x="1445560" y="40901470"/>
          <a:ext cx="571500" cy="616324"/>
        </a:xfrm>
        <a:custGeom>
          <a:avLst/>
          <a:gdLst>
            <a:gd name="connsiteX0" fmla="*/ 526677 w 526677"/>
            <a:gd name="connsiteY0" fmla="*/ 616324 h 616324"/>
            <a:gd name="connsiteX1" fmla="*/ 526677 w 526677"/>
            <a:gd name="connsiteY1" fmla="*/ 0 h 616324"/>
            <a:gd name="connsiteX2" fmla="*/ 0 w 526677"/>
            <a:gd name="connsiteY2" fmla="*/ 0 h 6163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7" h="616324">
              <a:moveTo>
                <a:pt x="526677" y="616324"/>
              </a:moveTo>
              <a:lnTo>
                <a:pt x="526677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47315</xdr:colOff>
      <xdr:row>68</xdr:row>
      <xdr:rowOff>502500</xdr:rowOff>
    </xdr:from>
    <xdr:to>
      <xdr:col>3</xdr:col>
      <xdr:colOff>155315</xdr:colOff>
      <xdr:row>68</xdr:row>
      <xdr:rowOff>610500</xdr:rowOff>
    </xdr:to>
    <xdr:sp macro="" textlink="">
      <xdr:nvSpPr>
        <xdr:cNvPr id="673" name="Овал 672"/>
        <xdr:cNvSpPr/>
      </xdr:nvSpPr>
      <xdr:spPr>
        <a:xfrm rot="5400000">
          <a:off x="2064374" y="4287194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101316</xdr:colOff>
      <xdr:row>67</xdr:row>
      <xdr:rowOff>162800</xdr:rowOff>
    </xdr:from>
    <xdr:to>
      <xdr:col>3</xdr:col>
      <xdr:colOff>105291</xdr:colOff>
      <xdr:row>68</xdr:row>
      <xdr:rowOff>543265</xdr:rowOff>
    </xdr:to>
    <xdr:cxnSp macro="">
      <xdr:nvCxnSpPr>
        <xdr:cNvPr id="674" name="Прямая соединительная линия 673"/>
        <xdr:cNvCxnSpPr/>
      </xdr:nvCxnSpPr>
      <xdr:spPr>
        <a:xfrm flipH="1">
          <a:off x="2118375" y="41837476"/>
          <a:ext cx="3975" cy="107523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524632</xdr:colOff>
      <xdr:row>67</xdr:row>
      <xdr:rowOff>155188</xdr:rowOff>
    </xdr:from>
    <xdr:to>
      <xdr:col>3</xdr:col>
      <xdr:colOff>103456</xdr:colOff>
      <xdr:row>67</xdr:row>
      <xdr:rowOff>665848</xdr:rowOff>
    </xdr:to>
    <xdr:cxnSp macro="">
      <xdr:nvCxnSpPr>
        <xdr:cNvPr id="675" name="Прямая соединительная линия 674"/>
        <xdr:cNvCxnSpPr/>
      </xdr:nvCxnSpPr>
      <xdr:spPr>
        <a:xfrm rot="5400000">
          <a:off x="1784420" y="42004429"/>
          <a:ext cx="510660" cy="16153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104482</xdr:colOff>
      <xdr:row>68</xdr:row>
      <xdr:rowOff>22612</xdr:rowOff>
    </xdr:from>
    <xdr:to>
      <xdr:col>3</xdr:col>
      <xdr:colOff>537882</xdr:colOff>
      <xdr:row>68</xdr:row>
      <xdr:rowOff>22612</xdr:rowOff>
    </xdr:to>
    <xdr:cxnSp macro="">
      <xdr:nvCxnSpPr>
        <xdr:cNvPr id="676" name="Прямая соединительная линия 675"/>
        <xdr:cNvCxnSpPr/>
      </xdr:nvCxnSpPr>
      <xdr:spPr>
        <a:xfrm>
          <a:off x="2121541" y="42392053"/>
          <a:ext cx="433400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168091</xdr:colOff>
      <xdr:row>67</xdr:row>
      <xdr:rowOff>661058</xdr:rowOff>
    </xdr:from>
    <xdr:to>
      <xdr:col>3</xdr:col>
      <xdr:colOff>104853</xdr:colOff>
      <xdr:row>67</xdr:row>
      <xdr:rowOff>661058</xdr:rowOff>
    </xdr:to>
    <xdr:cxnSp macro="">
      <xdr:nvCxnSpPr>
        <xdr:cNvPr id="677" name="Прямая соединительная линия 676"/>
        <xdr:cNvCxnSpPr/>
      </xdr:nvCxnSpPr>
      <xdr:spPr>
        <a:xfrm>
          <a:off x="1602444" y="42335734"/>
          <a:ext cx="519468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399170</xdr:colOff>
      <xdr:row>67</xdr:row>
      <xdr:rowOff>532944</xdr:rowOff>
    </xdr:from>
    <xdr:to>
      <xdr:col>2</xdr:col>
      <xdr:colOff>529017</xdr:colOff>
      <xdr:row>67</xdr:row>
      <xdr:rowOff>659810</xdr:rowOff>
    </xdr:to>
    <xdr:grpSp>
      <xdr:nvGrpSpPr>
        <xdr:cNvPr id="679" name="Группа 678"/>
        <xdr:cNvGrpSpPr/>
      </xdr:nvGrpSpPr>
      <xdr:grpSpPr>
        <a:xfrm rot="16200000" flipH="1">
          <a:off x="1820752" y="39341498"/>
          <a:ext cx="126866" cy="129847"/>
          <a:chOff x="1132242" y="1306343"/>
          <a:chExt cx="123151" cy="128030"/>
        </a:xfrm>
      </xdr:grpSpPr>
      <xdr:cxnSp macro="">
        <xdr:nvCxnSpPr>
          <xdr:cNvPr id="680" name="Прямая соединительная линия 67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1" name="Прямоугольник 68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542316</xdr:colOff>
      <xdr:row>67</xdr:row>
      <xdr:rowOff>649945</xdr:rowOff>
    </xdr:from>
    <xdr:to>
      <xdr:col>2</xdr:col>
      <xdr:colOff>542316</xdr:colOff>
      <xdr:row>68</xdr:row>
      <xdr:rowOff>537883</xdr:rowOff>
    </xdr:to>
    <xdr:cxnSp macro="">
      <xdr:nvCxnSpPr>
        <xdr:cNvPr id="682" name="Прямая соединительная линия 681"/>
        <xdr:cNvCxnSpPr/>
      </xdr:nvCxnSpPr>
      <xdr:spPr>
        <a:xfrm>
          <a:off x="1976669" y="42324621"/>
          <a:ext cx="0" cy="58270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78441</xdr:colOff>
      <xdr:row>67</xdr:row>
      <xdr:rowOff>649942</xdr:rowOff>
    </xdr:from>
    <xdr:to>
      <xdr:col>3</xdr:col>
      <xdr:colOff>100853</xdr:colOff>
      <xdr:row>68</xdr:row>
      <xdr:rowOff>582706</xdr:rowOff>
    </xdr:to>
    <xdr:sp macro="" textlink="">
      <xdr:nvSpPr>
        <xdr:cNvPr id="58" name="Полилиния 57"/>
        <xdr:cNvSpPr/>
      </xdr:nvSpPr>
      <xdr:spPr>
        <a:xfrm>
          <a:off x="1512794" y="42324618"/>
          <a:ext cx="605118" cy="627529"/>
        </a:xfrm>
        <a:custGeom>
          <a:avLst/>
          <a:gdLst>
            <a:gd name="connsiteX0" fmla="*/ 605118 w 605118"/>
            <a:gd name="connsiteY0" fmla="*/ 627529 h 627529"/>
            <a:gd name="connsiteX1" fmla="*/ 605118 w 605118"/>
            <a:gd name="connsiteY1" fmla="*/ 0 h 627529"/>
            <a:gd name="connsiteX2" fmla="*/ 0 w 605118"/>
            <a:gd name="connsiteY2" fmla="*/ 0 h 6275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05118" h="627529">
              <a:moveTo>
                <a:pt x="605118" y="627529"/>
              </a:moveTo>
              <a:lnTo>
                <a:pt x="60511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7425</xdr:colOff>
      <xdr:row>73</xdr:row>
      <xdr:rowOff>89648</xdr:rowOff>
    </xdr:from>
    <xdr:to>
      <xdr:col>3</xdr:col>
      <xdr:colOff>7425</xdr:colOff>
      <xdr:row>74</xdr:row>
      <xdr:rowOff>2244</xdr:rowOff>
    </xdr:to>
    <xdr:cxnSp macro="">
      <xdr:nvCxnSpPr>
        <xdr:cNvPr id="683" name="Прямая соединительная линия 682"/>
        <xdr:cNvCxnSpPr/>
      </xdr:nvCxnSpPr>
      <xdr:spPr>
        <a:xfrm flipV="1">
          <a:off x="2024484" y="44543383"/>
          <a:ext cx="0" cy="607361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11206</xdr:colOff>
      <xdr:row>74</xdr:row>
      <xdr:rowOff>0</xdr:rowOff>
    </xdr:from>
    <xdr:to>
      <xdr:col>2</xdr:col>
      <xdr:colOff>579257</xdr:colOff>
      <xdr:row>74</xdr:row>
      <xdr:rowOff>562880</xdr:rowOff>
    </xdr:to>
    <xdr:sp macro="" textlink="">
      <xdr:nvSpPr>
        <xdr:cNvPr id="684" name="Полилиния 683"/>
        <xdr:cNvSpPr/>
      </xdr:nvSpPr>
      <xdr:spPr>
        <a:xfrm>
          <a:off x="1445559" y="45148500"/>
          <a:ext cx="568051" cy="562880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528421</xdr:colOff>
      <xdr:row>76</xdr:row>
      <xdr:rowOff>493880</xdr:rowOff>
    </xdr:from>
    <xdr:to>
      <xdr:col>3</xdr:col>
      <xdr:colOff>53715</xdr:colOff>
      <xdr:row>76</xdr:row>
      <xdr:rowOff>605759</xdr:rowOff>
    </xdr:to>
    <xdr:sp macro="" textlink="">
      <xdr:nvSpPr>
        <xdr:cNvPr id="685" name="Овал 684"/>
        <xdr:cNvSpPr/>
      </xdr:nvSpPr>
      <xdr:spPr>
        <a:xfrm rot="10800000">
          <a:off x="1962774" y="47031909"/>
          <a:ext cx="108000" cy="11187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581239</xdr:colOff>
      <xdr:row>75</xdr:row>
      <xdr:rowOff>625262</xdr:rowOff>
    </xdr:from>
    <xdr:to>
      <xdr:col>2</xdr:col>
      <xdr:colOff>581239</xdr:colOff>
      <xdr:row>76</xdr:row>
      <xdr:rowOff>587538</xdr:rowOff>
    </xdr:to>
    <xdr:cxnSp macro="">
      <xdr:nvCxnSpPr>
        <xdr:cNvPr id="686" name="Прямая соединительная линия 685"/>
        <xdr:cNvCxnSpPr/>
      </xdr:nvCxnSpPr>
      <xdr:spPr>
        <a:xfrm flipV="1">
          <a:off x="2015592" y="46468527"/>
          <a:ext cx="0" cy="65704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78440</xdr:colOff>
      <xdr:row>75</xdr:row>
      <xdr:rowOff>617122</xdr:rowOff>
    </xdr:from>
    <xdr:to>
      <xdr:col>3</xdr:col>
      <xdr:colOff>526676</xdr:colOff>
      <xdr:row>75</xdr:row>
      <xdr:rowOff>617122</xdr:rowOff>
    </xdr:to>
    <xdr:cxnSp macro="">
      <xdr:nvCxnSpPr>
        <xdr:cNvPr id="687" name="Прямая соединительная линия 686"/>
        <xdr:cNvCxnSpPr/>
      </xdr:nvCxnSpPr>
      <xdr:spPr>
        <a:xfrm rot="5400000" flipV="1">
          <a:off x="2028264" y="45944916"/>
          <a:ext cx="0" cy="103094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78440</xdr:colOff>
      <xdr:row>76</xdr:row>
      <xdr:rowOff>87529</xdr:rowOff>
    </xdr:from>
    <xdr:to>
      <xdr:col>3</xdr:col>
      <xdr:colOff>526676</xdr:colOff>
      <xdr:row>76</xdr:row>
      <xdr:rowOff>87529</xdr:rowOff>
    </xdr:to>
    <xdr:cxnSp macro="">
      <xdr:nvCxnSpPr>
        <xdr:cNvPr id="688" name="Прямая соединительная линия 687"/>
        <xdr:cNvCxnSpPr/>
      </xdr:nvCxnSpPr>
      <xdr:spPr>
        <a:xfrm rot="5400000" flipV="1">
          <a:off x="2028264" y="46110087"/>
          <a:ext cx="0" cy="103094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581239</xdr:colOff>
      <xdr:row>75</xdr:row>
      <xdr:rowOff>112057</xdr:rowOff>
    </xdr:from>
    <xdr:to>
      <xdr:col>2</xdr:col>
      <xdr:colOff>581239</xdr:colOff>
      <xdr:row>75</xdr:row>
      <xdr:rowOff>602851</xdr:rowOff>
    </xdr:to>
    <xdr:cxnSp macro="">
      <xdr:nvCxnSpPr>
        <xdr:cNvPr id="692" name="Прямая соединительная линия 691"/>
        <xdr:cNvCxnSpPr/>
      </xdr:nvCxnSpPr>
      <xdr:spPr>
        <a:xfrm flipV="1">
          <a:off x="2015592" y="45955322"/>
          <a:ext cx="0" cy="490794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313764</xdr:colOff>
      <xdr:row>75</xdr:row>
      <xdr:rowOff>389939</xdr:rowOff>
    </xdr:from>
    <xdr:to>
      <xdr:col>3</xdr:col>
      <xdr:colOff>272677</xdr:colOff>
      <xdr:row>75</xdr:row>
      <xdr:rowOff>512080</xdr:rowOff>
    </xdr:to>
    <xdr:grpSp>
      <xdr:nvGrpSpPr>
        <xdr:cNvPr id="693" name="Группа 692"/>
        <xdr:cNvGrpSpPr/>
      </xdr:nvGrpSpPr>
      <xdr:grpSpPr>
        <a:xfrm rot="10800000">
          <a:off x="1733855" y="43356348"/>
          <a:ext cx="547731" cy="122141"/>
          <a:chOff x="760945" y="5714381"/>
          <a:chExt cx="364368" cy="118966"/>
        </a:xfrm>
      </xdr:grpSpPr>
      <xdr:grpSp>
        <xdr:nvGrpSpPr>
          <xdr:cNvPr id="694" name="Группа 693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698" name="Овал 697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99" name="Прямая со стрелкой 698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695" name="Группа 694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696" name="Овал 695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97" name="Прямая со стрелкой 696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11206</xdr:colOff>
      <xdr:row>75</xdr:row>
      <xdr:rowOff>614056</xdr:rowOff>
    </xdr:from>
    <xdr:to>
      <xdr:col>3</xdr:col>
      <xdr:colOff>0</xdr:colOff>
      <xdr:row>76</xdr:row>
      <xdr:rowOff>535616</xdr:rowOff>
    </xdr:to>
    <xdr:sp macro="" textlink="">
      <xdr:nvSpPr>
        <xdr:cNvPr id="700" name="Полилиния 699"/>
        <xdr:cNvSpPr/>
      </xdr:nvSpPr>
      <xdr:spPr>
        <a:xfrm>
          <a:off x="1445559" y="46457321"/>
          <a:ext cx="571500" cy="616324"/>
        </a:xfrm>
        <a:custGeom>
          <a:avLst/>
          <a:gdLst>
            <a:gd name="connsiteX0" fmla="*/ 526677 w 526677"/>
            <a:gd name="connsiteY0" fmla="*/ 616324 h 616324"/>
            <a:gd name="connsiteX1" fmla="*/ 526677 w 526677"/>
            <a:gd name="connsiteY1" fmla="*/ 0 h 616324"/>
            <a:gd name="connsiteX2" fmla="*/ 0 w 526677"/>
            <a:gd name="connsiteY2" fmla="*/ 0 h 6163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7" h="616324">
              <a:moveTo>
                <a:pt x="526677" y="616324"/>
              </a:moveTo>
              <a:lnTo>
                <a:pt x="526677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532829</xdr:colOff>
      <xdr:row>78</xdr:row>
      <xdr:rowOff>504983</xdr:rowOff>
    </xdr:from>
    <xdr:to>
      <xdr:col>3</xdr:col>
      <xdr:colOff>59804</xdr:colOff>
      <xdr:row>78</xdr:row>
      <xdr:rowOff>612983</xdr:rowOff>
    </xdr:to>
    <xdr:sp macro="" textlink="">
      <xdr:nvSpPr>
        <xdr:cNvPr id="701" name="Овал 700"/>
        <xdr:cNvSpPr/>
      </xdr:nvSpPr>
      <xdr:spPr>
        <a:xfrm>
          <a:off x="1967182" y="48432542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81072</xdr:colOff>
      <xdr:row>77</xdr:row>
      <xdr:rowOff>689480</xdr:rowOff>
    </xdr:from>
    <xdr:to>
      <xdr:col>3</xdr:col>
      <xdr:colOff>529306</xdr:colOff>
      <xdr:row>77</xdr:row>
      <xdr:rowOff>689480</xdr:rowOff>
    </xdr:to>
    <xdr:cxnSp macro="">
      <xdr:nvCxnSpPr>
        <xdr:cNvPr id="702" name="Прямая соединительная линия 701"/>
        <xdr:cNvCxnSpPr/>
      </xdr:nvCxnSpPr>
      <xdr:spPr>
        <a:xfrm>
          <a:off x="1515425" y="47922274"/>
          <a:ext cx="103094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4873</xdr:colOff>
      <xdr:row>77</xdr:row>
      <xdr:rowOff>112058</xdr:rowOff>
    </xdr:from>
    <xdr:to>
      <xdr:col>3</xdr:col>
      <xdr:colOff>4873</xdr:colOff>
      <xdr:row>78</xdr:row>
      <xdr:rowOff>560294</xdr:rowOff>
    </xdr:to>
    <xdr:cxnSp macro="">
      <xdr:nvCxnSpPr>
        <xdr:cNvPr id="703" name="Прямая соединительная линия 702"/>
        <xdr:cNvCxnSpPr/>
      </xdr:nvCxnSpPr>
      <xdr:spPr>
        <a:xfrm flipV="1">
          <a:off x="2021932" y="47344852"/>
          <a:ext cx="0" cy="114300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77161</xdr:colOff>
      <xdr:row>78</xdr:row>
      <xdr:rowOff>94229</xdr:rowOff>
    </xdr:from>
    <xdr:to>
      <xdr:col>3</xdr:col>
      <xdr:colOff>221161</xdr:colOff>
      <xdr:row>78</xdr:row>
      <xdr:rowOff>238229</xdr:rowOff>
    </xdr:to>
    <xdr:sp macro="" textlink="">
      <xdr:nvSpPr>
        <xdr:cNvPr id="704" name="Овал 703"/>
        <xdr:cNvSpPr/>
      </xdr:nvSpPr>
      <xdr:spPr>
        <a:xfrm>
          <a:off x="2094220" y="4802178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22413</xdr:colOff>
      <xdr:row>77</xdr:row>
      <xdr:rowOff>690885</xdr:rowOff>
    </xdr:from>
    <xdr:to>
      <xdr:col>3</xdr:col>
      <xdr:colOff>7758</xdr:colOff>
      <xdr:row>78</xdr:row>
      <xdr:rowOff>560293</xdr:rowOff>
    </xdr:to>
    <xdr:sp macro="" textlink="">
      <xdr:nvSpPr>
        <xdr:cNvPr id="705" name="Полилиния 704"/>
        <xdr:cNvSpPr/>
      </xdr:nvSpPr>
      <xdr:spPr>
        <a:xfrm>
          <a:off x="1456766" y="47923679"/>
          <a:ext cx="568051" cy="56417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92417</xdr:colOff>
      <xdr:row>77</xdr:row>
      <xdr:rowOff>395567</xdr:rowOff>
    </xdr:from>
    <xdr:ext cx="609653" cy="609653"/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182" y="47628361"/>
          <a:ext cx="609653" cy="609653"/>
        </a:xfrm>
        <a:prstGeom prst="rect">
          <a:avLst/>
        </a:prstGeom>
      </xdr:spPr>
    </xdr:pic>
    <xdr:clientData/>
  </xdr:oneCellAnchor>
  <xdr:twoCellAnchor>
    <xdr:from>
      <xdr:col>2</xdr:col>
      <xdr:colOff>571597</xdr:colOff>
      <xdr:row>83</xdr:row>
      <xdr:rowOff>78441</xdr:rowOff>
    </xdr:from>
    <xdr:to>
      <xdr:col>2</xdr:col>
      <xdr:colOff>571597</xdr:colOff>
      <xdr:row>84</xdr:row>
      <xdr:rowOff>562538</xdr:rowOff>
    </xdr:to>
    <xdr:cxnSp macro="">
      <xdr:nvCxnSpPr>
        <xdr:cNvPr id="750" name="Прямая соединительная линия 749"/>
        <xdr:cNvCxnSpPr/>
      </xdr:nvCxnSpPr>
      <xdr:spPr>
        <a:xfrm flipV="1">
          <a:off x="2005950" y="55648412"/>
          <a:ext cx="0" cy="1178861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521976</xdr:colOff>
      <xdr:row>86</xdr:row>
      <xdr:rowOff>507225</xdr:rowOff>
    </xdr:from>
    <xdr:to>
      <xdr:col>3</xdr:col>
      <xdr:colOff>48951</xdr:colOff>
      <xdr:row>86</xdr:row>
      <xdr:rowOff>615225</xdr:rowOff>
    </xdr:to>
    <xdr:sp macro="" textlink="">
      <xdr:nvSpPr>
        <xdr:cNvPr id="751" name="Овал 750"/>
        <xdr:cNvSpPr/>
      </xdr:nvSpPr>
      <xdr:spPr>
        <a:xfrm>
          <a:off x="1956329" y="5816149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62892</xdr:colOff>
      <xdr:row>85</xdr:row>
      <xdr:rowOff>692282</xdr:rowOff>
    </xdr:from>
    <xdr:to>
      <xdr:col>3</xdr:col>
      <xdr:colOff>477509</xdr:colOff>
      <xdr:row>85</xdr:row>
      <xdr:rowOff>692282</xdr:rowOff>
    </xdr:to>
    <xdr:cxnSp macro="">
      <xdr:nvCxnSpPr>
        <xdr:cNvPr id="752" name="Прямая соединительная линия 751"/>
        <xdr:cNvCxnSpPr/>
      </xdr:nvCxnSpPr>
      <xdr:spPr>
        <a:xfrm>
          <a:off x="1497245" y="57651782"/>
          <a:ext cx="99732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578924</xdr:colOff>
      <xdr:row>85</xdr:row>
      <xdr:rowOff>85725</xdr:rowOff>
    </xdr:from>
    <xdr:to>
      <xdr:col>2</xdr:col>
      <xdr:colOff>578924</xdr:colOff>
      <xdr:row>86</xdr:row>
      <xdr:rowOff>607361</xdr:rowOff>
    </xdr:to>
    <xdr:cxnSp macro="">
      <xdr:nvCxnSpPr>
        <xdr:cNvPr id="753" name="Прямая соединительная линия 752"/>
        <xdr:cNvCxnSpPr/>
      </xdr:nvCxnSpPr>
      <xdr:spPr>
        <a:xfrm flipV="1">
          <a:off x="2007674" y="55664100"/>
          <a:ext cx="0" cy="121696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574301</xdr:colOff>
      <xdr:row>85</xdr:row>
      <xdr:rowOff>675714</xdr:rowOff>
    </xdr:from>
    <xdr:to>
      <xdr:col>3</xdr:col>
      <xdr:colOff>558525</xdr:colOff>
      <xdr:row>86</xdr:row>
      <xdr:rowOff>543829</xdr:rowOff>
    </xdr:to>
    <xdr:sp macro="" textlink="">
      <xdr:nvSpPr>
        <xdr:cNvPr id="755" name="Полилиния 754"/>
        <xdr:cNvSpPr/>
      </xdr:nvSpPr>
      <xdr:spPr>
        <a:xfrm flipH="1">
          <a:off x="2003051" y="56254089"/>
          <a:ext cx="565249" cy="563440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184753</xdr:colOff>
      <xdr:row>110</xdr:row>
      <xdr:rowOff>309381</xdr:rowOff>
    </xdr:from>
    <xdr:to>
      <xdr:col>3</xdr:col>
      <xdr:colOff>310354</xdr:colOff>
      <xdr:row>113</xdr:row>
      <xdr:rowOff>386425</xdr:rowOff>
    </xdr:to>
    <xdr:grpSp>
      <xdr:nvGrpSpPr>
        <xdr:cNvPr id="83" name="Группа 82"/>
        <xdr:cNvGrpSpPr/>
      </xdr:nvGrpSpPr>
      <xdr:grpSpPr>
        <a:xfrm>
          <a:off x="894798" y="64750336"/>
          <a:ext cx="1424465" cy="2155225"/>
          <a:chOff x="879518" y="67679145"/>
          <a:chExt cx="1425484" cy="2161337"/>
        </a:xfrm>
      </xdr:grpSpPr>
      <xdr:sp macro="" textlink="">
        <xdr:nvSpPr>
          <xdr:cNvPr id="448" name="Дуга 447"/>
          <xdr:cNvSpPr/>
        </xdr:nvSpPr>
        <xdr:spPr>
          <a:xfrm rot="5400000" flipH="1">
            <a:off x="977277" y="68670300"/>
            <a:ext cx="1072423" cy="1267942"/>
          </a:xfrm>
          <a:prstGeom prst="arc">
            <a:avLst>
              <a:gd name="adj1" fmla="val 16144932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51" name="Овал 450"/>
          <xdr:cNvSpPr/>
        </xdr:nvSpPr>
        <xdr:spPr>
          <a:xfrm rot="5400000">
            <a:off x="1876939" y="68626062"/>
            <a:ext cx="288433" cy="286194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52" name="Овал 451"/>
          <xdr:cNvSpPr/>
        </xdr:nvSpPr>
        <xdr:spPr>
          <a:xfrm rot="5400000">
            <a:off x="2110733" y="69288913"/>
            <a:ext cx="109191" cy="108000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56" name="Прямая соединительная линия 455"/>
          <xdr:cNvCxnSpPr/>
        </xdr:nvCxnSpPr>
        <xdr:spPr>
          <a:xfrm>
            <a:off x="2165940" y="68123362"/>
            <a:ext cx="0" cy="1210135"/>
          </a:xfrm>
          <a:prstGeom prst="line">
            <a:avLst/>
          </a:prstGeom>
          <a:ln w="50800">
            <a:solidFill>
              <a:schemeClr val="tx1"/>
            </a:solidFill>
            <a:headEnd type="triangle" w="med" len="lg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53" name="Группа 452"/>
          <xdr:cNvGrpSpPr/>
        </xdr:nvGrpSpPr>
        <xdr:grpSpPr>
          <a:xfrm flipH="1">
            <a:off x="2177926" y="68650397"/>
            <a:ext cx="127076" cy="125546"/>
            <a:chOff x="1132242" y="1306343"/>
            <a:chExt cx="123151" cy="128030"/>
          </a:xfrm>
        </xdr:grpSpPr>
        <xdr:cxnSp macro="">
          <xdr:nvCxnSpPr>
            <xdr:cNvPr id="454" name="Прямая соединительная линия 453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55" name="Прямоугольник 454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83" name="Дуга 782"/>
          <xdr:cNvSpPr/>
        </xdr:nvSpPr>
        <xdr:spPr>
          <a:xfrm rot="5400000">
            <a:off x="996061" y="67576024"/>
            <a:ext cx="1065014" cy="1271255"/>
          </a:xfrm>
          <a:prstGeom prst="arc">
            <a:avLst/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522543</xdr:colOff>
      <xdr:row>98</xdr:row>
      <xdr:rowOff>535134</xdr:rowOff>
    </xdr:from>
    <xdr:to>
      <xdr:col>3</xdr:col>
      <xdr:colOff>51716</xdr:colOff>
      <xdr:row>98</xdr:row>
      <xdr:rowOff>643134</xdr:rowOff>
    </xdr:to>
    <xdr:sp macro="" textlink="">
      <xdr:nvSpPr>
        <xdr:cNvPr id="824" name="Овал 823"/>
        <xdr:cNvSpPr/>
      </xdr:nvSpPr>
      <xdr:spPr>
        <a:xfrm rot="5400000">
          <a:off x="1958836" y="70693223"/>
          <a:ext cx="108000" cy="11187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112060</xdr:colOff>
      <xdr:row>97</xdr:row>
      <xdr:rowOff>688649</xdr:rowOff>
    </xdr:from>
    <xdr:to>
      <xdr:col>3</xdr:col>
      <xdr:colOff>0</xdr:colOff>
      <xdr:row>97</xdr:row>
      <xdr:rowOff>688649</xdr:rowOff>
    </xdr:to>
    <xdr:cxnSp macro="">
      <xdr:nvCxnSpPr>
        <xdr:cNvPr id="825" name="Прямая соединительная линия 824"/>
        <xdr:cNvCxnSpPr/>
      </xdr:nvCxnSpPr>
      <xdr:spPr>
        <a:xfrm flipH="1">
          <a:off x="1546413" y="70153914"/>
          <a:ext cx="470646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3450</xdr:colOff>
      <xdr:row>97</xdr:row>
      <xdr:rowOff>677527</xdr:rowOff>
    </xdr:from>
    <xdr:to>
      <xdr:col>2</xdr:col>
      <xdr:colOff>571501</xdr:colOff>
      <xdr:row>98</xdr:row>
      <xdr:rowOff>545644</xdr:rowOff>
    </xdr:to>
    <xdr:sp macro="" textlink="">
      <xdr:nvSpPr>
        <xdr:cNvPr id="826" name="Полилиния 825"/>
        <xdr:cNvSpPr/>
      </xdr:nvSpPr>
      <xdr:spPr>
        <a:xfrm>
          <a:off x="1437803" y="70142792"/>
          <a:ext cx="568051" cy="562881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570099</xdr:colOff>
      <xdr:row>97</xdr:row>
      <xdr:rowOff>576453</xdr:rowOff>
    </xdr:from>
    <xdr:to>
      <xdr:col>3</xdr:col>
      <xdr:colOff>114259</xdr:colOff>
      <xdr:row>98</xdr:row>
      <xdr:rowOff>7236</xdr:rowOff>
    </xdr:to>
    <xdr:grpSp>
      <xdr:nvGrpSpPr>
        <xdr:cNvPr id="827" name="Группа 826"/>
        <xdr:cNvGrpSpPr/>
      </xdr:nvGrpSpPr>
      <xdr:grpSpPr>
        <a:xfrm flipH="1">
          <a:off x="1990190" y="57397408"/>
          <a:ext cx="132978" cy="123510"/>
          <a:chOff x="1132242" y="1306343"/>
          <a:chExt cx="123151" cy="128030"/>
        </a:xfrm>
      </xdr:grpSpPr>
      <xdr:cxnSp macro="">
        <xdr:nvCxnSpPr>
          <xdr:cNvPr id="828" name="Прямая соединительная линия 82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29" name="Прямоугольник 82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581075</xdr:colOff>
      <xdr:row>97</xdr:row>
      <xdr:rowOff>78441</xdr:rowOff>
    </xdr:from>
    <xdr:to>
      <xdr:col>2</xdr:col>
      <xdr:colOff>581075</xdr:colOff>
      <xdr:row>98</xdr:row>
      <xdr:rowOff>560295</xdr:rowOff>
    </xdr:to>
    <xdr:cxnSp macro="">
      <xdr:nvCxnSpPr>
        <xdr:cNvPr id="830" name="Прямая соединительная линия 829"/>
        <xdr:cNvCxnSpPr/>
      </xdr:nvCxnSpPr>
      <xdr:spPr>
        <a:xfrm flipV="1">
          <a:off x="2015428" y="69543706"/>
          <a:ext cx="0" cy="1176618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579561</xdr:colOff>
      <xdr:row>99</xdr:row>
      <xdr:rowOff>95250</xdr:rowOff>
    </xdr:from>
    <xdr:to>
      <xdr:col>2</xdr:col>
      <xdr:colOff>579561</xdr:colOff>
      <xdr:row>100</xdr:row>
      <xdr:rowOff>583748</xdr:rowOff>
    </xdr:to>
    <xdr:cxnSp macro="">
      <xdr:nvCxnSpPr>
        <xdr:cNvPr id="839" name="Прямая соединительная линия 838"/>
        <xdr:cNvCxnSpPr/>
      </xdr:nvCxnSpPr>
      <xdr:spPr>
        <a:xfrm flipV="1">
          <a:off x="2008311" y="2646997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100</xdr:row>
      <xdr:rowOff>519793</xdr:rowOff>
    </xdr:from>
    <xdr:to>
      <xdr:col>3</xdr:col>
      <xdr:colOff>53467</xdr:colOff>
      <xdr:row>100</xdr:row>
      <xdr:rowOff>627793</xdr:rowOff>
    </xdr:to>
    <xdr:sp macro="" textlink="">
      <xdr:nvSpPr>
        <xdr:cNvPr id="840" name="Овал 839"/>
        <xdr:cNvSpPr/>
      </xdr:nvSpPr>
      <xdr:spPr>
        <a:xfrm>
          <a:off x="1955242" y="275898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7354</xdr:colOff>
      <xdr:row>99</xdr:row>
      <xdr:rowOff>557858</xdr:rowOff>
    </xdr:from>
    <xdr:to>
      <xdr:col>3</xdr:col>
      <xdr:colOff>135384</xdr:colOff>
      <xdr:row>99</xdr:row>
      <xdr:rowOff>680985</xdr:rowOff>
    </xdr:to>
    <xdr:grpSp>
      <xdr:nvGrpSpPr>
        <xdr:cNvPr id="842" name="Группа 841"/>
        <xdr:cNvGrpSpPr/>
      </xdr:nvGrpSpPr>
      <xdr:grpSpPr>
        <a:xfrm rot="5400000">
          <a:off x="2018714" y="58761816"/>
          <a:ext cx="123127" cy="128030"/>
          <a:chOff x="1132242" y="1306343"/>
          <a:chExt cx="123151" cy="128030"/>
        </a:xfrm>
      </xdr:grpSpPr>
      <xdr:cxnSp macro="">
        <xdr:nvCxnSpPr>
          <xdr:cNvPr id="843" name="Прямая соединительная линия 8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4" name="Прямоугольник 84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521977</xdr:colOff>
      <xdr:row>110</xdr:row>
      <xdr:rowOff>509707</xdr:rowOff>
    </xdr:from>
    <xdr:to>
      <xdr:col>3</xdr:col>
      <xdr:colOff>48952</xdr:colOff>
      <xdr:row>110</xdr:row>
      <xdr:rowOff>617707</xdr:rowOff>
    </xdr:to>
    <xdr:sp macro="" textlink="">
      <xdr:nvSpPr>
        <xdr:cNvPr id="852" name="Овал 851"/>
        <xdr:cNvSpPr/>
      </xdr:nvSpPr>
      <xdr:spPr>
        <a:xfrm>
          <a:off x="1956330" y="79006913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62893</xdr:colOff>
      <xdr:row>110</xdr:row>
      <xdr:rowOff>0</xdr:rowOff>
    </xdr:from>
    <xdr:to>
      <xdr:col>3</xdr:col>
      <xdr:colOff>477510</xdr:colOff>
      <xdr:row>110</xdr:row>
      <xdr:rowOff>0</xdr:rowOff>
    </xdr:to>
    <xdr:cxnSp macro="">
      <xdr:nvCxnSpPr>
        <xdr:cNvPr id="853" name="Прямая соединительная линия 852"/>
        <xdr:cNvCxnSpPr/>
      </xdr:nvCxnSpPr>
      <xdr:spPr>
        <a:xfrm>
          <a:off x="1497246" y="78497206"/>
          <a:ext cx="99732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578925</xdr:colOff>
      <xdr:row>110</xdr:row>
      <xdr:rowOff>2482</xdr:rowOff>
    </xdr:from>
    <xdr:to>
      <xdr:col>2</xdr:col>
      <xdr:colOff>578925</xdr:colOff>
      <xdr:row>110</xdr:row>
      <xdr:rowOff>609842</xdr:rowOff>
    </xdr:to>
    <xdr:cxnSp macro="">
      <xdr:nvCxnSpPr>
        <xdr:cNvPr id="854" name="Прямая соединительная линия 853"/>
        <xdr:cNvCxnSpPr/>
      </xdr:nvCxnSpPr>
      <xdr:spPr>
        <a:xfrm flipV="1">
          <a:off x="2013278" y="78499688"/>
          <a:ext cx="0" cy="60736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571499</xdr:colOff>
      <xdr:row>110</xdr:row>
      <xdr:rowOff>2482</xdr:rowOff>
    </xdr:from>
    <xdr:to>
      <xdr:col>3</xdr:col>
      <xdr:colOff>556844</xdr:colOff>
      <xdr:row>110</xdr:row>
      <xdr:rowOff>565361</xdr:rowOff>
    </xdr:to>
    <xdr:sp macro="" textlink="">
      <xdr:nvSpPr>
        <xdr:cNvPr id="855" name="Полилиния 854"/>
        <xdr:cNvSpPr/>
      </xdr:nvSpPr>
      <xdr:spPr>
        <a:xfrm flipH="1">
          <a:off x="2005852" y="72941570"/>
          <a:ext cx="568051" cy="562879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115</xdr:row>
      <xdr:rowOff>69272</xdr:rowOff>
    </xdr:from>
    <xdr:to>
      <xdr:col>2</xdr:col>
      <xdr:colOff>306457</xdr:colOff>
      <xdr:row>116</xdr:row>
      <xdr:rowOff>557771</xdr:rowOff>
    </xdr:to>
    <xdr:cxnSp macro="">
      <xdr:nvCxnSpPr>
        <xdr:cNvPr id="856" name="Прямая соединительная линия 855"/>
        <xdr:cNvCxnSpPr/>
      </xdr:nvCxnSpPr>
      <xdr:spPr>
        <a:xfrm flipV="1">
          <a:off x="1735207" y="22272047"/>
          <a:ext cx="0" cy="118382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245511</xdr:colOff>
      <xdr:row>116</xdr:row>
      <xdr:rowOff>493816</xdr:rowOff>
    </xdr:from>
    <xdr:to>
      <xdr:col>2</xdr:col>
      <xdr:colOff>355192</xdr:colOff>
      <xdr:row>116</xdr:row>
      <xdr:rowOff>601816</xdr:rowOff>
    </xdr:to>
    <xdr:sp macro="" textlink="">
      <xdr:nvSpPr>
        <xdr:cNvPr id="857" name="Овал 856"/>
        <xdr:cNvSpPr/>
      </xdr:nvSpPr>
      <xdr:spPr>
        <a:xfrm>
          <a:off x="1674261" y="23391916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115</xdr:row>
      <xdr:rowOff>346611</xdr:rowOff>
    </xdr:from>
    <xdr:to>
      <xdr:col>3</xdr:col>
      <xdr:colOff>45200</xdr:colOff>
      <xdr:row>116</xdr:row>
      <xdr:rowOff>385959</xdr:rowOff>
    </xdr:to>
    <xdr:sp macro="" textlink="">
      <xdr:nvSpPr>
        <xdr:cNvPr id="858" name="Прямоугольник 857"/>
        <xdr:cNvSpPr/>
      </xdr:nvSpPr>
      <xdr:spPr>
        <a:xfrm>
          <a:off x="1740810" y="82317640"/>
          <a:ext cx="321449" cy="734113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115</xdr:row>
      <xdr:rowOff>346896</xdr:rowOff>
    </xdr:from>
    <xdr:to>
      <xdr:col>3</xdr:col>
      <xdr:colOff>323023</xdr:colOff>
      <xdr:row>115</xdr:row>
      <xdr:rowOff>346896</xdr:rowOff>
    </xdr:to>
    <xdr:cxnSp macro="">
      <xdr:nvCxnSpPr>
        <xdr:cNvPr id="859" name="Прямая соединительная линия 858"/>
        <xdr:cNvCxnSpPr/>
      </xdr:nvCxnSpPr>
      <xdr:spPr>
        <a:xfrm>
          <a:off x="1740810" y="82317925"/>
          <a:ext cx="599272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374017</xdr:colOff>
      <xdr:row>115</xdr:row>
      <xdr:rowOff>643939</xdr:rowOff>
    </xdr:from>
    <xdr:to>
      <xdr:col>2</xdr:col>
      <xdr:colOff>518017</xdr:colOff>
      <xdr:row>116</xdr:row>
      <xdr:rowOff>93588</xdr:rowOff>
    </xdr:to>
    <xdr:sp macro="" textlink="">
      <xdr:nvSpPr>
        <xdr:cNvPr id="864" name="Овал 863"/>
        <xdr:cNvSpPr/>
      </xdr:nvSpPr>
      <xdr:spPr>
        <a:xfrm>
          <a:off x="1808370" y="82614968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297895</xdr:colOff>
      <xdr:row>115</xdr:row>
      <xdr:rowOff>7069</xdr:rowOff>
    </xdr:from>
    <xdr:to>
      <xdr:col>2</xdr:col>
      <xdr:colOff>297895</xdr:colOff>
      <xdr:row>116</xdr:row>
      <xdr:rowOff>534607</xdr:rowOff>
    </xdr:to>
    <xdr:cxnSp macro="">
      <xdr:nvCxnSpPr>
        <xdr:cNvPr id="865" name="Прямая соединительная линия 864"/>
        <xdr:cNvCxnSpPr/>
      </xdr:nvCxnSpPr>
      <xdr:spPr>
        <a:xfrm flipV="1">
          <a:off x="1732248" y="81978098"/>
          <a:ext cx="0" cy="122230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171107</xdr:colOff>
      <xdr:row>115</xdr:row>
      <xdr:rowOff>556807</xdr:rowOff>
    </xdr:from>
    <xdr:to>
      <xdr:col>2</xdr:col>
      <xdr:colOff>298673</xdr:colOff>
      <xdr:row>115</xdr:row>
      <xdr:rowOff>686865</xdr:rowOff>
    </xdr:to>
    <xdr:grpSp>
      <xdr:nvGrpSpPr>
        <xdr:cNvPr id="861" name="Группа 860"/>
        <xdr:cNvGrpSpPr/>
      </xdr:nvGrpSpPr>
      <xdr:grpSpPr>
        <a:xfrm>
          <a:off x="1591198" y="68461398"/>
          <a:ext cx="127566" cy="130058"/>
          <a:chOff x="1132242" y="1306343"/>
          <a:chExt cx="123151" cy="128030"/>
        </a:xfrm>
      </xdr:grpSpPr>
      <xdr:cxnSp macro="">
        <xdr:nvCxnSpPr>
          <xdr:cNvPr id="862" name="Прямая соединительная линия 86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63" name="Прямоугольник 86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89647</xdr:colOff>
      <xdr:row>115</xdr:row>
      <xdr:rowOff>369795</xdr:rowOff>
    </xdr:from>
    <xdr:to>
      <xdr:col>4</xdr:col>
      <xdr:colOff>321280</xdr:colOff>
      <xdr:row>116</xdr:row>
      <xdr:rowOff>332295</xdr:rowOff>
    </xdr:to>
    <xdr:grpSp>
      <xdr:nvGrpSpPr>
        <xdr:cNvPr id="866" name="Группа 865"/>
        <xdr:cNvGrpSpPr/>
      </xdr:nvGrpSpPr>
      <xdr:grpSpPr>
        <a:xfrm flipH="1">
          <a:off x="2687374" y="68274386"/>
          <a:ext cx="231633" cy="655227"/>
          <a:chOff x="2974731" y="8507714"/>
          <a:chExt cx="359019" cy="1014540"/>
        </a:xfrm>
      </xdr:grpSpPr>
      <xdr:sp macro="" textlink="">
        <xdr:nvSpPr>
          <xdr:cNvPr id="867" name="Прямоугольник 866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68" name="Овал 867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69" name="Овал 868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70" name="Овал 869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102942</xdr:colOff>
      <xdr:row>17</xdr:row>
      <xdr:rowOff>366032</xdr:rowOff>
    </xdr:from>
    <xdr:to>
      <xdr:col>4</xdr:col>
      <xdr:colOff>794998</xdr:colOff>
      <xdr:row>18</xdr:row>
      <xdr:rowOff>324797</xdr:rowOff>
    </xdr:to>
    <xdr:grpSp>
      <xdr:nvGrpSpPr>
        <xdr:cNvPr id="9" name="Группа 8"/>
        <xdr:cNvGrpSpPr/>
      </xdr:nvGrpSpPr>
      <xdr:grpSpPr>
        <a:xfrm>
          <a:off x="2700669" y="5925168"/>
          <a:ext cx="692056" cy="651493"/>
          <a:chOff x="2569237" y="5846309"/>
          <a:chExt cx="692056" cy="652729"/>
        </a:xfrm>
      </xdr:grpSpPr>
      <xdr:grpSp>
        <xdr:nvGrpSpPr>
          <xdr:cNvPr id="648" name="Группа 647"/>
          <xdr:cNvGrpSpPr/>
        </xdr:nvGrpSpPr>
        <xdr:grpSpPr>
          <a:xfrm flipH="1">
            <a:off x="2798989" y="5846309"/>
            <a:ext cx="231633" cy="652729"/>
            <a:chOff x="2974731" y="8507714"/>
            <a:chExt cx="359019" cy="1014540"/>
          </a:xfrm>
        </xdr:grpSpPr>
        <xdr:sp macro="" textlink="">
          <xdr:nvSpPr>
            <xdr:cNvPr id="665" name="Прямоугольник 664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66" name="Овал 665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67" name="Овал 666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68" name="Овал 667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661" name="Группа 660"/>
          <xdr:cNvGrpSpPr/>
        </xdr:nvGrpSpPr>
        <xdr:grpSpPr>
          <a:xfrm flipH="1">
            <a:off x="3029660" y="6266972"/>
            <a:ext cx="231633" cy="232066"/>
            <a:chOff x="4484078" y="9232460"/>
            <a:chExt cx="359019" cy="360000"/>
          </a:xfrm>
        </xdr:grpSpPr>
        <xdr:sp macro="" textlink="">
          <xdr:nvSpPr>
            <xdr:cNvPr id="662" name="Прямоугольник 661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63" name="Стрелка вправо 662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64" name="Овал 663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511" name="Группа 510"/>
          <xdr:cNvGrpSpPr/>
        </xdr:nvGrpSpPr>
        <xdr:grpSpPr>
          <a:xfrm>
            <a:off x="2569237" y="6266972"/>
            <a:ext cx="233556" cy="232066"/>
            <a:chOff x="4484078" y="9232460"/>
            <a:chExt cx="359019" cy="360000"/>
          </a:xfrm>
        </xdr:grpSpPr>
        <xdr:sp macro="" textlink="">
          <xdr:nvSpPr>
            <xdr:cNvPr id="512" name="Прямоугольник 511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3" name="Стрелка вправо 512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4" name="Овал 513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726</xdr:colOff>
      <xdr:row>14</xdr:row>
      <xdr:rowOff>7327</xdr:rowOff>
    </xdr:from>
    <xdr:to>
      <xdr:col>3</xdr:col>
      <xdr:colOff>726</xdr:colOff>
      <xdr:row>14</xdr:row>
      <xdr:rowOff>361013</xdr:rowOff>
    </xdr:to>
    <xdr:cxnSp macro="">
      <xdr:nvCxnSpPr>
        <xdr:cNvPr id="515" name="Прямая соединительная линия 514"/>
        <xdr:cNvCxnSpPr/>
      </xdr:nvCxnSpPr>
      <xdr:spPr>
        <a:xfrm flipV="1">
          <a:off x="2015630" y="3436327"/>
          <a:ext cx="0" cy="353686"/>
        </a:xfrm>
        <a:prstGeom prst="line">
          <a:avLst/>
        </a:prstGeom>
        <a:ln w="5080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86770</xdr:colOff>
      <xdr:row>14</xdr:row>
      <xdr:rowOff>6611</xdr:rowOff>
    </xdr:from>
    <xdr:to>
      <xdr:col>3</xdr:col>
      <xdr:colOff>7327</xdr:colOff>
      <xdr:row>14</xdr:row>
      <xdr:rowOff>6611</xdr:rowOff>
    </xdr:to>
    <xdr:cxnSp macro="">
      <xdr:nvCxnSpPr>
        <xdr:cNvPr id="519" name="Прямая соединительная линия 518"/>
        <xdr:cNvCxnSpPr/>
      </xdr:nvCxnSpPr>
      <xdr:spPr>
        <a:xfrm flipH="1">
          <a:off x="1522847" y="3435611"/>
          <a:ext cx="499384" cy="0"/>
        </a:xfrm>
        <a:prstGeom prst="line">
          <a:avLst/>
        </a:prstGeom>
        <a:ln w="508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223698</xdr:colOff>
      <xdr:row>49</xdr:row>
      <xdr:rowOff>131442</xdr:rowOff>
    </xdr:from>
    <xdr:to>
      <xdr:col>4</xdr:col>
      <xdr:colOff>488602</xdr:colOff>
      <xdr:row>51</xdr:row>
      <xdr:rowOff>543694</xdr:rowOff>
    </xdr:to>
    <xdr:grpSp>
      <xdr:nvGrpSpPr>
        <xdr:cNvPr id="79" name="Группа 78"/>
        <xdr:cNvGrpSpPr/>
      </xdr:nvGrpSpPr>
      <xdr:grpSpPr>
        <a:xfrm>
          <a:off x="933743" y="26472397"/>
          <a:ext cx="2152586" cy="1797706"/>
          <a:chOff x="938073" y="30678117"/>
          <a:chExt cx="2141329" cy="1802902"/>
        </a:xfrm>
      </xdr:grpSpPr>
      <xdr:grpSp>
        <xdr:nvGrpSpPr>
          <xdr:cNvPr id="29" name="Группа 28"/>
          <xdr:cNvGrpSpPr/>
        </xdr:nvGrpSpPr>
        <xdr:grpSpPr>
          <a:xfrm>
            <a:off x="938073" y="31152051"/>
            <a:ext cx="2141329" cy="1328968"/>
            <a:chOff x="8415198" y="42188805"/>
            <a:chExt cx="2156296" cy="1326246"/>
          </a:xfrm>
        </xdr:grpSpPr>
        <xdr:sp macro="" textlink="">
          <xdr:nvSpPr>
            <xdr:cNvPr id="6" name="Дуга 5"/>
            <xdr:cNvSpPr/>
          </xdr:nvSpPr>
          <xdr:spPr>
            <a:xfrm flipH="1">
              <a:off x="9489787" y="42251933"/>
              <a:ext cx="1081707" cy="1263118"/>
            </a:xfrm>
            <a:prstGeom prst="arc">
              <a:avLst>
                <a:gd name="adj1" fmla="val 16175007"/>
                <a:gd name="adj2" fmla="val 0"/>
              </a:avLst>
            </a:prstGeom>
            <a:ln w="50800">
              <a:solidFill>
                <a:schemeClr val="tx1"/>
              </a:solidFill>
              <a:headEnd type="triangle" w="med" len="lg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18" name="Дуга 217"/>
            <xdr:cNvSpPr/>
          </xdr:nvSpPr>
          <xdr:spPr>
            <a:xfrm>
              <a:off x="8415198" y="42233539"/>
              <a:ext cx="1072792" cy="1263118"/>
            </a:xfrm>
            <a:prstGeom prst="arc">
              <a:avLst>
                <a:gd name="adj1" fmla="val 16602765"/>
                <a:gd name="adj2" fmla="val 0"/>
              </a:avLst>
            </a:prstGeom>
            <a:ln w="19050">
              <a:solidFill>
                <a:schemeClr val="tx1"/>
              </a:solidFill>
              <a:headEnd type="none" w="med" len="lg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" name="Овал 7"/>
            <xdr:cNvSpPr/>
          </xdr:nvSpPr>
          <xdr:spPr>
            <a:xfrm>
              <a:off x="9332134" y="42190318"/>
              <a:ext cx="332631" cy="324310"/>
            </a:xfrm>
            <a:prstGeom prst="ellipse">
              <a:avLst/>
            </a:prstGeom>
            <a:noFill/>
            <a:ln w="19050">
              <a:solidFill>
                <a:schemeClr val="tx1"/>
              </a:solidFill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57" name="Овал 256"/>
            <xdr:cNvSpPr/>
          </xdr:nvSpPr>
          <xdr:spPr>
            <a:xfrm>
              <a:off x="9446245" y="42797828"/>
              <a:ext cx="112082" cy="108000"/>
            </a:xfrm>
            <a:prstGeom prst="ellipse">
              <a:avLst/>
            </a:prstGeom>
            <a:solidFill>
              <a:schemeClr val="tx1"/>
            </a:solidFill>
            <a:ln w="19050">
              <a:solidFill>
                <a:schemeClr val="tx1"/>
              </a:solidFill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grpSp>
          <xdr:nvGrpSpPr>
            <xdr:cNvPr id="302" name="Группа 301"/>
            <xdr:cNvGrpSpPr/>
          </xdr:nvGrpSpPr>
          <xdr:grpSpPr>
            <a:xfrm flipH="1">
              <a:off x="9491298" y="42712046"/>
              <a:ext cx="129967" cy="127297"/>
              <a:chOff x="1132242" y="1306343"/>
              <a:chExt cx="123151" cy="128030"/>
            </a:xfrm>
          </xdr:grpSpPr>
          <xdr:cxnSp macro="">
            <xdr:nvCxnSpPr>
              <xdr:cNvPr id="303" name="Прямая соединительная линия 302"/>
              <xdr:cNvCxnSpPr/>
            </xdr:nvCxnSpPr>
            <xdr:spPr>
              <a:xfrm flipH="1" flipV="1">
                <a:off x="1185595" y="1363552"/>
                <a:ext cx="69798" cy="70821"/>
              </a:xfrm>
              <a:prstGeom prst="line">
                <a:avLst/>
              </a:prstGeom>
              <a:ln>
                <a:solidFill>
                  <a:schemeClr val="bg1">
                    <a:lumMod val="75000"/>
                  </a:schemeClr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04" name="Прямоугольник 303"/>
              <xdr:cNvSpPr/>
            </xdr:nvSpPr>
            <xdr:spPr>
              <a:xfrm flipH="1">
                <a:off x="1132242" y="1306343"/>
                <a:ext cx="58104" cy="59432"/>
              </a:xfrm>
              <a:prstGeom prst="rect">
                <a:avLst/>
              </a:prstGeom>
              <a:solidFill>
                <a:schemeClr val="bg1">
                  <a:lumMod val="75000"/>
                </a:schemeClr>
              </a:solidFill>
              <a:ln w="19050">
                <a:noFill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</xdr:grpSp>
        <xdr:cxnSp macro="">
          <xdr:nvCxnSpPr>
            <xdr:cNvPr id="17" name="Прямая соединительная линия 16"/>
            <xdr:cNvCxnSpPr/>
          </xdr:nvCxnSpPr>
          <xdr:spPr>
            <a:xfrm>
              <a:off x="9017394" y="42188805"/>
              <a:ext cx="1048934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523" name="Прямая соединительная линия 522"/>
          <xdr:cNvCxnSpPr/>
        </xdr:nvCxnSpPr>
        <xdr:spPr>
          <a:xfrm flipH="1" flipV="1">
            <a:off x="1676400" y="30678117"/>
            <a:ext cx="170120" cy="487683"/>
          </a:xfrm>
          <a:prstGeom prst="line">
            <a:avLst/>
          </a:prstGeom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4" name="Прямая соединительная линия 523"/>
          <xdr:cNvCxnSpPr/>
        </xdr:nvCxnSpPr>
        <xdr:spPr>
          <a:xfrm flipV="1">
            <a:off x="2256095" y="30680025"/>
            <a:ext cx="0" cy="485775"/>
          </a:xfrm>
          <a:prstGeom prst="line">
            <a:avLst/>
          </a:prstGeom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57150</xdr:colOff>
      <xdr:row>65</xdr:row>
      <xdr:rowOff>361950</xdr:rowOff>
    </xdr:from>
    <xdr:to>
      <xdr:col>4</xdr:col>
      <xdr:colOff>742950</xdr:colOff>
      <xdr:row>66</xdr:row>
      <xdr:rowOff>314325</xdr:rowOff>
    </xdr:to>
    <xdr:sp macro="" textlink="">
      <xdr:nvSpPr>
        <xdr:cNvPr id="61" name="TextBox 60"/>
        <xdr:cNvSpPr txBox="1"/>
      </xdr:nvSpPr>
      <xdr:spPr>
        <a:xfrm>
          <a:off x="2647950" y="42033825"/>
          <a:ext cx="685800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4000" b="1">
              <a:solidFill>
                <a:srgbClr val="FF0000"/>
              </a:solidFill>
            </a:rPr>
            <a:t>!!!</a:t>
          </a:r>
        </a:p>
      </xdr:txBody>
    </xdr:sp>
    <xdr:clientData/>
  </xdr:twoCellAnchor>
  <xdr:twoCellAnchor editAs="oneCell">
    <xdr:from>
      <xdr:col>4</xdr:col>
      <xdr:colOff>66675</xdr:colOff>
      <xdr:row>73</xdr:row>
      <xdr:rowOff>381000</xdr:rowOff>
    </xdr:from>
    <xdr:to>
      <xdr:col>4</xdr:col>
      <xdr:colOff>678675</xdr:colOff>
      <xdr:row>74</xdr:row>
      <xdr:rowOff>297676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47615475"/>
          <a:ext cx="612000" cy="612000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75</xdr:row>
      <xdr:rowOff>361950</xdr:rowOff>
    </xdr:from>
    <xdr:to>
      <xdr:col>4</xdr:col>
      <xdr:colOff>742950</xdr:colOff>
      <xdr:row>76</xdr:row>
      <xdr:rowOff>314325</xdr:rowOff>
    </xdr:to>
    <xdr:sp macro="" textlink="">
      <xdr:nvSpPr>
        <xdr:cNvPr id="532" name="TextBox 531"/>
        <xdr:cNvSpPr txBox="1"/>
      </xdr:nvSpPr>
      <xdr:spPr>
        <a:xfrm>
          <a:off x="2647950" y="42033825"/>
          <a:ext cx="685800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4000" b="1">
              <a:solidFill>
                <a:srgbClr val="FF0000"/>
              </a:solidFill>
            </a:rPr>
            <a:t>!!!</a:t>
          </a:r>
        </a:p>
      </xdr:txBody>
    </xdr:sp>
    <xdr:clientData/>
  </xdr:twoCellAnchor>
  <xdr:twoCellAnchor>
    <xdr:from>
      <xdr:col>2</xdr:col>
      <xdr:colOff>517467</xdr:colOff>
      <xdr:row>88</xdr:row>
      <xdr:rowOff>520722</xdr:rowOff>
    </xdr:from>
    <xdr:to>
      <xdr:col>3</xdr:col>
      <xdr:colOff>51480</xdr:colOff>
      <xdr:row>88</xdr:row>
      <xdr:rowOff>628722</xdr:rowOff>
    </xdr:to>
    <xdr:sp macro="" textlink="">
      <xdr:nvSpPr>
        <xdr:cNvPr id="534" name="Овал 533"/>
        <xdr:cNvSpPr/>
      </xdr:nvSpPr>
      <xdr:spPr>
        <a:xfrm>
          <a:off x="1946217" y="54013122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102577</xdr:colOff>
      <xdr:row>87</xdr:row>
      <xdr:rowOff>684186</xdr:rowOff>
    </xdr:from>
    <xdr:to>
      <xdr:col>3</xdr:col>
      <xdr:colOff>2258</xdr:colOff>
      <xdr:row>88</xdr:row>
      <xdr:rowOff>124558</xdr:rowOff>
    </xdr:to>
    <xdr:cxnSp macro="">
      <xdr:nvCxnSpPr>
        <xdr:cNvPr id="537" name="Прямая соединительная линия 536"/>
        <xdr:cNvCxnSpPr/>
      </xdr:nvCxnSpPr>
      <xdr:spPr>
        <a:xfrm flipV="1">
          <a:off x="1531327" y="53481261"/>
          <a:ext cx="480706" cy="135697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568517</xdr:colOff>
      <xdr:row>87</xdr:row>
      <xdr:rowOff>58616</xdr:rowOff>
    </xdr:from>
    <xdr:to>
      <xdr:col>2</xdr:col>
      <xdr:colOff>568517</xdr:colOff>
      <xdr:row>88</xdr:row>
      <xdr:rowOff>586154</xdr:rowOff>
    </xdr:to>
    <xdr:cxnSp macro="">
      <xdr:nvCxnSpPr>
        <xdr:cNvPr id="541" name="Прямая соединительная линия 540"/>
        <xdr:cNvCxnSpPr/>
      </xdr:nvCxnSpPr>
      <xdr:spPr>
        <a:xfrm flipV="1">
          <a:off x="1997267" y="52855691"/>
          <a:ext cx="0" cy="12228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87</xdr:row>
      <xdr:rowOff>549088</xdr:rowOff>
    </xdr:from>
    <xdr:to>
      <xdr:col>3</xdr:col>
      <xdr:colOff>116360</xdr:colOff>
      <xdr:row>87</xdr:row>
      <xdr:rowOff>676385</xdr:rowOff>
    </xdr:to>
    <xdr:grpSp>
      <xdr:nvGrpSpPr>
        <xdr:cNvPr id="549" name="Группа 548"/>
        <xdr:cNvGrpSpPr/>
      </xdr:nvGrpSpPr>
      <xdr:grpSpPr>
        <a:xfrm flipH="1">
          <a:off x="1991591" y="50442770"/>
          <a:ext cx="133678" cy="127297"/>
          <a:chOff x="1132242" y="1306343"/>
          <a:chExt cx="123151" cy="128030"/>
        </a:xfrm>
      </xdr:grpSpPr>
      <xdr:cxnSp macro="">
        <xdr:nvCxnSpPr>
          <xdr:cNvPr id="550" name="Прямая соединительная линия 54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2" name="Прямоугольник 56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561975</xdr:colOff>
      <xdr:row>87</xdr:row>
      <xdr:rowOff>692283</xdr:rowOff>
    </xdr:from>
    <xdr:to>
      <xdr:col>3</xdr:col>
      <xdr:colOff>488716</xdr:colOff>
      <xdr:row>87</xdr:row>
      <xdr:rowOff>692283</xdr:rowOff>
    </xdr:to>
    <xdr:cxnSp macro="">
      <xdr:nvCxnSpPr>
        <xdr:cNvPr id="566" name="Прямая соединительная линия 565"/>
        <xdr:cNvCxnSpPr/>
      </xdr:nvCxnSpPr>
      <xdr:spPr>
        <a:xfrm>
          <a:off x="1990725" y="57661308"/>
          <a:ext cx="507766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92189</xdr:colOff>
      <xdr:row>88</xdr:row>
      <xdr:rowOff>71317</xdr:rowOff>
    </xdr:from>
    <xdr:to>
      <xdr:col>3</xdr:col>
      <xdr:colOff>236189</xdr:colOff>
      <xdr:row>88</xdr:row>
      <xdr:rowOff>215731</xdr:rowOff>
    </xdr:to>
    <xdr:sp macro="" textlink="">
      <xdr:nvSpPr>
        <xdr:cNvPr id="567" name="Овал 566"/>
        <xdr:cNvSpPr/>
      </xdr:nvSpPr>
      <xdr:spPr>
        <a:xfrm>
          <a:off x="2101964" y="57735667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133350</xdr:colOff>
      <xdr:row>87</xdr:row>
      <xdr:rowOff>371475</xdr:rowOff>
    </xdr:from>
    <xdr:to>
      <xdr:col>4</xdr:col>
      <xdr:colOff>595654</xdr:colOff>
      <xdr:row>88</xdr:row>
      <xdr:rowOff>330240</xdr:rowOff>
    </xdr:to>
    <xdr:grpSp>
      <xdr:nvGrpSpPr>
        <xdr:cNvPr id="568" name="Группа 567"/>
        <xdr:cNvGrpSpPr/>
      </xdr:nvGrpSpPr>
      <xdr:grpSpPr>
        <a:xfrm flipH="1">
          <a:off x="2731077" y="50265157"/>
          <a:ext cx="462304" cy="651492"/>
          <a:chOff x="2614271" y="8502585"/>
          <a:chExt cx="716548" cy="1013807"/>
        </a:xfrm>
      </xdr:grpSpPr>
      <xdr:grpSp>
        <xdr:nvGrpSpPr>
          <xdr:cNvPr id="574" name="Группа 573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589" name="Прямоугольник 588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90" name="Овал 589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92" name="Овал 591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93" name="Овал 592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581" name="Группа 580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585" name="Прямоугольник 584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86" name="Стрелка вправо 585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88" name="Овал 587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2</xdr:col>
      <xdr:colOff>279026</xdr:colOff>
      <xdr:row>91</xdr:row>
      <xdr:rowOff>171450</xdr:rowOff>
    </xdr:from>
    <xdr:to>
      <xdr:col>3</xdr:col>
      <xdr:colOff>16832</xdr:colOff>
      <xdr:row>92</xdr:row>
      <xdr:rowOff>540822</xdr:rowOff>
    </xdr:to>
    <xdr:cxnSp macro="">
      <xdr:nvCxnSpPr>
        <xdr:cNvPr id="599" name="Прямая соединительная линия 598"/>
        <xdr:cNvCxnSpPr/>
      </xdr:nvCxnSpPr>
      <xdr:spPr>
        <a:xfrm>
          <a:off x="1707776" y="59921775"/>
          <a:ext cx="318831" cy="1064697"/>
        </a:xfrm>
        <a:prstGeom prst="line">
          <a:avLst/>
        </a:prstGeom>
        <a:ln w="19050">
          <a:solidFill>
            <a:schemeClr val="tx1"/>
          </a:solidFill>
          <a:head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91</xdr:row>
      <xdr:rowOff>104775</xdr:rowOff>
    </xdr:from>
    <xdr:to>
      <xdr:col>3</xdr:col>
      <xdr:colOff>340682</xdr:colOff>
      <xdr:row>92</xdr:row>
      <xdr:rowOff>578922</xdr:rowOff>
    </xdr:to>
    <xdr:cxnSp macro="">
      <xdr:nvCxnSpPr>
        <xdr:cNvPr id="600" name="Прямая соединительная линия 599"/>
        <xdr:cNvCxnSpPr/>
      </xdr:nvCxnSpPr>
      <xdr:spPr>
        <a:xfrm flipH="1">
          <a:off x="2000250" y="78695550"/>
          <a:ext cx="350207" cy="1169472"/>
        </a:xfrm>
        <a:prstGeom prst="line">
          <a:avLst/>
        </a:prstGeom>
        <a:ln w="50800">
          <a:solidFill>
            <a:schemeClr val="tx1"/>
          </a:solidFill>
          <a:headEnd type="triangl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533086</xdr:colOff>
      <xdr:row>91</xdr:row>
      <xdr:rowOff>550791</xdr:rowOff>
    </xdr:from>
    <xdr:to>
      <xdr:col>3</xdr:col>
      <xdr:colOff>96061</xdr:colOff>
      <xdr:row>91</xdr:row>
      <xdr:rowOff>695205</xdr:rowOff>
    </xdr:to>
    <xdr:sp macro="" textlink="">
      <xdr:nvSpPr>
        <xdr:cNvPr id="601" name="Овал 600"/>
        <xdr:cNvSpPr/>
      </xdr:nvSpPr>
      <xdr:spPr>
        <a:xfrm>
          <a:off x="1961836" y="79141566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235323</xdr:colOff>
      <xdr:row>91</xdr:row>
      <xdr:rowOff>212913</xdr:rowOff>
    </xdr:from>
    <xdr:to>
      <xdr:col>4</xdr:col>
      <xdr:colOff>949698</xdr:colOff>
      <xdr:row>92</xdr:row>
      <xdr:rowOff>504420</xdr:rowOff>
    </xdr:to>
    <xdr:pic>
      <xdr:nvPicPr>
        <xdr:cNvPr id="606" name="Рисунок 60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123" y="78803688"/>
          <a:ext cx="714375" cy="98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527957</xdr:colOff>
      <xdr:row>92</xdr:row>
      <xdr:rowOff>480098</xdr:rowOff>
    </xdr:from>
    <xdr:to>
      <xdr:col>3</xdr:col>
      <xdr:colOff>54932</xdr:colOff>
      <xdr:row>92</xdr:row>
      <xdr:rowOff>588098</xdr:rowOff>
    </xdr:to>
    <xdr:sp macro="" textlink="">
      <xdr:nvSpPr>
        <xdr:cNvPr id="607" name="Овал 606"/>
        <xdr:cNvSpPr/>
      </xdr:nvSpPr>
      <xdr:spPr>
        <a:xfrm>
          <a:off x="1956707" y="7976619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549088</xdr:colOff>
      <xdr:row>89</xdr:row>
      <xdr:rowOff>57150</xdr:rowOff>
    </xdr:from>
    <xdr:to>
      <xdr:col>2</xdr:col>
      <xdr:colOff>577126</xdr:colOff>
      <xdr:row>90</xdr:row>
      <xdr:rowOff>540822</xdr:rowOff>
    </xdr:to>
    <xdr:cxnSp macro="">
      <xdr:nvCxnSpPr>
        <xdr:cNvPr id="608" name="Прямая соединительная линия 607"/>
        <xdr:cNvCxnSpPr/>
      </xdr:nvCxnSpPr>
      <xdr:spPr>
        <a:xfrm>
          <a:off x="1983441" y="58406179"/>
          <a:ext cx="28038" cy="1178437"/>
        </a:xfrm>
        <a:prstGeom prst="line">
          <a:avLst/>
        </a:prstGeom>
        <a:ln w="50800">
          <a:solidFill>
            <a:schemeClr val="tx1"/>
          </a:solidFill>
          <a:head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89</xdr:row>
      <xdr:rowOff>104775</xdr:rowOff>
    </xdr:from>
    <xdr:to>
      <xdr:col>3</xdr:col>
      <xdr:colOff>340682</xdr:colOff>
      <xdr:row>90</xdr:row>
      <xdr:rowOff>578922</xdr:rowOff>
    </xdr:to>
    <xdr:cxnSp macro="">
      <xdr:nvCxnSpPr>
        <xdr:cNvPr id="609" name="Прямая соединительная линия 608"/>
        <xdr:cNvCxnSpPr/>
      </xdr:nvCxnSpPr>
      <xdr:spPr>
        <a:xfrm flipH="1">
          <a:off x="2000250" y="59855100"/>
          <a:ext cx="350207" cy="1169472"/>
        </a:xfrm>
        <a:prstGeom prst="line">
          <a:avLst/>
        </a:prstGeom>
        <a:ln w="19050">
          <a:solidFill>
            <a:schemeClr val="tx1"/>
          </a:solidFill>
          <a:head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90</xdr:row>
      <xdr:rowOff>480098</xdr:rowOff>
    </xdr:from>
    <xdr:to>
      <xdr:col>3</xdr:col>
      <xdr:colOff>54932</xdr:colOff>
      <xdr:row>90</xdr:row>
      <xdr:rowOff>588098</xdr:rowOff>
    </xdr:to>
    <xdr:sp macro="" textlink="">
      <xdr:nvSpPr>
        <xdr:cNvPr id="619" name="Овал 618"/>
        <xdr:cNvSpPr/>
      </xdr:nvSpPr>
      <xdr:spPr>
        <a:xfrm>
          <a:off x="1956707" y="6092574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197214</xdr:colOff>
      <xdr:row>94</xdr:row>
      <xdr:rowOff>2567</xdr:rowOff>
    </xdr:from>
    <xdr:to>
      <xdr:col>3</xdr:col>
      <xdr:colOff>167524</xdr:colOff>
      <xdr:row>95</xdr:row>
      <xdr:rowOff>381441</xdr:rowOff>
    </xdr:to>
    <xdr:sp macro="" textlink="">
      <xdr:nvSpPr>
        <xdr:cNvPr id="643" name="Дуга 642"/>
        <xdr:cNvSpPr/>
      </xdr:nvSpPr>
      <xdr:spPr>
        <a:xfrm rot="5400000" flipH="1">
          <a:off x="1007836" y="60414703"/>
          <a:ext cx="1075185" cy="1264396"/>
        </a:xfrm>
        <a:prstGeom prst="arc">
          <a:avLst>
            <a:gd name="adj1" fmla="val 16175007"/>
            <a:gd name="adj2" fmla="val 19059288"/>
          </a:avLst>
        </a:prstGeom>
        <a:ln w="50800">
          <a:solidFill>
            <a:schemeClr val="tx1"/>
          </a:solidFill>
          <a:headEnd type="triangl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197171</xdr:colOff>
      <xdr:row>92</xdr:row>
      <xdr:rowOff>326087</xdr:rowOff>
    </xdr:from>
    <xdr:to>
      <xdr:col>3</xdr:col>
      <xdr:colOff>167481</xdr:colOff>
      <xdr:row>94</xdr:row>
      <xdr:rowOff>783</xdr:rowOff>
    </xdr:to>
    <xdr:sp macro="" textlink="">
      <xdr:nvSpPr>
        <xdr:cNvPr id="645" name="Дуга 644"/>
        <xdr:cNvSpPr/>
      </xdr:nvSpPr>
      <xdr:spPr>
        <a:xfrm rot="5400000">
          <a:off x="1011728" y="60671555"/>
          <a:ext cx="1065346" cy="1265710"/>
        </a:xfrm>
        <a:prstGeom prst="arc">
          <a:avLst>
            <a:gd name="adj1" fmla="val 16602765"/>
            <a:gd name="adj2" fmla="val 0"/>
          </a:avLst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466839</xdr:colOff>
      <xdr:row>93</xdr:row>
      <xdr:rowOff>541334</xdr:rowOff>
    </xdr:from>
    <xdr:to>
      <xdr:col>3</xdr:col>
      <xdr:colOff>210790</xdr:colOff>
      <xdr:row>94</xdr:row>
      <xdr:rowOff>176331</xdr:rowOff>
    </xdr:to>
    <xdr:sp macro="" textlink="">
      <xdr:nvSpPr>
        <xdr:cNvPr id="649" name="Овал 648"/>
        <xdr:cNvSpPr/>
      </xdr:nvSpPr>
      <xdr:spPr>
        <a:xfrm rot="5400000">
          <a:off x="1892916" y="61684982"/>
          <a:ext cx="330322" cy="324976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151037</xdr:colOff>
      <xdr:row>94</xdr:row>
      <xdr:rowOff>521303</xdr:rowOff>
    </xdr:from>
    <xdr:to>
      <xdr:col>3</xdr:col>
      <xdr:colOff>259259</xdr:colOff>
      <xdr:row>94</xdr:row>
      <xdr:rowOff>632607</xdr:rowOff>
    </xdr:to>
    <xdr:sp macro="" textlink="">
      <xdr:nvSpPr>
        <xdr:cNvPr id="650" name="Овал 649"/>
        <xdr:cNvSpPr/>
      </xdr:nvSpPr>
      <xdr:spPr>
        <a:xfrm rot="5400000">
          <a:off x="2159271" y="62359144"/>
          <a:ext cx="111304" cy="108222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206190</xdr:colOff>
      <xdr:row>94</xdr:row>
      <xdr:rowOff>445353</xdr:rowOff>
    </xdr:from>
    <xdr:to>
      <xdr:col>3</xdr:col>
      <xdr:colOff>335255</xdr:colOff>
      <xdr:row>94</xdr:row>
      <xdr:rowOff>572911</xdr:rowOff>
    </xdr:to>
    <xdr:grpSp>
      <xdr:nvGrpSpPr>
        <xdr:cNvPr id="651" name="Группа 650"/>
        <xdr:cNvGrpSpPr/>
      </xdr:nvGrpSpPr>
      <xdr:grpSpPr>
        <a:xfrm flipH="1">
          <a:off x="2215099" y="55188126"/>
          <a:ext cx="129065" cy="127558"/>
          <a:chOff x="1132242" y="1306343"/>
          <a:chExt cx="123151" cy="128030"/>
        </a:xfrm>
      </xdr:grpSpPr>
      <xdr:cxnSp macro="">
        <xdr:nvCxnSpPr>
          <xdr:cNvPr id="659" name="Прямая соединительная линия 65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60" name="Прямоугольник 65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212307</xdr:colOff>
      <xdr:row>93</xdr:row>
      <xdr:rowOff>228778</xdr:rowOff>
    </xdr:from>
    <xdr:to>
      <xdr:col>3</xdr:col>
      <xdr:colOff>212307</xdr:colOff>
      <xdr:row>94</xdr:row>
      <xdr:rowOff>575106</xdr:rowOff>
    </xdr:to>
    <xdr:cxnSp macro="">
      <xdr:nvCxnSpPr>
        <xdr:cNvPr id="658" name="Прямая соединительная линия 657"/>
        <xdr:cNvCxnSpPr/>
      </xdr:nvCxnSpPr>
      <xdr:spPr>
        <a:xfrm rot="5400000">
          <a:off x="1701255" y="61890580"/>
          <a:ext cx="104165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210463</xdr:colOff>
      <xdr:row>93</xdr:row>
      <xdr:rowOff>447675</xdr:rowOff>
    </xdr:from>
    <xdr:to>
      <xdr:col>3</xdr:col>
      <xdr:colOff>472867</xdr:colOff>
      <xdr:row>93</xdr:row>
      <xdr:rowOff>539210</xdr:rowOff>
    </xdr:to>
    <xdr:cxnSp macro="">
      <xdr:nvCxnSpPr>
        <xdr:cNvPr id="641" name="Прямая соединительная линия 640"/>
        <xdr:cNvCxnSpPr/>
      </xdr:nvCxnSpPr>
      <xdr:spPr>
        <a:xfrm flipV="1">
          <a:off x="2222619" y="61705331"/>
          <a:ext cx="262404" cy="9153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216416</xdr:colOff>
      <xdr:row>94</xdr:row>
      <xdr:rowOff>253460</xdr:rowOff>
    </xdr:from>
    <xdr:to>
      <xdr:col>3</xdr:col>
      <xdr:colOff>532212</xdr:colOff>
      <xdr:row>94</xdr:row>
      <xdr:rowOff>253460</xdr:rowOff>
    </xdr:to>
    <xdr:cxnSp macro="">
      <xdr:nvCxnSpPr>
        <xdr:cNvPr id="642" name="Прямая соединительная линия 641"/>
        <xdr:cNvCxnSpPr/>
      </xdr:nvCxnSpPr>
      <xdr:spPr>
        <a:xfrm>
          <a:off x="2228572" y="62207632"/>
          <a:ext cx="315796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466839</xdr:colOff>
      <xdr:row>93</xdr:row>
      <xdr:rowOff>543715</xdr:rowOff>
    </xdr:from>
    <xdr:to>
      <xdr:col>3</xdr:col>
      <xdr:colOff>210790</xdr:colOff>
      <xdr:row>94</xdr:row>
      <xdr:rowOff>178712</xdr:rowOff>
    </xdr:to>
    <xdr:sp macro="" textlink="">
      <xdr:nvSpPr>
        <xdr:cNvPr id="678" name="Дуга 677"/>
        <xdr:cNvSpPr/>
      </xdr:nvSpPr>
      <xdr:spPr>
        <a:xfrm rot="5400000">
          <a:off x="1893511" y="61803449"/>
          <a:ext cx="331513" cy="327357"/>
        </a:xfrm>
        <a:prstGeom prst="arc">
          <a:avLst>
            <a:gd name="adj1" fmla="val 2953234"/>
            <a:gd name="adj2" fmla="val 16358339"/>
          </a:avLst>
        </a:prstGeom>
        <a:noFill/>
        <a:ln w="5080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209927</xdr:colOff>
      <xdr:row>94</xdr:row>
      <xdr:rowOff>11906</xdr:rowOff>
    </xdr:from>
    <xdr:to>
      <xdr:col>3</xdr:col>
      <xdr:colOff>209927</xdr:colOff>
      <xdr:row>94</xdr:row>
      <xdr:rowOff>571535</xdr:rowOff>
    </xdr:to>
    <xdr:cxnSp macro="">
      <xdr:nvCxnSpPr>
        <xdr:cNvPr id="689" name="Прямая соединительная линия 688"/>
        <xdr:cNvCxnSpPr/>
      </xdr:nvCxnSpPr>
      <xdr:spPr>
        <a:xfrm>
          <a:off x="2222083" y="61966078"/>
          <a:ext cx="0" cy="559629"/>
        </a:xfrm>
        <a:prstGeom prst="line">
          <a:avLst/>
        </a:prstGeom>
        <a:ln w="508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195450</xdr:colOff>
      <xdr:row>93</xdr:row>
      <xdr:rowOff>690750</xdr:rowOff>
    </xdr:from>
    <xdr:to>
      <xdr:col>3</xdr:col>
      <xdr:colOff>165760</xdr:colOff>
      <xdr:row>95</xdr:row>
      <xdr:rowOff>373108</xdr:rowOff>
    </xdr:to>
    <xdr:sp macro="" textlink="">
      <xdr:nvSpPr>
        <xdr:cNvPr id="690" name="Дуга 689"/>
        <xdr:cNvSpPr/>
      </xdr:nvSpPr>
      <xdr:spPr>
        <a:xfrm rot="5400000" flipH="1">
          <a:off x="1006175" y="60406473"/>
          <a:ext cx="1074979" cy="1264396"/>
        </a:xfrm>
        <a:prstGeom prst="arc">
          <a:avLst>
            <a:gd name="adj1" fmla="val 16175007"/>
            <a:gd name="adj2" fmla="val 0"/>
          </a:avLst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540983</xdr:colOff>
      <xdr:row>96</xdr:row>
      <xdr:rowOff>500165</xdr:rowOff>
    </xdr:from>
    <xdr:to>
      <xdr:col>3</xdr:col>
      <xdr:colOff>66277</xdr:colOff>
      <xdr:row>96</xdr:row>
      <xdr:rowOff>608165</xdr:rowOff>
    </xdr:to>
    <xdr:sp macro="" textlink="">
      <xdr:nvSpPr>
        <xdr:cNvPr id="691" name="Овал 690"/>
        <xdr:cNvSpPr/>
      </xdr:nvSpPr>
      <xdr:spPr>
        <a:xfrm>
          <a:off x="1975336" y="6371254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1310</xdr:colOff>
      <xdr:row>95</xdr:row>
      <xdr:rowOff>44824</xdr:rowOff>
    </xdr:from>
    <xdr:to>
      <xdr:col>3</xdr:col>
      <xdr:colOff>1310</xdr:colOff>
      <xdr:row>96</xdr:row>
      <xdr:rowOff>537883</xdr:rowOff>
    </xdr:to>
    <xdr:cxnSp macro="">
      <xdr:nvCxnSpPr>
        <xdr:cNvPr id="706" name="Прямая соединительная линия 705"/>
        <xdr:cNvCxnSpPr/>
      </xdr:nvCxnSpPr>
      <xdr:spPr>
        <a:xfrm flipV="1">
          <a:off x="2018369" y="62562442"/>
          <a:ext cx="0" cy="118782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56029</xdr:colOff>
      <xdr:row>96</xdr:row>
      <xdr:rowOff>639</xdr:rowOff>
    </xdr:from>
    <xdr:to>
      <xdr:col>3</xdr:col>
      <xdr:colOff>521073</xdr:colOff>
      <xdr:row>96</xdr:row>
      <xdr:rowOff>639</xdr:rowOff>
    </xdr:to>
    <xdr:cxnSp macro="">
      <xdr:nvCxnSpPr>
        <xdr:cNvPr id="707" name="Прямая соединительная линия 706"/>
        <xdr:cNvCxnSpPr/>
      </xdr:nvCxnSpPr>
      <xdr:spPr>
        <a:xfrm>
          <a:off x="1490382" y="63213021"/>
          <a:ext cx="10477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139969</xdr:colOff>
      <xdr:row>96</xdr:row>
      <xdr:rowOff>80763</xdr:rowOff>
    </xdr:from>
    <xdr:to>
      <xdr:col>3</xdr:col>
      <xdr:colOff>283969</xdr:colOff>
      <xdr:row>96</xdr:row>
      <xdr:rowOff>224763</xdr:rowOff>
    </xdr:to>
    <xdr:sp macro="" textlink="">
      <xdr:nvSpPr>
        <xdr:cNvPr id="708" name="Овал 707"/>
        <xdr:cNvSpPr/>
      </xdr:nvSpPr>
      <xdr:spPr>
        <a:xfrm>
          <a:off x="2157028" y="63293145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205067</xdr:colOff>
      <xdr:row>95</xdr:row>
      <xdr:rowOff>349623</xdr:rowOff>
    </xdr:from>
    <xdr:to>
      <xdr:col>4</xdr:col>
      <xdr:colOff>667371</xdr:colOff>
      <xdr:row>96</xdr:row>
      <xdr:rowOff>308949</xdr:rowOff>
    </xdr:to>
    <xdr:grpSp>
      <xdr:nvGrpSpPr>
        <xdr:cNvPr id="713" name="Группа 712"/>
        <xdr:cNvGrpSpPr/>
      </xdr:nvGrpSpPr>
      <xdr:grpSpPr>
        <a:xfrm flipH="1">
          <a:off x="2802794" y="55785123"/>
          <a:ext cx="462304" cy="652053"/>
          <a:chOff x="2614271" y="8502585"/>
          <a:chExt cx="716548" cy="1013807"/>
        </a:xfrm>
      </xdr:grpSpPr>
      <xdr:grpSp>
        <xdr:nvGrpSpPr>
          <xdr:cNvPr id="714" name="Группа 713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719" name="Прямоугольник 718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20" name="Овал 719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25" name="Овал 724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26" name="Овал 725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715" name="Группа 714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716" name="Прямоугольник 715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17" name="Стрелка вправо 716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18" name="Овал 717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2</xdr:col>
      <xdr:colOff>576333</xdr:colOff>
      <xdr:row>95</xdr:row>
      <xdr:rowOff>573099</xdr:rowOff>
    </xdr:from>
    <xdr:to>
      <xdr:col>3</xdr:col>
      <xdr:colOff>124849</xdr:colOff>
      <xdr:row>96</xdr:row>
      <xdr:rowOff>4646</xdr:rowOff>
    </xdr:to>
    <xdr:grpSp>
      <xdr:nvGrpSpPr>
        <xdr:cNvPr id="742" name="Группа 741"/>
        <xdr:cNvGrpSpPr/>
      </xdr:nvGrpSpPr>
      <xdr:grpSpPr>
        <a:xfrm rot="10800000" flipV="1">
          <a:off x="1996424" y="56008599"/>
          <a:ext cx="137334" cy="124274"/>
          <a:chOff x="1132242" y="1306343"/>
          <a:chExt cx="123151" cy="128030"/>
        </a:xfrm>
      </xdr:grpSpPr>
      <xdr:cxnSp macro="">
        <xdr:nvCxnSpPr>
          <xdr:cNvPr id="743" name="Прямая соединительная линия 7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44" name="Прямоугольник 74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22413</xdr:colOff>
      <xdr:row>96</xdr:row>
      <xdr:rowOff>0</xdr:rowOff>
    </xdr:from>
    <xdr:to>
      <xdr:col>3</xdr:col>
      <xdr:colOff>1</xdr:colOff>
      <xdr:row>96</xdr:row>
      <xdr:rowOff>537883</xdr:rowOff>
    </xdr:to>
    <xdr:sp macro="" textlink="">
      <xdr:nvSpPr>
        <xdr:cNvPr id="89" name="Полилиния 88"/>
        <xdr:cNvSpPr/>
      </xdr:nvSpPr>
      <xdr:spPr>
        <a:xfrm>
          <a:off x="1456766" y="63212382"/>
          <a:ext cx="560294" cy="537883"/>
        </a:xfrm>
        <a:custGeom>
          <a:avLst/>
          <a:gdLst>
            <a:gd name="connsiteX0" fmla="*/ 515471 w 515471"/>
            <a:gd name="connsiteY0" fmla="*/ 537883 h 537883"/>
            <a:gd name="connsiteX1" fmla="*/ 515471 w 515471"/>
            <a:gd name="connsiteY1" fmla="*/ 0 h 537883"/>
            <a:gd name="connsiteX2" fmla="*/ 0 w 515471"/>
            <a:gd name="connsiteY2" fmla="*/ 0 h 537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5471" h="537883">
              <a:moveTo>
                <a:pt x="515471" y="537883"/>
              </a:moveTo>
              <a:lnTo>
                <a:pt x="515471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22411</xdr:colOff>
      <xdr:row>98</xdr:row>
      <xdr:rowOff>112698</xdr:rowOff>
    </xdr:from>
    <xdr:to>
      <xdr:col>3</xdr:col>
      <xdr:colOff>526676</xdr:colOff>
      <xdr:row>98</xdr:row>
      <xdr:rowOff>112698</xdr:rowOff>
    </xdr:to>
    <xdr:cxnSp macro="">
      <xdr:nvCxnSpPr>
        <xdr:cNvPr id="747" name="Прямая соединительная линия 746"/>
        <xdr:cNvCxnSpPr/>
      </xdr:nvCxnSpPr>
      <xdr:spPr>
        <a:xfrm>
          <a:off x="2039470" y="64714610"/>
          <a:ext cx="504265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209737</xdr:colOff>
      <xdr:row>97</xdr:row>
      <xdr:rowOff>527583</xdr:rowOff>
    </xdr:from>
    <xdr:to>
      <xdr:col>3</xdr:col>
      <xdr:colOff>331878</xdr:colOff>
      <xdr:row>98</xdr:row>
      <xdr:rowOff>374437</xdr:rowOff>
    </xdr:to>
    <xdr:grpSp>
      <xdr:nvGrpSpPr>
        <xdr:cNvPr id="748" name="Группа 747"/>
        <xdr:cNvGrpSpPr/>
      </xdr:nvGrpSpPr>
      <xdr:grpSpPr>
        <a:xfrm rot="16200000">
          <a:off x="2009926" y="57557258"/>
          <a:ext cx="539581" cy="122141"/>
          <a:chOff x="760945" y="5714381"/>
          <a:chExt cx="364368" cy="118966"/>
        </a:xfrm>
      </xdr:grpSpPr>
      <xdr:grpSp>
        <xdr:nvGrpSpPr>
          <xdr:cNvPr id="749" name="Группа 748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778" name="Овал 777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779" name="Прямая со стрелкой 778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768" name="Группа 767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772" name="Овал 771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773" name="Прямая со стрелкой 772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352881</xdr:colOff>
      <xdr:row>99</xdr:row>
      <xdr:rowOff>641057</xdr:rowOff>
    </xdr:from>
    <xdr:to>
      <xdr:col>2</xdr:col>
      <xdr:colOff>496881</xdr:colOff>
      <xdr:row>100</xdr:row>
      <xdr:rowOff>90292</xdr:rowOff>
    </xdr:to>
    <xdr:sp macro="" textlink="">
      <xdr:nvSpPr>
        <xdr:cNvPr id="780" name="Овал 779"/>
        <xdr:cNvSpPr/>
      </xdr:nvSpPr>
      <xdr:spPr>
        <a:xfrm>
          <a:off x="1787234" y="6593773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483244</xdr:colOff>
      <xdr:row>13</xdr:row>
      <xdr:rowOff>89647</xdr:rowOff>
    </xdr:from>
    <xdr:to>
      <xdr:col>2</xdr:col>
      <xdr:colOff>483244</xdr:colOff>
      <xdr:row>14</xdr:row>
      <xdr:rowOff>22412</xdr:rowOff>
    </xdr:to>
    <xdr:cxnSp macro="">
      <xdr:nvCxnSpPr>
        <xdr:cNvPr id="472" name="Прямая соединительная линия 471"/>
        <xdr:cNvCxnSpPr/>
      </xdr:nvCxnSpPr>
      <xdr:spPr>
        <a:xfrm flipV="1">
          <a:off x="1917597" y="4247029"/>
          <a:ext cx="0" cy="62753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348502</xdr:colOff>
      <xdr:row>59</xdr:row>
      <xdr:rowOff>496420</xdr:rowOff>
    </xdr:from>
    <xdr:to>
      <xdr:col>4</xdr:col>
      <xdr:colOff>930088</xdr:colOff>
      <xdr:row>60</xdr:row>
      <xdr:rowOff>168087</xdr:rowOff>
    </xdr:to>
    <xdr:sp macro="" textlink="">
      <xdr:nvSpPr>
        <xdr:cNvPr id="475" name="TextBox 474"/>
        <xdr:cNvSpPr txBox="1"/>
      </xdr:nvSpPr>
      <xdr:spPr>
        <a:xfrm>
          <a:off x="2948267" y="36612979"/>
          <a:ext cx="581586" cy="366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800" b="1">
              <a:solidFill>
                <a:srgbClr val="FF0000"/>
              </a:solidFill>
            </a:rPr>
            <a:t>!!!</a:t>
          </a:r>
        </a:p>
      </xdr:txBody>
    </xdr:sp>
    <xdr:clientData/>
  </xdr:twoCellAnchor>
  <xdr:twoCellAnchor>
    <xdr:from>
      <xdr:col>4</xdr:col>
      <xdr:colOff>145673</xdr:colOff>
      <xdr:row>59</xdr:row>
      <xdr:rowOff>358589</xdr:rowOff>
    </xdr:from>
    <xdr:to>
      <xdr:col>4</xdr:col>
      <xdr:colOff>377306</xdr:colOff>
      <xdr:row>60</xdr:row>
      <xdr:rowOff>317354</xdr:rowOff>
    </xdr:to>
    <xdr:grpSp>
      <xdr:nvGrpSpPr>
        <xdr:cNvPr id="634" name="Группа 633"/>
        <xdr:cNvGrpSpPr/>
      </xdr:nvGrpSpPr>
      <xdr:grpSpPr>
        <a:xfrm flipH="1">
          <a:off x="2743400" y="33626816"/>
          <a:ext cx="231633" cy="651493"/>
          <a:chOff x="2974731" y="8507714"/>
          <a:chExt cx="359019" cy="1014540"/>
        </a:xfrm>
      </xdr:grpSpPr>
      <xdr:sp macro="" textlink="">
        <xdr:nvSpPr>
          <xdr:cNvPr id="635" name="Прямоугольник 634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36" name="Овал 635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37" name="Овал 636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38" name="Овал 637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22411</xdr:colOff>
      <xdr:row>100</xdr:row>
      <xdr:rowOff>179933</xdr:rowOff>
    </xdr:from>
    <xdr:to>
      <xdr:col>3</xdr:col>
      <xdr:colOff>526676</xdr:colOff>
      <xdr:row>100</xdr:row>
      <xdr:rowOff>179933</xdr:rowOff>
    </xdr:to>
    <xdr:cxnSp macro="">
      <xdr:nvCxnSpPr>
        <xdr:cNvPr id="476" name="Прямая соединительная линия 475"/>
        <xdr:cNvCxnSpPr/>
      </xdr:nvCxnSpPr>
      <xdr:spPr>
        <a:xfrm>
          <a:off x="2039470" y="64781845"/>
          <a:ext cx="504265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209737</xdr:colOff>
      <xdr:row>99</xdr:row>
      <xdr:rowOff>594819</xdr:rowOff>
    </xdr:from>
    <xdr:to>
      <xdr:col>3</xdr:col>
      <xdr:colOff>331878</xdr:colOff>
      <xdr:row>100</xdr:row>
      <xdr:rowOff>441672</xdr:rowOff>
    </xdr:to>
    <xdr:grpSp>
      <xdr:nvGrpSpPr>
        <xdr:cNvPr id="477" name="Группа 476"/>
        <xdr:cNvGrpSpPr/>
      </xdr:nvGrpSpPr>
      <xdr:grpSpPr>
        <a:xfrm rot="16200000">
          <a:off x="2009927" y="59009947"/>
          <a:ext cx="539580" cy="122141"/>
          <a:chOff x="760945" y="5714381"/>
          <a:chExt cx="364368" cy="118966"/>
        </a:xfrm>
      </xdr:grpSpPr>
      <xdr:grpSp>
        <xdr:nvGrpSpPr>
          <xdr:cNvPr id="503" name="Группа 502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525" name="Овал 52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526" name="Прямая со стрелкой 52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16" name="Группа 515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517" name="Овал 516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518" name="Прямая со стрелкой 51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78441</xdr:colOff>
      <xdr:row>100</xdr:row>
      <xdr:rowOff>22411</xdr:rowOff>
    </xdr:from>
    <xdr:to>
      <xdr:col>4</xdr:col>
      <xdr:colOff>481852</xdr:colOff>
      <xdr:row>100</xdr:row>
      <xdr:rowOff>669551</xdr:rowOff>
    </xdr:to>
    <xdr:sp macro="" textlink="">
      <xdr:nvSpPr>
        <xdr:cNvPr id="527" name="TextBox 526"/>
        <xdr:cNvSpPr txBox="1"/>
      </xdr:nvSpPr>
      <xdr:spPr>
        <a:xfrm>
          <a:off x="2678206" y="64624323"/>
          <a:ext cx="403411" cy="647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b="1">
              <a:solidFill>
                <a:srgbClr val="FF0000"/>
              </a:solidFill>
            </a:rPr>
            <a:t>!</a:t>
          </a:r>
          <a:endParaRPr lang="ru-RU" sz="40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2956</xdr:colOff>
      <xdr:row>109</xdr:row>
      <xdr:rowOff>566709</xdr:rowOff>
    </xdr:from>
    <xdr:to>
      <xdr:col>3</xdr:col>
      <xdr:colOff>128841</xdr:colOff>
      <xdr:row>109</xdr:row>
      <xdr:rowOff>693446</xdr:rowOff>
    </xdr:to>
    <xdr:grpSp>
      <xdr:nvGrpSpPr>
        <xdr:cNvPr id="529" name="Группа 528"/>
        <xdr:cNvGrpSpPr/>
      </xdr:nvGrpSpPr>
      <xdr:grpSpPr>
        <a:xfrm flipH="1">
          <a:off x="2011865" y="64314936"/>
          <a:ext cx="125885" cy="126737"/>
          <a:chOff x="1132242" y="1306343"/>
          <a:chExt cx="123151" cy="128030"/>
        </a:xfrm>
      </xdr:grpSpPr>
      <xdr:cxnSp macro="">
        <xdr:nvCxnSpPr>
          <xdr:cNvPr id="530" name="Прямая соединительная линия 52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3" name="Прямоугольник 53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15085</xdr:colOff>
      <xdr:row>85</xdr:row>
      <xdr:rowOff>536482</xdr:rowOff>
    </xdr:from>
    <xdr:to>
      <xdr:col>3</xdr:col>
      <xdr:colOff>142651</xdr:colOff>
      <xdr:row>85</xdr:row>
      <xdr:rowOff>663779</xdr:rowOff>
    </xdr:to>
    <xdr:grpSp>
      <xdr:nvGrpSpPr>
        <xdr:cNvPr id="555" name="Группа 554"/>
        <xdr:cNvGrpSpPr/>
      </xdr:nvGrpSpPr>
      <xdr:grpSpPr>
        <a:xfrm flipH="1">
          <a:off x="2023994" y="49044709"/>
          <a:ext cx="127566" cy="127297"/>
          <a:chOff x="1132242" y="1306343"/>
          <a:chExt cx="123151" cy="128030"/>
        </a:xfrm>
      </xdr:grpSpPr>
      <xdr:cxnSp macro="">
        <xdr:nvCxnSpPr>
          <xdr:cNvPr id="556" name="Прямая соединительная линия 55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3" name="Прямоугольник 56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448234</xdr:colOff>
      <xdr:row>90</xdr:row>
      <xdr:rowOff>403412</xdr:rowOff>
    </xdr:from>
    <xdr:to>
      <xdr:col>2</xdr:col>
      <xdr:colOff>575800</xdr:colOff>
      <xdr:row>90</xdr:row>
      <xdr:rowOff>530709</xdr:rowOff>
    </xdr:to>
    <xdr:grpSp>
      <xdr:nvGrpSpPr>
        <xdr:cNvPr id="582" name="Группа 581"/>
        <xdr:cNvGrpSpPr/>
      </xdr:nvGrpSpPr>
      <xdr:grpSpPr>
        <a:xfrm>
          <a:off x="1868325" y="52375276"/>
          <a:ext cx="127566" cy="127297"/>
          <a:chOff x="1132242" y="1306343"/>
          <a:chExt cx="123151" cy="128030"/>
        </a:xfrm>
      </xdr:grpSpPr>
      <xdr:cxnSp macro="">
        <xdr:nvCxnSpPr>
          <xdr:cNvPr id="583" name="Прямая соединительная линия 58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84" name="Прямоугольник 58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448234</xdr:colOff>
      <xdr:row>92</xdr:row>
      <xdr:rowOff>369794</xdr:rowOff>
    </xdr:from>
    <xdr:to>
      <xdr:col>2</xdr:col>
      <xdr:colOff>575800</xdr:colOff>
      <xdr:row>92</xdr:row>
      <xdr:rowOff>497091</xdr:rowOff>
    </xdr:to>
    <xdr:grpSp>
      <xdr:nvGrpSpPr>
        <xdr:cNvPr id="587" name="Группа 586"/>
        <xdr:cNvGrpSpPr/>
      </xdr:nvGrpSpPr>
      <xdr:grpSpPr>
        <a:xfrm>
          <a:off x="1868325" y="53727112"/>
          <a:ext cx="127566" cy="127297"/>
          <a:chOff x="1132242" y="1306343"/>
          <a:chExt cx="123151" cy="128030"/>
        </a:xfrm>
      </xdr:grpSpPr>
      <xdr:cxnSp macro="">
        <xdr:nvCxnSpPr>
          <xdr:cNvPr id="602" name="Прямая соединительная линия 60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03" name="Прямоугольник 60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306457</xdr:colOff>
      <xdr:row>116</xdr:row>
      <xdr:rowOff>387718</xdr:rowOff>
    </xdr:from>
    <xdr:to>
      <xdr:col>3</xdr:col>
      <xdr:colOff>323023</xdr:colOff>
      <xdr:row>116</xdr:row>
      <xdr:rowOff>387718</xdr:rowOff>
    </xdr:to>
    <xdr:cxnSp macro="">
      <xdr:nvCxnSpPr>
        <xdr:cNvPr id="528" name="Прямая соединительная линия 527"/>
        <xdr:cNvCxnSpPr/>
      </xdr:nvCxnSpPr>
      <xdr:spPr>
        <a:xfrm>
          <a:off x="1748814" y="69049361"/>
          <a:ext cx="601673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389283</xdr:colOff>
      <xdr:row>43</xdr:row>
      <xdr:rowOff>132521</xdr:rowOff>
    </xdr:from>
    <xdr:to>
      <xdr:col>2</xdr:col>
      <xdr:colOff>491644</xdr:colOff>
      <xdr:row>43</xdr:row>
      <xdr:rowOff>687456</xdr:rowOff>
    </xdr:to>
    <xdr:sp macro="" textlink="">
      <xdr:nvSpPr>
        <xdr:cNvPr id="4" name="Полилиния 3"/>
        <xdr:cNvSpPr/>
      </xdr:nvSpPr>
      <xdr:spPr>
        <a:xfrm>
          <a:off x="1813892" y="22321630"/>
          <a:ext cx="102361" cy="554935"/>
        </a:xfrm>
        <a:custGeom>
          <a:avLst/>
          <a:gdLst>
            <a:gd name="connsiteX0" fmla="*/ 91108 w 94078"/>
            <a:gd name="connsiteY0" fmla="*/ 563218 h 563218"/>
            <a:gd name="connsiteX1" fmla="*/ 82826 w 94078"/>
            <a:gd name="connsiteY1" fmla="*/ 223631 h 563218"/>
            <a:gd name="connsiteX2" fmla="*/ 0 w 94078"/>
            <a:gd name="connsiteY2" fmla="*/ 0 h 5632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4078" h="563218">
              <a:moveTo>
                <a:pt x="91108" y="563218"/>
              </a:moveTo>
              <a:cubicBezTo>
                <a:pt x="94559" y="440359"/>
                <a:pt x="98011" y="317501"/>
                <a:pt x="82826" y="223631"/>
              </a:cubicBezTo>
              <a:cubicBezTo>
                <a:pt x="67641" y="129761"/>
                <a:pt x="33820" y="6488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8284</xdr:colOff>
      <xdr:row>43</xdr:row>
      <xdr:rowOff>132521</xdr:rowOff>
    </xdr:from>
    <xdr:to>
      <xdr:col>3</xdr:col>
      <xdr:colOff>110645</xdr:colOff>
      <xdr:row>43</xdr:row>
      <xdr:rowOff>687456</xdr:rowOff>
    </xdr:to>
    <xdr:sp macro="" textlink="">
      <xdr:nvSpPr>
        <xdr:cNvPr id="560" name="Полилиния 559"/>
        <xdr:cNvSpPr/>
      </xdr:nvSpPr>
      <xdr:spPr>
        <a:xfrm>
          <a:off x="2012675" y="22321630"/>
          <a:ext cx="102361" cy="554935"/>
        </a:xfrm>
        <a:custGeom>
          <a:avLst/>
          <a:gdLst>
            <a:gd name="connsiteX0" fmla="*/ 91108 w 94078"/>
            <a:gd name="connsiteY0" fmla="*/ 563218 h 563218"/>
            <a:gd name="connsiteX1" fmla="*/ 82826 w 94078"/>
            <a:gd name="connsiteY1" fmla="*/ 223631 h 563218"/>
            <a:gd name="connsiteX2" fmla="*/ 0 w 94078"/>
            <a:gd name="connsiteY2" fmla="*/ 0 h 5632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4078" h="563218">
              <a:moveTo>
                <a:pt x="91108" y="563218"/>
              </a:moveTo>
              <a:cubicBezTo>
                <a:pt x="94559" y="440359"/>
                <a:pt x="98011" y="317501"/>
                <a:pt x="82826" y="223631"/>
              </a:cubicBezTo>
              <a:cubicBezTo>
                <a:pt x="67641" y="129761"/>
                <a:pt x="33820" y="6488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64</xdr:row>
      <xdr:rowOff>87747</xdr:rowOff>
    </xdr:from>
    <xdr:to>
      <xdr:col>3</xdr:col>
      <xdr:colOff>266156</xdr:colOff>
      <xdr:row>64</xdr:row>
      <xdr:rowOff>231747</xdr:rowOff>
    </xdr:to>
    <xdr:sp macro="" textlink="">
      <xdr:nvSpPr>
        <xdr:cNvPr id="604" name="Овал 603"/>
        <xdr:cNvSpPr/>
      </xdr:nvSpPr>
      <xdr:spPr>
        <a:xfrm>
          <a:off x="2149620" y="3682703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428091</xdr:colOff>
      <xdr:row>131</xdr:row>
      <xdr:rowOff>381000</xdr:rowOff>
    </xdr:from>
    <xdr:to>
      <xdr:col>4</xdr:col>
      <xdr:colOff>428091</xdr:colOff>
      <xdr:row>132</xdr:row>
      <xdr:rowOff>550332</xdr:rowOff>
    </xdr:to>
    <xdr:cxnSp macro="">
      <xdr:nvCxnSpPr>
        <xdr:cNvPr id="458" name="Прямая соединительная линия 457"/>
        <xdr:cNvCxnSpPr/>
      </xdr:nvCxnSpPr>
      <xdr:spPr>
        <a:xfrm flipV="1">
          <a:off x="3031591" y="85566250"/>
          <a:ext cx="0" cy="867832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428091</xdr:colOff>
      <xdr:row>119</xdr:row>
      <xdr:rowOff>338668</xdr:rowOff>
    </xdr:from>
    <xdr:to>
      <xdr:col>4</xdr:col>
      <xdr:colOff>428091</xdr:colOff>
      <xdr:row>120</xdr:row>
      <xdr:rowOff>508000</xdr:rowOff>
    </xdr:to>
    <xdr:cxnSp macro="">
      <xdr:nvCxnSpPr>
        <xdr:cNvPr id="451" name="Прямая соединительная линия 450"/>
        <xdr:cNvCxnSpPr/>
      </xdr:nvCxnSpPr>
      <xdr:spPr>
        <a:xfrm flipV="1">
          <a:off x="3031591" y="77141918"/>
          <a:ext cx="0" cy="867832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306457</xdr:colOff>
      <xdr:row>41</xdr:row>
      <xdr:rowOff>488388</xdr:rowOff>
    </xdr:from>
    <xdr:to>
      <xdr:col>3</xdr:col>
      <xdr:colOff>45200</xdr:colOff>
      <xdr:row>42</xdr:row>
      <xdr:rowOff>527736</xdr:rowOff>
    </xdr:to>
    <xdr:sp macro="" textlink="">
      <xdr:nvSpPr>
        <xdr:cNvPr id="684" name="Прямоугольник 683"/>
        <xdr:cNvSpPr/>
      </xdr:nvSpPr>
      <xdr:spPr>
        <a:xfrm>
          <a:off x="1731066" y="24068975"/>
          <a:ext cx="318525" cy="735087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9</xdr:row>
      <xdr:rowOff>95250</xdr:rowOff>
    </xdr:from>
    <xdr:to>
      <xdr:col>3</xdr:col>
      <xdr:colOff>1</xdr:colOff>
      <xdr:row>10</xdr:row>
      <xdr:rowOff>583748</xdr:rowOff>
    </xdr:to>
    <xdr:cxnSp macro="">
      <xdr:nvCxnSpPr>
        <xdr:cNvPr id="6" name="Прямая соединительная линия 5"/>
        <xdr:cNvCxnSpPr/>
      </xdr:nvCxnSpPr>
      <xdr:spPr>
        <a:xfrm flipV="1">
          <a:off x="2009776" y="143827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10</xdr:row>
      <xdr:rowOff>519793</xdr:rowOff>
    </xdr:from>
    <xdr:to>
      <xdr:col>3</xdr:col>
      <xdr:colOff>54932</xdr:colOff>
      <xdr:row>10</xdr:row>
      <xdr:rowOff>627793</xdr:rowOff>
    </xdr:to>
    <xdr:sp macro="" textlink="">
      <xdr:nvSpPr>
        <xdr:cNvPr id="7" name="Овал 6"/>
        <xdr:cNvSpPr/>
      </xdr:nvSpPr>
      <xdr:spPr>
        <a:xfrm>
          <a:off x="1956707" y="25581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137432</xdr:colOff>
      <xdr:row>9</xdr:row>
      <xdr:rowOff>643618</xdr:rowOff>
    </xdr:from>
    <xdr:to>
      <xdr:col>3</xdr:col>
      <xdr:colOff>281432</xdr:colOff>
      <xdr:row>10</xdr:row>
      <xdr:rowOff>92293</xdr:rowOff>
    </xdr:to>
    <xdr:sp macro="" textlink="">
      <xdr:nvSpPr>
        <xdr:cNvPr id="9" name="Овал 8"/>
        <xdr:cNvSpPr/>
      </xdr:nvSpPr>
      <xdr:spPr>
        <a:xfrm>
          <a:off x="2147207" y="198664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439615</xdr:colOff>
      <xdr:row>9</xdr:row>
      <xdr:rowOff>549520</xdr:rowOff>
    </xdr:from>
    <xdr:to>
      <xdr:col>2</xdr:col>
      <xdr:colOff>563302</xdr:colOff>
      <xdr:row>9</xdr:row>
      <xdr:rowOff>677550</xdr:rowOff>
    </xdr:to>
    <xdr:grpSp>
      <xdr:nvGrpSpPr>
        <xdr:cNvPr id="89" name="Группа 88"/>
        <xdr:cNvGrpSpPr/>
      </xdr:nvGrpSpPr>
      <xdr:grpSpPr>
        <a:xfrm>
          <a:off x="1881972" y="1896627"/>
          <a:ext cx="123687" cy="128030"/>
          <a:chOff x="1132242" y="1306343"/>
          <a:chExt cx="123151" cy="128030"/>
        </a:xfrm>
      </xdr:grpSpPr>
      <xdr:cxnSp macro="">
        <xdr:nvCxnSpPr>
          <xdr:cNvPr id="90" name="Прямая соединительная линия 8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Прямоугольник 9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579561</xdr:colOff>
      <xdr:row>181</xdr:row>
      <xdr:rowOff>76200</xdr:rowOff>
    </xdr:from>
    <xdr:to>
      <xdr:col>2</xdr:col>
      <xdr:colOff>579561</xdr:colOff>
      <xdr:row>182</xdr:row>
      <xdr:rowOff>564698</xdr:rowOff>
    </xdr:to>
    <xdr:cxnSp macro="">
      <xdr:nvCxnSpPr>
        <xdr:cNvPr id="442" name="Прямая соединительная линия 441"/>
        <xdr:cNvCxnSpPr/>
      </xdr:nvCxnSpPr>
      <xdr:spPr>
        <a:xfrm flipV="1">
          <a:off x="2008311" y="70951725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182</xdr:row>
      <xdr:rowOff>500743</xdr:rowOff>
    </xdr:from>
    <xdr:to>
      <xdr:col>3</xdr:col>
      <xdr:colOff>53467</xdr:colOff>
      <xdr:row>182</xdr:row>
      <xdr:rowOff>608743</xdr:rowOff>
    </xdr:to>
    <xdr:sp macro="" textlink="">
      <xdr:nvSpPr>
        <xdr:cNvPr id="443" name="Овал 442"/>
        <xdr:cNvSpPr/>
      </xdr:nvSpPr>
      <xdr:spPr>
        <a:xfrm>
          <a:off x="1955242" y="720715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181</xdr:row>
      <xdr:rowOff>624568</xdr:rowOff>
    </xdr:from>
    <xdr:to>
      <xdr:col>3</xdr:col>
      <xdr:colOff>279967</xdr:colOff>
      <xdr:row>182</xdr:row>
      <xdr:rowOff>73243</xdr:rowOff>
    </xdr:to>
    <xdr:sp macro="" textlink="">
      <xdr:nvSpPr>
        <xdr:cNvPr id="444" name="Овал 443"/>
        <xdr:cNvSpPr/>
      </xdr:nvSpPr>
      <xdr:spPr>
        <a:xfrm>
          <a:off x="2145742" y="7150009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12328</xdr:colOff>
      <xdr:row>181</xdr:row>
      <xdr:rowOff>564088</xdr:rowOff>
    </xdr:from>
    <xdr:to>
      <xdr:col>3</xdr:col>
      <xdr:colOff>136015</xdr:colOff>
      <xdr:row>181</xdr:row>
      <xdr:rowOff>692118</xdr:rowOff>
    </xdr:to>
    <xdr:grpSp>
      <xdr:nvGrpSpPr>
        <xdr:cNvPr id="445" name="Группа 444"/>
        <xdr:cNvGrpSpPr/>
      </xdr:nvGrpSpPr>
      <xdr:grpSpPr>
        <a:xfrm flipH="1">
          <a:off x="2039792" y="83798981"/>
          <a:ext cx="123687" cy="128030"/>
          <a:chOff x="1132242" y="1306343"/>
          <a:chExt cx="123151" cy="128030"/>
        </a:xfrm>
      </xdr:grpSpPr>
      <xdr:cxnSp macro="">
        <xdr:nvCxnSpPr>
          <xdr:cNvPr id="446" name="Прямая соединительная линия 44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7" name="Прямоугольник 44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104775</xdr:colOff>
      <xdr:row>9</xdr:row>
      <xdr:rowOff>390525</xdr:rowOff>
    </xdr:from>
    <xdr:to>
      <xdr:col>4</xdr:col>
      <xdr:colOff>714428</xdr:colOff>
      <xdr:row>10</xdr:row>
      <xdr:rowOff>304853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733550"/>
          <a:ext cx="609653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181</xdr:row>
      <xdr:rowOff>415017</xdr:rowOff>
    </xdr:from>
    <xdr:to>
      <xdr:col>4</xdr:col>
      <xdr:colOff>714428</xdr:colOff>
      <xdr:row>182</xdr:row>
      <xdr:rowOff>329340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346" y="104468838"/>
          <a:ext cx="609653" cy="608291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</xdr:row>
      <xdr:rowOff>57150</xdr:rowOff>
    </xdr:from>
    <xdr:to>
      <xdr:col>3</xdr:col>
      <xdr:colOff>1</xdr:colOff>
      <xdr:row>12</xdr:row>
      <xdr:rowOff>545648</xdr:rowOff>
    </xdr:to>
    <xdr:cxnSp macro="">
      <xdr:nvCxnSpPr>
        <xdr:cNvPr id="471" name="Прямая соединительная линия 470"/>
        <xdr:cNvCxnSpPr/>
      </xdr:nvCxnSpPr>
      <xdr:spPr>
        <a:xfrm flipV="1">
          <a:off x="2009776" y="2790825"/>
          <a:ext cx="0" cy="118382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12</xdr:row>
      <xdr:rowOff>481693</xdr:rowOff>
    </xdr:from>
    <xdr:to>
      <xdr:col>3</xdr:col>
      <xdr:colOff>54932</xdr:colOff>
      <xdr:row>12</xdr:row>
      <xdr:rowOff>589693</xdr:rowOff>
    </xdr:to>
    <xdr:sp macro="" textlink="">
      <xdr:nvSpPr>
        <xdr:cNvPr id="472" name="Овал 471"/>
        <xdr:cNvSpPr/>
      </xdr:nvSpPr>
      <xdr:spPr>
        <a:xfrm>
          <a:off x="1956707" y="39106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295275</xdr:colOff>
      <xdr:row>11</xdr:row>
      <xdr:rowOff>57150</xdr:rowOff>
    </xdr:from>
    <xdr:to>
      <xdr:col>3</xdr:col>
      <xdr:colOff>0</xdr:colOff>
      <xdr:row>12</xdr:row>
      <xdr:rowOff>486000</xdr:rowOff>
    </xdr:to>
    <xdr:cxnSp macro="">
      <xdr:nvCxnSpPr>
        <xdr:cNvPr id="478" name="Прямая соединительная линия 477"/>
        <xdr:cNvCxnSpPr/>
      </xdr:nvCxnSpPr>
      <xdr:spPr>
        <a:xfrm>
          <a:off x="1724025" y="2790825"/>
          <a:ext cx="285750" cy="11241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66675</xdr:rowOff>
    </xdr:from>
    <xdr:to>
      <xdr:col>3</xdr:col>
      <xdr:colOff>219075</xdr:colOff>
      <xdr:row>12</xdr:row>
      <xdr:rowOff>504825</xdr:rowOff>
    </xdr:to>
    <xdr:sp macro="" textlink="">
      <xdr:nvSpPr>
        <xdr:cNvPr id="481" name="Полилиния 480"/>
        <xdr:cNvSpPr/>
      </xdr:nvSpPr>
      <xdr:spPr>
        <a:xfrm>
          <a:off x="2009775" y="2800350"/>
          <a:ext cx="219075" cy="1133475"/>
        </a:xfrm>
        <a:custGeom>
          <a:avLst/>
          <a:gdLst>
            <a:gd name="connsiteX0" fmla="*/ 0 w 238125"/>
            <a:gd name="connsiteY0" fmla="*/ 1114425 h 1114425"/>
            <a:gd name="connsiteX1" fmla="*/ 0 w 238125"/>
            <a:gd name="connsiteY1" fmla="*/ 676275 h 1114425"/>
            <a:gd name="connsiteX2" fmla="*/ 238125 w 238125"/>
            <a:gd name="connsiteY2" fmla="*/ 0 h 1114425"/>
            <a:gd name="connsiteX0" fmla="*/ 0 w 276225"/>
            <a:gd name="connsiteY0" fmla="*/ 1143000 h 1143000"/>
            <a:gd name="connsiteX1" fmla="*/ 0 w 276225"/>
            <a:gd name="connsiteY1" fmla="*/ 704850 h 1143000"/>
            <a:gd name="connsiteX2" fmla="*/ 276225 w 276225"/>
            <a:gd name="connsiteY2" fmla="*/ 0 h 1143000"/>
            <a:gd name="connsiteX0" fmla="*/ 0 w 219075"/>
            <a:gd name="connsiteY0" fmla="*/ 1133475 h 1133475"/>
            <a:gd name="connsiteX1" fmla="*/ 0 w 219075"/>
            <a:gd name="connsiteY1" fmla="*/ 695325 h 1133475"/>
            <a:gd name="connsiteX2" fmla="*/ 219075 w 2190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9075" h="1133475">
              <a:moveTo>
                <a:pt x="0" y="1133475"/>
              </a:moveTo>
              <a:lnTo>
                <a:pt x="0" y="695325"/>
              </a:lnTo>
              <a:lnTo>
                <a:pt x="219075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10990</xdr:colOff>
      <xdr:row>12</xdr:row>
      <xdr:rowOff>44695</xdr:rowOff>
    </xdr:from>
    <xdr:to>
      <xdr:col>3</xdr:col>
      <xdr:colOff>134677</xdr:colOff>
      <xdr:row>12</xdr:row>
      <xdr:rowOff>172725</xdr:rowOff>
    </xdr:to>
    <xdr:grpSp>
      <xdr:nvGrpSpPr>
        <xdr:cNvPr id="474" name="Группа 473"/>
        <xdr:cNvGrpSpPr/>
      </xdr:nvGrpSpPr>
      <xdr:grpSpPr>
        <a:xfrm rot="10800000">
          <a:off x="2038454" y="3473695"/>
          <a:ext cx="123687" cy="128030"/>
          <a:chOff x="1132242" y="1306343"/>
          <a:chExt cx="123151" cy="128030"/>
        </a:xfrm>
      </xdr:grpSpPr>
      <xdr:cxnSp macro="">
        <xdr:nvCxnSpPr>
          <xdr:cNvPr id="475" name="Прямая соединительная линия 47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6" name="Прямоугольник 47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</xdr:colOff>
      <xdr:row>13</xdr:row>
      <xdr:rowOff>57150</xdr:rowOff>
    </xdr:from>
    <xdr:to>
      <xdr:col>3</xdr:col>
      <xdr:colOff>1</xdr:colOff>
      <xdr:row>14</xdr:row>
      <xdr:rowOff>545648</xdr:rowOff>
    </xdr:to>
    <xdr:cxnSp macro="">
      <xdr:nvCxnSpPr>
        <xdr:cNvPr id="154" name="Прямая соединительная линия 153"/>
        <xdr:cNvCxnSpPr/>
      </xdr:nvCxnSpPr>
      <xdr:spPr>
        <a:xfrm flipV="1">
          <a:off x="2009776" y="4181475"/>
          <a:ext cx="0" cy="118382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14</xdr:row>
      <xdr:rowOff>481693</xdr:rowOff>
    </xdr:from>
    <xdr:to>
      <xdr:col>3</xdr:col>
      <xdr:colOff>54932</xdr:colOff>
      <xdr:row>14</xdr:row>
      <xdr:rowOff>589693</xdr:rowOff>
    </xdr:to>
    <xdr:sp macro="" textlink="">
      <xdr:nvSpPr>
        <xdr:cNvPr id="155" name="Овал 154"/>
        <xdr:cNvSpPr/>
      </xdr:nvSpPr>
      <xdr:spPr>
        <a:xfrm>
          <a:off x="1956707" y="53013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66675</xdr:rowOff>
    </xdr:from>
    <xdr:to>
      <xdr:col>3</xdr:col>
      <xdr:colOff>219075</xdr:colOff>
      <xdr:row>14</xdr:row>
      <xdr:rowOff>504825</xdr:rowOff>
    </xdr:to>
    <xdr:sp macro="" textlink="">
      <xdr:nvSpPr>
        <xdr:cNvPr id="156" name="Полилиния 155"/>
        <xdr:cNvSpPr/>
      </xdr:nvSpPr>
      <xdr:spPr>
        <a:xfrm>
          <a:off x="2009775" y="4191000"/>
          <a:ext cx="219075" cy="1133475"/>
        </a:xfrm>
        <a:custGeom>
          <a:avLst/>
          <a:gdLst>
            <a:gd name="connsiteX0" fmla="*/ 0 w 238125"/>
            <a:gd name="connsiteY0" fmla="*/ 1114425 h 1114425"/>
            <a:gd name="connsiteX1" fmla="*/ 0 w 238125"/>
            <a:gd name="connsiteY1" fmla="*/ 676275 h 1114425"/>
            <a:gd name="connsiteX2" fmla="*/ 238125 w 238125"/>
            <a:gd name="connsiteY2" fmla="*/ 0 h 1114425"/>
            <a:gd name="connsiteX0" fmla="*/ 0 w 276225"/>
            <a:gd name="connsiteY0" fmla="*/ 1143000 h 1143000"/>
            <a:gd name="connsiteX1" fmla="*/ 0 w 276225"/>
            <a:gd name="connsiteY1" fmla="*/ 704850 h 1143000"/>
            <a:gd name="connsiteX2" fmla="*/ 276225 w 276225"/>
            <a:gd name="connsiteY2" fmla="*/ 0 h 1143000"/>
            <a:gd name="connsiteX0" fmla="*/ 0 w 219075"/>
            <a:gd name="connsiteY0" fmla="*/ 1133475 h 1133475"/>
            <a:gd name="connsiteX1" fmla="*/ 0 w 219075"/>
            <a:gd name="connsiteY1" fmla="*/ 695325 h 1133475"/>
            <a:gd name="connsiteX2" fmla="*/ 219075 w 2190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9075" h="1133475">
              <a:moveTo>
                <a:pt x="0" y="1133475"/>
              </a:moveTo>
              <a:lnTo>
                <a:pt x="0" y="695325"/>
              </a:lnTo>
              <a:lnTo>
                <a:pt x="219075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10990</xdr:colOff>
      <xdr:row>14</xdr:row>
      <xdr:rowOff>44695</xdr:rowOff>
    </xdr:from>
    <xdr:to>
      <xdr:col>3</xdr:col>
      <xdr:colOff>134677</xdr:colOff>
      <xdr:row>14</xdr:row>
      <xdr:rowOff>172725</xdr:rowOff>
    </xdr:to>
    <xdr:grpSp>
      <xdr:nvGrpSpPr>
        <xdr:cNvPr id="157" name="Группа 156"/>
        <xdr:cNvGrpSpPr/>
      </xdr:nvGrpSpPr>
      <xdr:grpSpPr>
        <a:xfrm rot="10800000">
          <a:off x="2038454" y="4861624"/>
          <a:ext cx="123687" cy="128030"/>
          <a:chOff x="1132242" y="1306343"/>
          <a:chExt cx="123151" cy="128030"/>
        </a:xfrm>
      </xdr:grpSpPr>
      <xdr:cxnSp macro="">
        <xdr:nvCxnSpPr>
          <xdr:cNvPr id="158" name="Прямая соединительная линия 15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9" name="Прямоугольник 15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</xdr:colOff>
      <xdr:row>15</xdr:row>
      <xdr:rowOff>95250</xdr:rowOff>
    </xdr:from>
    <xdr:to>
      <xdr:col>3</xdr:col>
      <xdr:colOff>1</xdr:colOff>
      <xdr:row>16</xdr:row>
      <xdr:rowOff>584704</xdr:rowOff>
    </xdr:to>
    <xdr:cxnSp macro="">
      <xdr:nvCxnSpPr>
        <xdr:cNvPr id="168" name="Прямая соединительная линия 167"/>
        <xdr:cNvCxnSpPr/>
      </xdr:nvCxnSpPr>
      <xdr:spPr>
        <a:xfrm flipV="1">
          <a:off x="2009776" y="5610225"/>
          <a:ext cx="0" cy="1184779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16</xdr:row>
      <xdr:rowOff>511225</xdr:rowOff>
    </xdr:from>
    <xdr:to>
      <xdr:col>3</xdr:col>
      <xdr:colOff>54932</xdr:colOff>
      <xdr:row>16</xdr:row>
      <xdr:rowOff>619225</xdr:rowOff>
    </xdr:to>
    <xdr:sp macro="" textlink="">
      <xdr:nvSpPr>
        <xdr:cNvPr id="169" name="Овал 168"/>
        <xdr:cNvSpPr/>
      </xdr:nvSpPr>
      <xdr:spPr>
        <a:xfrm>
          <a:off x="1956707" y="6721525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104775</xdr:colOff>
      <xdr:row>16</xdr:row>
      <xdr:rowOff>957</xdr:rowOff>
    </xdr:from>
    <xdr:to>
      <xdr:col>3</xdr:col>
      <xdr:colOff>7327</xdr:colOff>
      <xdr:row>16</xdr:row>
      <xdr:rowOff>171450</xdr:rowOff>
    </xdr:to>
    <xdr:cxnSp macro="">
      <xdr:nvCxnSpPr>
        <xdr:cNvPr id="171" name="Прямая соединительная линия 170"/>
        <xdr:cNvCxnSpPr/>
      </xdr:nvCxnSpPr>
      <xdr:spPr>
        <a:xfrm flipV="1">
          <a:off x="1533525" y="6211257"/>
          <a:ext cx="483577" cy="17049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567104</xdr:colOff>
      <xdr:row>15</xdr:row>
      <xdr:rowOff>514350</xdr:rowOff>
    </xdr:from>
    <xdr:to>
      <xdr:col>3</xdr:col>
      <xdr:colOff>495300</xdr:colOff>
      <xdr:row>16</xdr:row>
      <xdr:rowOff>957</xdr:rowOff>
    </xdr:to>
    <xdr:cxnSp macro="">
      <xdr:nvCxnSpPr>
        <xdr:cNvPr id="173" name="Прямая соединительная линия 172"/>
        <xdr:cNvCxnSpPr/>
      </xdr:nvCxnSpPr>
      <xdr:spPr>
        <a:xfrm flipV="1">
          <a:off x="1995854" y="6029325"/>
          <a:ext cx="509221" cy="181932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578826</xdr:colOff>
      <xdr:row>15</xdr:row>
      <xdr:rowOff>542194</xdr:rowOff>
    </xdr:from>
    <xdr:to>
      <xdr:col>3</xdr:col>
      <xdr:colOff>123686</xdr:colOff>
      <xdr:row>15</xdr:row>
      <xdr:rowOff>670224</xdr:rowOff>
    </xdr:to>
    <xdr:grpSp>
      <xdr:nvGrpSpPr>
        <xdr:cNvPr id="174" name="Группа 173"/>
        <xdr:cNvGrpSpPr/>
      </xdr:nvGrpSpPr>
      <xdr:grpSpPr>
        <a:xfrm flipH="1">
          <a:off x="2021183" y="6053087"/>
          <a:ext cx="129967" cy="128030"/>
          <a:chOff x="1132242" y="1306343"/>
          <a:chExt cx="123151" cy="128030"/>
        </a:xfrm>
      </xdr:grpSpPr>
      <xdr:cxnSp macro="">
        <xdr:nvCxnSpPr>
          <xdr:cNvPr id="175" name="Прямая соединительная линия 17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6" name="Прямоугольник 17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531193</xdr:colOff>
      <xdr:row>18</xdr:row>
      <xdr:rowOff>539850</xdr:rowOff>
    </xdr:from>
    <xdr:to>
      <xdr:col>3</xdr:col>
      <xdr:colOff>58168</xdr:colOff>
      <xdr:row>18</xdr:row>
      <xdr:rowOff>650048</xdr:rowOff>
    </xdr:to>
    <xdr:sp macro="" textlink="">
      <xdr:nvSpPr>
        <xdr:cNvPr id="178" name="Овал 177"/>
        <xdr:cNvSpPr/>
      </xdr:nvSpPr>
      <xdr:spPr>
        <a:xfrm>
          <a:off x="1959943" y="8140800"/>
          <a:ext cx="108000" cy="11019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8434</xdr:colOff>
      <xdr:row>17</xdr:row>
      <xdr:rowOff>100871</xdr:rowOff>
    </xdr:from>
    <xdr:to>
      <xdr:col>3</xdr:col>
      <xdr:colOff>8434</xdr:colOff>
      <xdr:row>18</xdr:row>
      <xdr:rowOff>581025</xdr:rowOff>
    </xdr:to>
    <xdr:cxnSp macro="">
      <xdr:nvCxnSpPr>
        <xdr:cNvPr id="179" name="Прямая соединительная линия 178"/>
        <xdr:cNvCxnSpPr/>
      </xdr:nvCxnSpPr>
      <xdr:spPr>
        <a:xfrm>
          <a:off x="2018209" y="7006496"/>
          <a:ext cx="0" cy="1175479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18</xdr:row>
      <xdr:rowOff>169916</xdr:rowOff>
    </xdr:from>
    <xdr:to>
      <xdr:col>3</xdr:col>
      <xdr:colOff>8788</xdr:colOff>
      <xdr:row>18</xdr:row>
      <xdr:rowOff>169916</xdr:rowOff>
    </xdr:to>
    <xdr:cxnSp macro="">
      <xdr:nvCxnSpPr>
        <xdr:cNvPr id="180" name="Прямая соединительная линия 179"/>
        <xdr:cNvCxnSpPr/>
      </xdr:nvCxnSpPr>
      <xdr:spPr>
        <a:xfrm flipH="1">
          <a:off x="1498709" y="7757071"/>
          <a:ext cx="52018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65690</xdr:colOff>
      <xdr:row>17</xdr:row>
      <xdr:rowOff>686764</xdr:rowOff>
    </xdr:from>
    <xdr:to>
      <xdr:col>3</xdr:col>
      <xdr:colOff>523875</xdr:colOff>
      <xdr:row>17</xdr:row>
      <xdr:rowOff>686764</xdr:rowOff>
    </xdr:to>
    <xdr:cxnSp macro="">
      <xdr:nvCxnSpPr>
        <xdr:cNvPr id="182" name="Прямая соединительная линия 181"/>
        <xdr:cNvCxnSpPr/>
      </xdr:nvCxnSpPr>
      <xdr:spPr>
        <a:xfrm>
          <a:off x="1497724" y="7577609"/>
          <a:ext cx="1036254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111156</xdr:colOff>
      <xdr:row>18</xdr:row>
      <xdr:rowOff>394712</xdr:rowOff>
    </xdr:from>
    <xdr:to>
      <xdr:col>3</xdr:col>
      <xdr:colOff>255156</xdr:colOff>
      <xdr:row>18</xdr:row>
      <xdr:rowOff>538712</xdr:rowOff>
    </xdr:to>
    <xdr:sp macro="" textlink="">
      <xdr:nvSpPr>
        <xdr:cNvPr id="193" name="Овал 192"/>
        <xdr:cNvSpPr/>
      </xdr:nvSpPr>
      <xdr:spPr>
        <a:xfrm>
          <a:off x="2128215" y="802591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13138</xdr:colOff>
      <xdr:row>17</xdr:row>
      <xdr:rowOff>693333</xdr:rowOff>
    </xdr:from>
    <xdr:to>
      <xdr:col>3</xdr:col>
      <xdr:colOff>565588</xdr:colOff>
      <xdr:row>18</xdr:row>
      <xdr:rowOff>588558</xdr:rowOff>
    </xdr:to>
    <xdr:sp macro="" textlink="">
      <xdr:nvSpPr>
        <xdr:cNvPr id="205" name="Полилиния 204"/>
        <xdr:cNvSpPr/>
      </xdr:nvSpPr>
      <xdr:spPr>
        <a:xfrm>
          <a:off x="2023241" y="7584178"/>
          <a:ext cx="552450" cy="591535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531193</xdr:colOff>
      <xdr:row>20</xdr:row>
      <xdr:rowOff>556416</xdr:rowOff>
    </xdr:from>
    <xdr:to>
      <xdr:col>3</xdr:col>
      <xdr:colOff>58168</xdr:colOff>
      <xdr:row>20</xdr:row>
      <xdr:rowOff>666614</xdr:rowOff>
    </xdr:to>
    <xdr:sp macro="" textlink="">
      <xdr:nvSpPr>
        <xdr:cNvPr id="206" name="Овал 205"/>
        <xdr:cNvSpPr/>
      </xdr:nvSpPr>
      <xdr:spPr>
        <a:xfrm>
          <a:off x="1955802" y="9526481"/>
          <a:ext cx="106757" cy="11019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8434</xdr:colOff>
      <xdr:row>20</xdr:row>
      <xdr:rowOff>8283</xdr:rowOff>
    </xdr:from>
    <xdr:to>
      <xdr:col>3</xdr:col>
      <xdr:colOff>8434</xdr:colOff>
      <xdr:row>20</xdr:row>
      <xdr:rowOff>597591</xdr:rowOff>
    </xdr:to>
    <xdr:cxnSp macro="">
      <xdr:nvCxnSpPr>
        <xdr:cNvPr id="207" name="Прямая соединительная линия 206"/>
        <xdr:cNvCxnSpPr/>
      </xdr:nvCxnSpPr>
      <xdr:spPr>
        <a:xfrm>
          <a:off x="2012825" y="8978348"/>
          <a:ext cx="0" cy="589308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65690</xdr:colOff>
      <xdr:row>20</xdr:row>
      <xdr:rowOff>7591</xdr:rowOff>
    </xdr:from>
    <xdr:to>
      <xdr:col>3</xdr:col>
      <xdr:colOff>523875</xdr:colOff>
      <xdr:row>20</xdr:row>
      <xdr:rowOff>7591</xdr:rowOff>
    </xdr:to>
    <xdr:cxnSp macro="">
      <xdr:nvCxnSpPr>
        <xdr:cNvPr id="209" name="Прямая соединительная линия 208"/>
        <xdr:cNvCxnSpPr/>
      </xdr:nvCxnSpPr>
      <xdr:spPr>
        <a:xfrm>
          <a:off x="1490299" y="8977656"/>
          <a:ext cx="1037967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111156</xdr:colOff>
      <xdr:row>20</xdr:row>
      <xdr:rowOff>108719</xdr:rowOff>
    </xdr:from>
    <xdr:to>
      <xdr:col>3</xdr:col>
      <xdr:colOff>255156</xdr:colOff>
      <xdr:row>20</xdr:row>
      <xdr:rowOff>252719</xdr:rowOff>
    </xdr:to>
    <xdr:sp macro="" textlink="">
      <xdr:nvSpPr>
        <xdr:cNvPr id="213" name="Овал 212"/>
        <xdr:cNvSpPr/>
      </xdr:nvSpPr>
      <xdr:spPr>
        <a:xfrm>
          <a:off x="2115547" y="9078784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4855</xdr:colOff>
      <xdr:row>20</xdr:row>
      <xdr:rowOff>5877</xdr:rowOff>
    </xdr:from>
    <xdr:to>
      <xdr:col>3</xdr:col>
      <xdr:colOff>557305</xdr:colOff>
      <xdr:row>20</xdr:row>
      <xdr:rowOff>596841</xdr:rowOff>
    </xdr:to>
    <xdr:sp macro="" textlink="">
      <xdr:nvSpPr>
        <xdr:cNvPr id="214" name="Полилиния 213"/>
        <xdr:cNvSpPr/>
      </xdr:nvSpPr>
      <xdr:spPr>
        <a:xfrm>
          <a:off x="2009246" y="8975942"/>
          <a:ext cx="552450" cy="590964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477263</xdr:colOff>
      <xdr:row>19</xdr:row>
      <xdr:rowOff>579598</xdr:rowOff>
    </xdr:from>
    <xdr:to>
      <xdr:col>3</xdr:col>
      <xdr:colOff>22345</xdr:colOff>
      <xdr:row>20</xdr:row>
      <xdr:rowOff>9044</xdr:rowOff>
    </xdr:to>
    <xdr:grpSp>
      <xdr:nvGrpSpPr>
        <xdr:cNvPr id="210" name="Группа 209"/>
        <xdr:cNvGrpSpPr/>
      </xdr:nvGrpSpPr>
      <xdr:grpSpPr>
        <a:xfrm rot="16200000" flipH="1">
          <a:off x="1923010" y="8862958"/>
          <a:ext cx="123410" cy="130189"/>
          <a:chOff x="1132242" y="1306343"/>
          <a:chExt cx="123151" cy="128030"/>
        </a:xfrm>
      </xdr:grpSpPr>
      <xdr:cxnSp macro="">
        <xdr:nvCxnSpPr>
          <xdr:cNvPr id="211" name="Прямая соединительная линия 21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2" name="Прямоугольник 21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99542</xdr:colOff>
      <xdr:row>19</xdr:row>
      <xdr:rowOff>66261</xdr:rowOff>
    </xdr:from>
    <xdr:to>
      <xdr:col>3</xdr:col>
      <xdr:colOff>99542</xdr:colOff>
      <xdr:row>20</xdr:row>
      <xdr:rowOff>17808</xdr:rowOff>
    </xdr:to>
    <xdr:cxnSp macro="">
      <xdr:nvCxnSpPr>
        <xdr:cNvPr id="217" name="Прямая соединительная линия 216"/>
        <xdr:cNvCxnSpPr/>
      </xdr:nvCxnSpPr>
      <xdr:spPr>
        <a:xfrm>
          <a:off x="2103933" y="8340587"/>
          <a:ext cx="0" cy="647286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541373</xdr:colOff>
      <xdr:row>24</xdr:row>
      <xdr:rowOff>535476</xdr:rowOff>
    </xdr:from>
    <xdr:to>
      <xdr:col>3</xdr:col>
      <xdr:colOff>76629</xdr:colOff>
      <xdr:row>24</xdr:row>
      <xdr:rowOff>643476</xdr:rowOff>
    </xdr:to>
    <xdr:sp macro="" textlink="">
      <xdr:nvSpPr>
        <xdr:cNvPr id="252" name="Овал 251"/>
        <xdr:cNvSpPr/>
      </xdr:nvSpPr>
      <xdr:spPr>
        <a:xfrm>
          <a:off x="1975726" y="12335270"/>
          <a:ext cx="11796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4883</xdr:colOff>
      <xdr:row>23</xdr:row>
      <xdr:rowOff>73784</xdr:rowOff>
    </xdr:from>
    <xdr:to>
      <xdr:col>3</xdr:col>
      <xdr:colOff>4883</xdr:colOff>
      <xdr:row>24</xdr:row>
      <xdr:rowOff>600908</xdr:rowOff>
    </xdr:to>
    <xdr:cxnSp macro="">
      <xdr:nvCxnSpPr>
        <xdr:cNvPr id="253" name="Прямая соединительная линия 252"/>
        <xdr:cNvCxnSpPr/>
      </xdr:nvCxnSpPr>
      <xdr:spPr>
        <a:xfrm flipV="1">
          <a:off x="2009274" y="11131067"/>
          <a:ext cx="0" cy="122286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1066</xdr:colOff>
      <xdr:row>23</xdr:row>
      <xdr:rowOff>672393</xdr:rowOff>
    </xdr:from>
    <xdr:to>
      <xdr:col>3</xdr:col>
      <xdr:colOff>520974</xdr:colOff>
      <xdr:row>24</xdr:row>
      <xdr:rowOff>751</xdr:rowOff>
    </xdr:to>
    <xdr:cxnSp macro="">
      <xdr:nvCxnSpPr>
        <xdr:cNvPr id="254" name="Прямая соединительная линия 253"/>
        <xdr:cNvCxnSpPr/>
      </xdr:nvCxnSpPr>
      <xdr:spPr>
        <a:xfrm flipH="1">
          <a:off x="2005457" y="11729676"/>
          <a:ext cx="519908" cy="24097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120923</xdr:colOff>
      <xdr:row>23</xdr:row>
      <xdr:rowOff>491418</xdr:rowOff>
    </xdr:from>
    <xdr:to>
      <xdr:col>2</xdr:col>
      <xdr:colOff>579731</xdr:colOff>
      <xdr:row>23</xdr:row>
      <xdr:rowOff>571295</xdr:rowOff>
    </xdr:to>
    <xdr:cxnSp macro="">
      <xdr:nvCxnSpPr>
        <xdr:cNvPr id="259" name="Прямая соединительная линия 258"/>
        <xdr:cNvCxnSpPr/>
      </xdr:nvCxnSpPr>
      <xdr:spPr>
        <a:xfrm flipH="1" flipV="1">
          <a:off x="1545532" y="11548701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157370</xdr:colOff>
      <xdr:row>21</xdr:row>
      <xdr:rowOff>670221</xdr:rowOff>
    </xdr:from>
    <xdr:to>
      <xdr:col>3</xdr:col>
      <xdr:colOff>128742</xdr:colOff>
      <xdr:row>23</xdr:row>
      <xdr:rowOff>352285</xdr:rowOff>
    </xdr:to>
    <xdr:sp macro="" textlink="">
      <xdr:nvSpPr>
        <xdr:cNvPr id="260" name="Дуга 259"/>
        <xdr:cNvSpPr/>
      </xdr:nvSpPr>
      <xdr:spPr>
        <a:xfrm rot="5400000" flipH="1">
          <a:off x="964632" y="10241067"/>
          <a:ext cx="1073543" cy="1263459"/>
        </a:xfrm>
        <a:prstGeom prst="arc">
          <a:avLst>
            <a:gd name="adj1" fmla="val 16144932"/>
            <a:gd name="adj2" fmla="val 0"/>
          </a:avLst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175764</xdr:colOff>
      <xdr:row>20</xdr:row>
      <xdr:rowOff>298174</xdr:rowOff>
    </xdr:from>
    <xdr:to>
      <xdr:col>3</xdr:col>
      <xdr:colOff>147136</xdr:colOff>
      <xdr:row>21</xdr:row>
      <xdr:rowOff>668424</xdr:rowOff>
    </xdr:to>
    <xdr:sp macro="" textlink="">
      <xdr:nvSpPr>
        <xdr:cNvPr id="261" name="Дуга 260"/>
        <xdr:cNvSpPr/>
      </xdr:nvSpPr>
      <xdr:spPr>
        <a:xfrm rot="5400000">
          <a:off x="986803" y="9169504"/>
          <a:ext cx="1065989" cy="1263459"/>
        </a:xfrm>
        <a:prstGeom prst="arc">
          <a:avLst/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440804</xdr:colOff>
      <xdr:row>21</xdr:row>
      <xdr:rowOff>527104</xdr:rowOff>
    </xdr:from>
    <xdr:to>
      <xdr:col>3</xdr:col>
      <xdr:colOff>145535</xdr:colOff>
      <xdr:row>22</xdr:row>
      <xdr:rowOff>120358</xdr:rowOff>
    </xdr:to>
    <xdr:sp macro="" textlink="">
      <xdr:nvSpPr>
        <xdr:cNvPr id="262" name="Овал 261"/>
        <xdr:cNvSpPr/>
      </xdr:nvSpPr>
      <xdr:spPr>
        <a:xfrm rot="5400000">
          <a:off x="1863173" y="10195148"/>
          <a:ext cx="288993" cy="284513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92611</xdr:colOff>
      <xdr:row>22</xdr:row>
      <xdr:rowOff>495300</xdr:rowOff>
    </xdr:from>
    <xdr:to>
      <xdr:col>3</xdr:col>
      <xdr:colOff>200611</xdr:colOff>
      <xdr:row>22</xdr:row>
      <xdr:rowOff>604491</xdr:rowOff>
    </xdr:to>
    <xdr:sp macro="" textlink="">
      <xdr:nvSpPr>
        <xdr:cNvPr id="263" name="Овал 262"/>
        <xdr:cNvSpPr/>
      </xdr:nvSpPr>
      <xdr:spPr>
        <a:xfrm rot="5400000">
          <a:off x="2096406" y="10857439"/>
          <a:ext cx="10919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147222</xdr:colOff>
      <xdr:row>21</xdr:row>
      <xdr:rowOff>25524</xdr:rowOff>
    </xdr:from>
    <xdr:to>
      <xdr:col>3</xdr:col>
      <xdr:colOff>147222</xdr:colOff>
      <xdr:row>22</xdr:row>
      <xdr:rowOff>540480</xdr:rowOff>
    </xdr:to>
    <xdr:cxnSp macro="">
      <xdr:nvCxnSpPr>
        <xdr:cNvPr id="264" name="Прямая соединительная линия 263"/>
        <xdr:cNvCxnSpPr/>
      </xdr:nvCxnSpPr>
      <xdr:spPr>
        <a:xfrm>
          <a:off x="2151613" y="9691328"/>
          <a:ext cx="0" cy="1210695"/>
        </a:xfrm>
        <a:prstGeom prst="line">
          <a:avLst/>
        </a:prstGeom>
        <a:ln w="50800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159208</xdr:colOff>
      <xdr:row>21</xdr:row>
      <xdr:rowOff>552559</xdr:rowOff>
    </xdr:from>
    <xdr:to>
      <xdr:col>3</xdr:col>
      <xdr:colOff>286284</xdr:colOff>
      <xdr:row>21</xdr:row>
      <xdr:rowOff>678665</xdr:rowOff>
    </xdr:to>
    <xdr:grpSp>
      <xdr:nvGrpSpPr>
        <xdr:cNvPr id="265" name="Группа 264"/>
        <xdr:cNvGrpSpPr/>
      </xdr:nvGrpSpPr>
      <xdr:grpSpPr>
        <a:xfrm flipH="1">
          <a:off x="2186672" y="10227238"/>
          <a:ext cx="127076" cy="126106"/>
          <a:chOff x="1132242" y="1306343"/>
          <a:chExt cx="123151" cy="128030"/>
        </a:xfrm>
      </xdr:grpSpPr>
      <xdr:cxnSp macro="">
        <xdr:nvCxnSpPr>
          <xdr:cNvPr id="266" name="Прямая соединительная линия 26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7" name="Прямоугольник 26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81005</xdr:colOff>
      <xdr:row>24</xdr:row>
      <xdr:rowOff>105121</xdr:rowOff>
    </xdr:from>
    <xdr:to>
      <xdr:col>3</xdr:col>
      <xdr:colOff>225005</xdr:colOff>
      <xdr:row>24</xdr:row>
      <xdr:rowOff>249535</xdr:rowOff>
    </xdr:to>
    <xdr:sp macro="" textlink="">
      <xdr:nvSpPr>
        <xdr:cNvPr id="268" name="Овал 267"/>
        <xdr:cNvSpPr/>
      </xdr:nvSpPr>
      <xdr:spPr>
        <a:xfrm>
          <a:off x="2085396" y="11858143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93967</xdr:colOff>
      <xdr:row>23</xdr:row>
      <xdr:rowOff>424743</xdr:rowOff>
    </xdr:from>
    <xdr:to>
      <xdr:col>6</xdr:col>
      <xdr:colOff>380959</xdr:colOff>
      <xdr:row>24</xdr:row>
      <xdr:rowOff>281454</xdr:rowOff>
    </xdr:to>
    <xdr:grpSp>
      <xdr:nvGrpSpPr>
        <xdr:cNvPr id="35" name="Группа 34"/>
        <xdr:cNvGrpSpPr/>
      </xdr:nvGrpSpPr>
      <xdr:grpSpPr>
        <a:xfrm>
          <a:off x="2706538" y="11487350"/>
          <a:ext cx="2015100" cy="550675"/>
          <a:chOff x="2678141" y="11482026"/>
          <a:chExt cx="2009775" cy="552450"/>
        </a:xfrm>
      </xdr:grpSpPr>
      <xdr:sp macro="" textlink="">
        <xdr:nvSpPr>
          <xdr:cNvPr id="271" name="Прямоугольник 270"/>
          <xdr:cNvSpPr/>
        </xdr:nvSpPr>
        <xdr:spPr>
          <a:xfrm>
            <a:off x="2678141" y="11482026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272" name="Прямоугольник 271"/>
          <xdr:cNvSpPr/>
        </xdr:nvSpPr>
        <xdr:spPr>
          <a:xfrm>
            <a:off x="2782916" y="11558226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8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273" name="Стрелка вправо 272"/>
          <xdr:cNvSpPr/>
        </xdr:nvSpPr>
        <xdr:spPr>
          <a:xfrm>
            <a:off x="4221191" y="11615376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8283</xdr:colOff>
      <xdr:row>23</xdr:row>
      <xdr:rowOff>670891</xdr:rowOff>
    </xdr:from>
    <xdr:to>
      <xdr:col>3</xdr:col>
      <xdr:colOff>546653</xdr:colOff>
      <xdr:row>24</xdr:row>
      <xdr:rowOff>579782</xdr:rowOff>
    </xdr:to>
    <xdr:sp macro="" textlink="">
      <xdr:nvSpPr>
        <xdr:cNvPr id="462" name="Полилиния 461"/>
        <xdr:cNvSpPr/>
      </xdr:nvSpPr>
      <xdr:spPr>
        <a:xfrm>
          <a:off x="2012674" y="11728174"/>
          <a:ext cx="538370" cy="604630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8370" h="604630">
              <a:moveTo>
                <a:pt x="0" y="604630"/>
              </a:moveTo>
              <a:lnTo>
                <a:pt x="0" y="24848"/>
              </a:lnTo>
              <a:lnTo>
                <a:pt x="53837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541151</xdr:colOff>
      <xdr:row>26</xdr:row>
      <xdr:rowOff>508907</xdr:rowOff>
    </xdr:from>
    <xdr:to>
      <xdr:col>3</xdr:col>
      <xdr:colOff>68126</xdr:colOff>
      <xdr:row>26</xdr:row>
      <xdr:rowOff>616907</xdr:rowOff>
    </xdr:to>
    <xdr:sp macro="" textlink="">
      <xdr:nvSpPr>
        <xdr:cNvPr id="224" name="Овал 223"/>
        <xdr:cNvSpPr/>
      </xdr:nvSpPr>
      <xdr:spPr>
        <a:xfrm rot="5400000">
          <a:off x="1969901" y="1367245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25</xdr:row>
      <xdr:rowOff>76200</xdr:rowOff>
    </xdr:from>
    <xdr:to>
      <xdr:col>3</xdr:col>
      <xdr:colOff>11656</xdr:colOff>
      <xdr:row>26</xdr:row>
      <xdr:rowOff>0</xdr:rowOff>
    </xdr:to>
    <xdr:cxnSp macro="">
      <xdr:nvCxnSpPr>
        <xdr:cNvPr id="225" name="Прямая соединительная линия 224"/>
        <xdr:cNvCxnSpPr/>
      </xdr:nvCxnSpPr>
      <xdr:spPr>
        <a:xfrm>
          <a:off x="2021431" y="12544425"/>
          <a:ext cx="0" cy="619125"/>
        </a:xfrm>
        <a:prstGeom prst="line">
          <a:avLst/>
        </a:prstGeom>
        <a:ln w="50800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25</xdr:row>
      <xdr:rowOff>608804</xdr:rowOff>
    </xdr:from>
    <xdr:to>
      <xdr:col>3</xdr:col>
      <xdr:colOff>264335</xdr:colOff>
      <xdr:row>26</xdr:row>
      <xdr:rowOff>32445</xdr:rowOff>
    </xdr:to>
    <xdr:grpSp>
      <xdr:nvGrpSpPr>
        <xdr:cNvPr id="226" name="Группа 225"/>
        <xdr:cNvGrpSpPr/>
      </xdr:nvGrpSpPr>
      <xdr:grpSpPr>
        <a:xfrm rot="10800000">
          <a:off x="1747157" y="13059340"/>
          <a:ext cx="544642" cy="117605"/>
          <a:chOff x="760945" y="5714381"/>
          <a:chExt cx="364368" cy="118966"/>
        </a:xfrm>
      </xdr:grpSpPr>
      <xdr:grpSp>
        <xdr:nvGrpSpPr>
          <xdr:cNvPr id="227" name="Группа 226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231" name="Овал 230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232" name="Прямая со стрелкой 231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228" name="Группа 227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229" name="Овал 228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230" name="Прямая со стрелкой 229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10066</xdr:colOff>
      <xdr:row>26</xdr:row>
      <xdr:rowOff>4826</xdr:rowOff>
    </xdr:from>
    <xdr:to>
      <xdr:col>3</xdr:col>
      <xdr:colOff>137363</xdr:colOff>
      <xdr:row>26</xdr:row>
      <xdr:rowOff>130711</xdr:rowOff>
    </xdr:to>
    <xdr:grpSp>
      <xdr:nvGrpSpPr>
        <xdr:cNvPr id="233" name="Группа 232"/>
        <xdr:cNvGrpSpPr/>
      </xdr:nvGrpSpPr>
      <xdr:grpSpPr>
        <a:xfrm rot="5400000" flipH="1">
          <a:off x="2038236" y="13148620"/>
          <a:ext cx="125885" cy="127297"/>
          <a:chOff x="1132242" y="1306343"/>
          <a:chExt cx="123151" cy="128030"/>
        </a:xfrm>
      </xdr:grpSpPr>
      <xdr:cxnSp macro="">
        <xdr:nvCxnSpPr>
          <xdr:cNvPr id="234" name="Прямая соединительная линия 23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5" name="Прямоугольник 23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11656</xdr:colOff>
      <xdr:row>25</xdr:row>
      <xdr:rowOff>676275</xdr:rowOff>
    </xdr:from>
    <xdr:to>
      <xdr:col>3</xdr:col>
      <xdr:colOff>11656</xdr:colOff>
      <xdr:row>26</xdr:row>
      <xdr:rowOff>569457</xdr:rowOff>
    </xdr:to>
    <xdr:cxnSp macro="">
      <xdr:nvCxnSpPr>
        <xdr:cNvPr id="236" name="Прямая соединительная линия 235"/>
        <xdr:cNvCxnSpPr/>
      </xdr:nvCxnSpPr>
      <xdr:spPr>
        <a:xfrm>
          <a:off x="2021431" y="13144500"/>
          <a:ext cx="0" cy="588507"/>
        </a:xfrm>
        <a:prstGeom prst="line">
          <a:avLst/>
        </a:prstGeom>
        <a:ln w="5080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579561</xdr:colOff>
      <xdr:row>27</xdr:row>
      <xdr:rowOff>114300</xdr:rowOff>
    </xdr:from>
    <xdr:to>
      <xdr:col>2</xdr:col>
      <xdr:colOff>579561</xdr:colOff>
      <xdr:row>28</xdr:row>
      <xdr:rowOff>602798</xdr:rowOff>
    </xdr:to>
    <xdr:cxnSp macro="">
      <xdr:nvCxnSpPr>
        <xdr:cNvPr id="237" name="Прямая соединительная линия 236"/>
        <xdr:cNvCxnSpPr/>
      </xdr:nvCxnSpPr>
      <xdr:spPr>
        <a:xfrm flipV="1">
          <a:off x="2008311" y="13973175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28</xdr:row>
      <xdr:rowOff>538843</xdr:rowOff>
    </xdr:from>
    <xdr:to>
      <xdr:col>3</xdr:col>
      <xdr:colOff>53467</xdr:colOff>
      <xdr:row>28</xdr:row>
      <xdr:rowOff>646843</xdr:rowOff>
    </xdr:to>
    <xdr:sp macro="" textlink="">
      <xdr:nvSpPr>
        <xdr:cNvPr id="238" name="Овал 237"/>
        <xdr:cNvSpPr/>
      </xdr:nvSpPr>
      <xdr:spPr>
        <a:xfrm>
          <a:off x="1955242" y="150930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27</xdr:row>
      <xdr:rowOff>662668</xdr:rowOff>
    </xdr:from>
    <xdr:to>
      <xdr:col>3</xdr:col>
      <xdr:colOff>279967</xdr:colOff>
      <xdr:row>28</xdr:row>
      <xdr:rowOff>111343</xdr:rowOff>
    </xdr:to>
    <xdr:sp macro="" textlink="">
      <xdr:nvSpPr>
        <xdr:cNvPr id="239" name="Овал 238"/>
        <xdr:cNvSpPr/>
      </xdr:nvSpPr>
      <xdr:spPr>
        <a:xfrm>
          <a:off x="2145742" y="1452154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438150</xdr:colOff>
      <xdr:row>27</xdr:row>
      <xdr:rowOff>568570</xdr:rowOff>
    </xdr:from>
    <xdr:to>
      <xdr:col>2</xdr:col>
      <xdr:colOff>561837</xdr:colOff>
      <xdr:row>28</xdr:row>
      <xdr:rowOff>1275</xdr:rowOff>
    </xdr:to>
    <xdr:grpSp>
      <xdr:nvGrpSpPr>
        <xdr:cNvPr id="240" name="Группа 239"/>
        <xdr:cNvGrpSpPr/>
      </xdr:nvGrpSpPr>
      <xdr:grpSpPr>
        <a:xfrm>
          <a:off x="1880507" y="14407034"/>
          <a:ext cx="123687" cy="126670"/>
          <a:chOff x="1132242" y="1306343"/>
          <a:chExt cx="123151" cy="128030"/>
        </a:xfrm>
      </xdr:grpSpPr>
      <xdr:cxnSp macro="">
        <xdr:nvCxnSpPr>
          <xdr:cNvPr id="241" name="Прямая соединительная линия 24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2" name="Прямоугольник 24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76200</xdr:colOff>
      <xdr:row>27</xdr:row>
      <xdr:rowOff>381000</xdr:rowOff>
    </xdr:from>
    <xdr:to>
      <xdr:col>4</xdr:col>
      <xdr:colOff>685853</xdr:colOff>
      <xdr:row>28</xdr:row>
      <xdr:rowOff>300091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4239875"/>
          <a:ext cx="609653" cy="614416"/>
        </a:xfrm>
        <a:prstGeom prst="rect">
          <a:avLst/>
        </a:prstGeom>
      </xdr:spPr>
    </xdr:pic>
    <xdr:clientData/>
  </xdr:twoCellAnchor>
  <xdr:twoCellAnchor>
    <xdr:from>
      <xdr:col>3</xdr:col>
      <xdr:colOff>94050</xdr:colOff>
      <xdr:row>32</xdr:row>
      <xdr:rowOff>498669</xdr:rowOff>
    </xdr:from>
    <xdr:to>
      <xdr:col>3</xdr:col>
      <xdr:colOff>203731</xdr:colOff>
      <xdr:row>32</xdr:row>
      <xdr:rowOff>606669</xdr:rowOff>
    </xdr:to>
    <xdr:sp macro="" textlink="">
      <xdr:nvSpPr>
        <xdr:cNvPr id="244" name="Овал 243"/>
        <xdr:cNvSpPr/>
      </xdr:nvSpPr>
      <xdr:spPr>
        <a:xfrm>
          <a:off x="2103825" y="1783416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409575</xdr:colOff>
      <xdr:row>31</xdr:row>
      <xdr:rowOff>114300</xdr:rowOff>
    </xdr:from>
    <xdr:to>
      <xdr:col>3</xdr:col>
      <xdr:colOff>150991</xdr:colOff>
      <xdr:row>31</xdr:row>
      <xdr:rowOff>438982</xdr:rowOff>
    </xdr:to>
    <xdr:sp macro="" textlink="">
      <xdr:nvSpPr>
        <xdr:cNvPr id="245" name="Дуга 244"/>
        <xdr:cNvSpPr/>
      </xdr:nvSpPr>
      <xdr:spPr>
        <a:xfrm>
          <a:off x="1838325" y="16754475"/>
          <a:ext cx="322441" cy="324682"/>
        </a:xfrm>
        <a:prstGeom prst="arc">
          <a:avLst>
            <a:gd name="adj1" fmla="val 10831190"/>
            <a:gd name="adj2" fmla="val 0"/>
          </a:avLst>
        </a:prstGeom>
        <a:noFill/>
        <a:ln w="5080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148014</xdr:colOff>
      <xdr:row>31</xdr:row>
      <xdr:rowOff>314325</xdr:rowOff>
    </xdr:from>
    <xdr:to>
      <xdr:col>3</xdr:col>
      <xdr:colOff>148014</xdr:colOff>
      <xdr:row>32</xdr:row>
      <xdr:rowOff>566233</xdr:rowOff>
    </xdr:to>
    <xdr:cxnSp macro="">
      <xdr:nvCxnSpPr>
        <xdr:cNvPr id="246" name="Прямая соединительная линия 245"/>
        <xdr:cNvCxnSpPr/>
      </xdr:nvCxnSpPr>
      <xdr:spPr>
        <a:xfrm flipV="1">
          <a:off x="2157789" y="16954500"/>
          <a:ext cx="0" cy="947233"/>
        </a:xfrm>
        <a:prstGeom prst="line">
          <a:avLst/>
        </a:prstGeom>
        <a:ln w="5080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167541</xdr:colOff>
      <xdr:row>32</xdr:row>
      <xdr:rowOff>419958</xdr:rowOff>
    </xdr:from>
    <xdr:to>
      <xdr:col>3</xdr:col>
      <xdr:colOff>295107</xdr:colOff>
      <xdr:row>32</xdr:row>
      <xdr:rowOff>547255</xdr:rowOff>
    </xdr:to>
    <xdr:grpSp>
      <xdr:nvGrpSpPr>
        <xdr:cNvPr id="247" name="Группа 246"/>
        <xdr:cNvGrpSpPr/>
      </xdr:nvGrpSpPr>
      <xdr:grpSpPr>
        <a:xfrm flipH="1">
          <a:off x="2195005" y="17728244"/>
          <a:ext cx="127566" cy="127297"/>
          <a:chOff x="1132242" y="1306343"/>
          <a:chExt cx="123151" cy="128030"/>
        </a:xfrm>
      </xdr:grpSpPr>
      <xdr:cxnSp macro="">
        <xdr:nvCxnSpPr>
          <xdr:cNvPr id="248" name="Прямая соединительная линия 24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9" name="Прямоугольник 24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412165</xdr:colOff>
      <xdr:row>31</xdr:row>
      <xdr:rowOff>323850</xdr:rowOff>
    </xdr:from>
    <xdr:to>
      <xdr:col>2</xdr:col>
      <xdr:colOff>412165</xdr:colOff>
      <xdr:row>32</xdr:row>
      <xdr:rowOff>615733</xdr:rowOff>
    </xdr:to>
    <xdr:cxnSp macro="">
      <xdr:nvCxnSpPr>
        <xdr:cNvPr id="250" name="Прямая соединительная линия 249"/>
        <xdr:cNvCxnSpPr/>
      </xdr:nvCxnSpPr>
      <xdr:spPr>
        <a:xfrm>
          <a:off x="1840915" y="16964025"/>
          <a:ext cx="0" cy="987208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579561</xdr:colOff>
      <xdr:row>29</xdr:row>
      <xdr:rowOff>85725</xdr:rowOff>
    </xdr:from>
    <xdr:to>
      <xdr:col>2</xdr:col>
      <xdr:colOff>579561</xdr:colOff>
      <xdr:row>30</xdr:row>
      <xdr:rowOff>574223</xdr:rowOff>
    </xdr:to>
    <xdr:cxnSp macro="">
      <xdr:nvCxnSpPr>
        <xdr:cNvPr id="274" name="Прямая соединительная линия 273"/>
        <xdr:cNvCxnSpPr/>
      </xdr:nvCxnSpPr>
      <xdr:spPr>
        <a:xfrm flipV="1">
          <a:off x="2008311" y="15335250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30</xdr:row>
      <xdr:rowOff>510268</xdr:rowOff>
    </xdr:from>
    <xdr:to>
      <xdr:col>3</xdr:col>
      <xdr:colOff>53467</xdr:colOff>
      <xdr:row>30</xdr:row>
      <xdr:rowOff>618268</xdr:rowOff>
    </xdr:to>
    <xdr:sp macro="" textlink="">
      <xdr:nvSpPr>
        <xdr:cNvPr id="275" name="Овал 274"/>
        <xdr:cNvSpPr/>
      </xdr:nvSpPr>
      <xdr:spPr>
        <a:xfrm>
          <a:off x="1955242" y="1645511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29</xdr:row>
      <xdr:rowOff>634093</xdr:rowOff>
    </xdr:from>
    <xdr:to>
      <xdr:col>3</xdr:col>
      <xdr:colOff>279967</xdr:colOff>
      <xdr:row>30</xdr:row>
      <xdr:rowOff>82768</xdr:rowOff>
    </xdr:to>
    <xdr:sp macro="" textlink="">
      <xdr:nvSpPr>
        <xdr:cNvPr id="276" name="Овал 275"/>
        <xdr:cNvSpPr/>
      </xdr:nvSpPr>
      <xdr:spPr>
        <a:xfrm>
          <a:off x="2145742" y="1588361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438150</xdr:colOff>
      <xdr:row>29</xdr:row>
      <xdr:rowOff>539995</xdr:rowOff>
    </xdr:from>
    <xdr:to>
      <xdr:col>2</xdr:col>
      <xdr:colOff>561837</xdr:colOff>
      <xdr:row>29</xdr:row>
      <xdr:rowOff>668025</xdr:rowOff>
    </xdr:to>
    <xdr:grpSp>
      <xdr:nvGrpSpPr>
        <xdr:cNvPr id="277" name="Группа 276"/>
        <xdr:cNvGrpSpPr/>
      </xdr:nvGrpSpPr>
      <xdr:grpSpPr>
        <a:xfrm>
          <a:off x="1880507" y="15766388"/>
          <a:ext cx="123687" cy="128030"/>
          <a:chOff x="1132242" y="1306343"/>
          <a:chExt cx="123151" cy="128030"/>
        </a:xfrm>
      </xdr:grpSpPr>
      <xdr:cxnSp macro="">
        <xdr:nvCxnSpPr>
          <xdr:cNvPr id="278" name="Прямая соединительная линия 27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9" name="Прямоугольник 27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100013</xdr:colOff>
      <xdr:row>29</xdr:row>
      <xdr:rowOff>400050</xdr:rowOff>
    </xdr:from>
    <xdr:to>
      <xdr:col>4</xdr:col>
      <xdr:colOff>709666</xdr:colOff>
      <xdr:row>30</xdr:row>
      <xdr:rowOff>314378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6" y="15532894"/>
          <a:ext cx="609653" cy="604890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41</xdr:row>
      <xdr:rowOff>381000</xdr:rowOff>
    </xdr:from>
    <xdr:ext cx="609653" cy="614416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18411825"/>
          <a:ext cx="609653" cy="614416"/>
        </a:xfrm>
        <a:prstGeom prst="rect">
          <a:avLst/>
        </a:prstGeom>
      </xdr:spPr>
    </xdr:pic>
    <xdr:clientData/>
  </xdr:oneCellAnchor>
  <xdr:twoCellAnchor>
    <xdr:from>
      <xdr:col>2</xdr:col>
      <xdr:colOff>522827</xdr:colOff>
      <xdr:row>36</xdr:row>
      <xdr:rowOff>508901</xdr:rowOff>
    </xdr:from>
    <xdr:to>
      <xdr:col>3</xdr:col>
      <xdr:colOff>49802</xdr:colOff>
      <xdr:row>36</xdr:row>
      <xdr:rowOff>623939</xdr:rowOff>
    </xdr:to>
    <xdr:sp macro="" textlink="">
      <xdr:nvSpPr>
        <xdr:cNvPr id="338" name="Овал 337"/>
        <xdr:cNvSpPr/>
      </xdr:nvSpPr>
      <xdr:spPr>
        <a:xfrm rot="5614795">
          <a:off x="1948058" y="22019870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69878</xdr:colOff>
      <xdr:row>35</xdr:row>
      <xdr:rowOff>676655</xdr:rowOff>
    </xdr:from>
    <xdr:to>
      <xdr:col>3</xdr:col>
      <xdr:colOff>511343</xdr:colOff>
      <xdr:row>36</xdr:row>
      <xdr:rowOff>43827</xdr:rowOff>
    </xdr:to>
    <xdr:cxnSp macro="">
      <xdr:nvCxnSpPr>
        <xdr:cNvPr id="339" name="Прямая соединительная линия 338"/>
        <xdr:cNvCxnSpPr/>
      </xdr:nvCxnSpPr>
      <xdr:spPr>
        <a:xfrm>
          <a:off x="1503641" y="21541418"/>
          <a:ext cx="1022991" cy="6400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131820</xdr:colOff>
      <xdr:row>35</xdr:row>
      <xdr:rowOff>253628</xdr:rowOff>
    </xdr:from>
    <xdr:to>
      <xdr:col>3</xdr:col>
      <xdr:colOff>211697</xdr:colOff>
      <xdr:row>36</xdr:row>
      <xdr:rowOff>17111</xdr:rowOff>
    </xdr:to>
    <xdr:cxnSp macro="">
      <xdr:nvCxnSpPr>
        <xdr:cNvPr id="344" name="Прямая соединительная линия 343"/>
        <xdr:cNvCxnSpPr/>
      </xdr:nvCxnSpPr>
      <xdr:spPr>
        <a:xfrm rot="5614795" flipH="1" flipV="1">
          <a:off x="1952130" y="21255218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541151</xdr:colOff>
      <xdr:row>34</xdr:row>
      <xdr:rowOff>537482</xdr:rowOff>
    </xdr:from>
    <xdr:to>
      <xdr:col>3</xdr:col>
      <xdr:colOff>68126</xdr:colOff>
      <xdr:row>34</xdr:row>
      <xdr:rowOff>645482</xdr:rowOff>
    </xdr:to>
    <xdr:sp macro="" textlink="">
      <xdr:nvSpPr>
        <xdr:cNvPr id="345" name="Овал 344"/>
        <xdr:cNvSpPr/>
      </xdr:nvSpPr>
      <xdr:spPr>
        <a:xfrm rot="5400000">
          <a:off x="1969901" y="2065428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33</xdr:row>
      <xdr:rowOff>104775</xdr:rowOff>
    </xdr:from>
    <xdr:to>
      <xdr:col>3</xdr:col>
      <xdr:colOff>11656</xdr:colOff>
      <xdr:row>34</xdr:row>
      <xdr:rowOff>28575</xdr:rowOff>
    </xdr:to>
    <xdr:cxnSp macro="">
      <xdr:nvCxnSpPr>
        <xdr:cNvPr id="346" name="Прямая соединительная линия 345"/>
        <xdr:cNvCxnSpPr/>
      </xdr:nvCxnSpPr>
      <xdr:spPr>
        <a:xfrm>
          <a:off x="2021431" y="19526250"/>
          <a:ext cx="0" cy="619125"/>
        </a:xfrm>
        <a:prstGeom prst="line">
          <a:avLst/>
        </a:prstGeom>
        <a:ln w="50800">
          <a:solidFill>
            <a:schemeClr val="tx1"/>
          </a:solidFill>
          <a:prstDash val="solid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33</xdr:row>
      <xdr:rowOff>637379</xdr:rowOff>
    </xdr:from>
    <xdr:to>
      <xdr:col>3</xdr:col>
      <xdr:colOff>264335</xdr:colOff>
      <xdr:row>34</xdr:row>
      <xdr:rowOff>61020</xdr:rowOff>
    </xdr:to>
    <xdr:grpSp>
      <xdr:nvGrpSpPr>
        <xdr:cNvPr id="348" name="Группа 347"/>
        <xdr:cNvGrpSpPr/>
      </xdr:nvGrpSpPr>
      <xdr:grpSpPr>
        <a:xfrm rot="10800000">
          <a:off x="1747157" y="18639629"/>
          <a:ext cx="544642" cy="117605"/>
          <a:chOff x="760945" y="5714381"/>
          <a:chExt cx="364368" cy="118966"/>
        </a:xfrm>
      </xdr:grpSpPr>
      <xdr:grpSp>
        <xdr:nvGrpSpPr>
          <xdr:cNvPr id="349" name="Группа 348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355" name="Овал 35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356" name="Прямая со стрелкой 35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350" name="Группа 349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351" name="Овал 350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352" name="Прямая со стрелкой 351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11656</xdr:colOff>
      <xdr:row>34</xdr:row>
      <xdr:rowOff>9525</xdr:rowOff>
    </xdr:from>
    <xdr:to>
      <xdr:col>3</xdr:col>
      <xdr:colOff>11656</xdr:colOff>
      <xdr:row>34</xdr:row>
      <xdr:rowOff>598032</xdr:rowOff>
    </xdr:to>
    <xdr:cxnSp macro="">
      <xdr:nvCxnSpPr>
        <xdr:cNvPr id="360" name="Прямая соединительная линия 359"/>
        <xdr:cNvCxnSpPr/>
      </xdr:nvCxnSpPr>
      <xdr:spPr>
        <a:xfrm>
          <a:off x="2021431" y="20126325"/>
          <a:ext cx="0" cy="588507"/>
        </a:xfrm>
        <a:prstGeom prst="line">
          <a:avLst/>
        </a:prstGeom>
        <a:ln w="50800">
          <a:solidFill>
            <a:schemeClr val="tx1"/>
          </a:solidFill>
          <a:prstDash val="sys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555700</xdr:rowOff>
    </xdr:to>
    <xdr:cxnSp macro="">
      <xdr:nvCxnSpPr>
        <xdr:cNvPr id="361" name="Прямая соединительная линия 360"/>
        <xdr:cNvCxnSpPr/>
      </xdr:nvCxnSpPr>
      <xdr:spPr>
        <a:xfrm flipV="1">
          <a:off x="2009775" y="21507450"/>
          <a:ext cx="0" cy="5557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36</xdr:row>
      <xdr:rowOff>9525</xdr:rowOff>
    </xdr:from>
    <xdr:to>
      <xdr:col>3</xdr:col>
      <xdr:colOff>570999</xdr:colOff>
      <xdr:row>36</xdr:row>
      <xdr:rowOff>533400</xdr:rowOff>
    </xdr:to>
    <xdr:sp macro="" textlink="">
      <xdr:nvSpPr>
        <xdr:cNvPr id="463" name="Полилиния 462"/>
        <xdr:cNvSpPr/>
      </xdr:nvSpPr>
      <xdr:spPr>
        <a:xfrm>
          <a:off x="2009775" y="21516975"/>
          <a:ext cx="570999" cy="523875"/>
        </a:xfrm>
        <a:custGeom>
          <a:avLst/>
          <a:gdLst>
            <a:gd name="connsiteX0" fmla="*/ 0 w 485775"/>
            <a:gd name="connsiteY0" fmla="*/ 523875 h 523875"/>
            <a:gd name="connsiteX1" fmla="*/ 0 w 485775"/>
            <a:gd name="connsiteY1" fmla="*/ 0 h 523875"/>
            <a:gd name="connsiteX2" fmla="*/ 485775 w 485775"/>
            <a:gd name="connsiteY2" fmla="*/ 38100 h 523875"/>
            <a:gd name="connsiteX0" fmla="*/ 0 w 570999"/>
            <a:gd name="connsiteY0" fmla="*/ 523875 h 523875"/>
            <a:gd name="connsiteX1" fmla="*/ 0 w 570999"/>
            <a:gd name="connsiteY1" fmla="*/ 0 h 523875"/>
            <a:gd name="connsiteX2" fmla="*/ 570999 w 570999"/>
            <a:gd name="connsiteY2" fmla="*/ 48126 h 52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0999" h="523875">
              <a:moveTo>
                <a:pt x="0" y="523875"/>
              </a:moveTo>
              <a:lnTo>
                <a:pt x="0" y="0"/>
              </a:lnTo>
              <a:lnTo>
                <a:pt x="570999" y="48126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579561</xdr:colOff>
      <xdr:row>45</xdr:row>
      <xdr:rowOff>95250</xdr:rowOff>
    </xdr:from>
    <xdr:to>
      <xdr:col>2</xdr:col>
      <xdr:colOff>579561</xdr:colOff>
      <xdr:row>46</xdr:row>
      <xdr:rowOff>583748</xdr:rowOff>
    </xdr:to>
    <xdr:cxnSp macro="">
      <xdr:nvCxnSpPr>
        <xdr:cNvPr id="295" name="Прямая соединительная линия 294"/>
        <xdr:cNvCxnSpPr/>
      </xdr:nvCxnSpPr>
      <xdr:spPr>
        <a:xfrm flipV="1">
          <a:off x="2008311" y="4037647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46</xdr:row>
      <xdr:rowOff>519793</xdr:rowOff>
    </xdr:from>
    <xdr:to>
      <xdr:col>3</xdr:col>
      <xdr:colOff>53467</xdr:colOff>
      <xdr:row>46</xdr:row>
      <xdr:rowOff>627793</xdr:rowOff>
    </xdr:to>
    <xdr:sp macro="" textlink="">
      <xdr:nvSpPr>
        <xdr:cNvPr id="296" name="Овал 295"/>
        <xdr:cNvSpPr/>
      </xdr:nvSpPr>
      <xdr:spPr>
        <a:xfrm>
          <a:off x="1955242" y="414963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579561</xdr:colOff>
      <xdr:row>43</xdr:row>
      <xdr:rowOff>104775</xdr:rowOff>
    </xdr:from>
    <xdr:to>
      <xdr:col>2</xdr:col>
      <xdr:colOff>579561</xdr:colOff>
      <xdr:row>44</xdr:row>
      <xdr:rowOff>593273</xdr:rowOff>
    </xdr:to>
    <xdr:cxnSp macro="">
      <xdr:nvCxnSpPr>
        <xdr:cNvPr id="301" name="Прямая соединительная линия 300"/>
        <xdr:cNvCxnSpPr/>
      </xdr:nvCxnSpPr>
      <xdr:spPr>
        <a:xfrm flipV="1">
          <a:off x="2008311" y="38995350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44</xdr:row>
      <xdr:rowOff>529318</xdr:rowOff>
    </xdr:from>
    <xdr:to>
      <xdr:col>3</xdr:col>
      <xdr:colOff>53467</xdr:colOff>
      <xdr:row>44</xdr:row>
      <xdr:rowOff>637318</xdr:rowOff>
    </xdr:to>
    <xdr:sp macro="" textlink="">
      <xdr:nvSpPr>
        <xdr:cNvPr id="302" name="Овал 301"/>
        <xdr:cNvSpPr/>
      </xdr:nvSpPr>
      <xdr:spPr>
        <a:xfrm>
          <a:off x="1955242" y="4011521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126442</xdr:colOff>
      <xdr:row>43</xdr:row>
      <xdr:rowOff>653143</xdr:rowOff>
    </xdr:from>
    <xdr:to>
      <xdr:col>3</xdr:col>
      <xdr:colOff>270442</xdr:colOff>
      <xdr:row>44</xdr:row>
      <xdr:rowOff>101818</xdr:rowOff>
    </xdr:to>
    <xdr:sp macro="" textlink="">
      <xdr:nvSpPr>
        <xdr:cNvPr id="303" name="Овал 302"/>
        <xdr:cNvSpPr/>
      </xdr:nvSpPr>
      <xdr:spPr>
        <a:xfrm>
          <a:off x="2136217" y="3954371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7354</xdr:colOff>
      <xdr:row>43</xdr:row>
      <xdr:rowOff>561217</xdr:rowOff>
    </xdr:from>
    <xdr:to>
      <xdr:col>3</xdr:col>
      <xdr:colOff>135384</xdr:colOff>
      <xdr:row>43</xdr:row>
      <xdr:rowOff>684904</xdr:rowOff>
    </xdr:to>
    <xdr:grpSp>
      <xdr:nvGrpSpPr>
        <xdr:cNvPr id="304" name="Группа 303"/>
        <xdr:cNvGrpSpPr/>
      </xdr:nvGrpSpPr>
      <xdr:grpSpPr>
        <a:xfrm rot="5400000">
          <a:off x="2036989" y="25500939"/>
          <a:ext cx="123687" cy="128030"/>
          <a:chOff x="1132242" y="1306343"/>
          <a:chExt cx="123151" cy="128030"/>
        </a:xfrm>
      </xdr:grpSpPr>
      <xdr:cxnSp macro="">
        <xdr:nvCxnSpPr>
          <xdr:cNvPr id="305" name="Прямая соединительная линия 30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6" name="Прямоугольник 30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303934</xdr:colOff>
      <xdr:row>43</xdr:row>
      <xdr:rowOff>146483</xdr:rowOff>
    </xdr:from>
    <xdr:to>
      <xdr:col>6</xdr:col>
      <xdr:colOff>294409</xdr:colOff>
      <xdr:row>43</xdr:row>
      <xdr:rowOff>544758</xdr:rowOff>
    </xdr:to>
    <xdr:sp macro="" textlink="">
      <xdr:nvSpPr>
        <xdr:cNvPr id="307" name="Прямоугольник 306"/>
        <xdr:cNvSpPr/>
      </xdr:nvSpPr>
      <xdr:spPr>
        <a:xfrm>
          <a:off x="2916505" y="22312519"/>
          <a:ext cx="1718583" cy="3982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СМОЛЕНСК</a:t>
          </a:r>
        </a:p>
      </xdr:txBody>
    </xdr:sp>
    <xdr:clientData/>
  </xdr:twoCellAnchor>
  <xdr:twoCellAnchor>
    <xdr:from>
      <xdr:col>4</xdr:col>
      <xdr:colOff>684934</xdr:colOff>
      <xdr:row>43</xdr:row>
      <xdr:rowOff>169863</xdr:rowOff>
    </xdr:from>
    <xdr:to>
      <xdr:col>5</xdr:col>
      <xdr:colOff>477116</xdr:colOff>
      <xdr:row>43</xdr:row>
      <xdr:rowOff>518781</xdr:rowOff>
    </xdr:to>
    <xdr:cxnSp macro="">
      <xdr:nvCxnSpPr>
        <xdr:cNvPr id="308" name="Прямая соединительная линия 307"/>
        <xdr:cNvCxnSpPr/>
      </xdr:nvCxnSpPr>
      <xdr:spPr>
        <a:xfrm flipV="1">
          <a:off x="3297505" y="22335899"/>
          <a:ext cx="935182" cy="348918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7354</xdr:colOff>
      <xdr:row>46</xdr:row>
      <xdr:rowOff>410934</xdr:rowOff>
    </xdr:from>
    <xdr:to>
      <xdr:col>3</xdr:col>
      <xdr:colOff>135384</xdr:colOff>
      <xdr:row>46</xdr:row>
      <xdr:rowOff>537796</xdr:rowOff>
    </xdr:to>
    <xdr:grpSp>
      <xdr:nvGrpSpPr>
        <xdr:cNvPr id="309" name="Группа 308"/>
        <xdr:cNvGrpSpPr/>
      </xdr:nvGrpSpPr>
      <xdr:grpSpPr>
        <a:xfrm rot="5400000">
          <a:off x="2035402" y="27434136"/>
          <a:ext cx="126862" cy="128030"/>
          <a:chOff x="1132242" y="1306343"/>
          <a:chExt cx="123151" cy="128030"/>
        </a:xfrm>
      </xdr:grpSpPr>
      <xdr:cxnSp macro="">
        <xdr:nvCxnSpPr>
          <xdr:cNvPr id="310" name="Прямая соединительная линия 30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1" name="Прямоугольник 31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579561</xdr:colOff>
      <xdr:row>57</xdr:row>
      <xdr:rowOff>95250</xdr:rowOff>
    </xdr:from>
    <xdr:to>
      <xdr:col>2</xdr:col>
      <xdr:colOff>579561</xdr:colOff>
      <xdr:row>58</xdr:row>
      <xdr:rowOff>583749</xdr:rowOff>
    </xdr:to>
    <xdr:cxnSp macro="">
      <xdr:nvCxnSpPr>
        <xdr:cNvPr id="318" name="Прямая соединительная линия 317"/>
        <xdr:cNvCxnSpPr/>
      </xdr:nvCxnSpPr>
      <xdr:spPr>
        <a:xfrm flipV="1">
          <a:off x="2021918" y="30588857"/>
          <a:ext cx="0" cy="11824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58</xdr:row>
      <xdr:rowOff>519794</xdr:rowOff>
    </xdr:from>
    <xdr:to>
      <xdr:col>3</xdr:col>
      <xdr:colOff>53467</xdr:colOff>
      <xdr:row>58</xdr:row>
      <xdr:rowOff>627794</xdr:rowOff>
    </xdr:to>
    <xdr:sp macro="" textlink="">
      <xdr:nvSpPr>
        <xdr:cNvPr id="319" name="Овал 318"/>
        <xdr:cNvSpPr/>
      </xdr:nvSpPr>
      <xdr:spPr>
        <a:xfrm>
          <a:off x="1968849" y="31707365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7354</xdr:colOff>
      <xdr:row>58</xdr:row>
      <xdr:rowOff>410936</xdr:rowOff>
    </xdr:from>
    <xdr:to>
      <xdr:col>3</xdr:col>
      <xdr:colOff>135384</xdr:colOff>
      <xdr:row>58</xdr:row>
      <xdr:rowOff>537799</xdr:rowOff>
    </xdr:to>
    <xdr:grpSp>
      <xdr:nvGrpSpPr>
        <xdr:cNvPr id="321" name="Группа 320"/>
        <xdr:cNvGrpSpPr/>
      </xdr:nvGrpSpPr>
      <xdr:grpSpPr>
        <a:xfrm rot="5400000">
          <a:off x="2035401" y="32985853"/>
          <a:ext cx="126863" cy="128030"/>
          <a:chOff x="1132242" y="1306343"/>
          <a:chExt cx="123151" cy="128030"/>
        </a:xfrm>
      </xdr:grpSpPr>
      <xdr:cxnSp macro="">
        <xdr:nvCxnSpPr>
          <xdr:cNvPr id="322" name="Прямая соединительная линия 32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3" name="Прямоугольник 32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61205</xdr:colOff>
      <xdr:row>62</xdr:row>
      <xdr:rowOff>486821</xdr:rowOff>
    </xdr:from>
    <xdr:to>
      <xdr:col>3</xdr:col>
      <xdr:colOff>170886</xdr:colOff>
      <xdr:row>62</xdr:row>
      <xdr:rowOff>594821</xdr:rowOff>
    </xdr:to>
    <xdr:sp macro="" textlink="">
      <xdr:nvSpPr>
        <xdr:cNvPr id="324" name="Овал 323"/>
        <xdr:cNvSpPr/>
      </xdr:nvSpPr>
      <xdr:spPr>
        <a:xfrm>
          <a:off x="2071308" y="40104252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124148</xdr:colOff>
      <xdr:row>61</xdr:row>
      <xdr:rowOff>104775</xdr:rowOff>
    </xdr:from>
    <xdr:to>
      <xdr:col>3</xdr:col>
      <xdr:colOff>124148</xdr:colOff>
      <xdr:row>62</xdr:row>
      <xdr:rowOff>559030</xdr:rowOff>
    </xdr:to>
    <xdr:cxnSp macro="">
      <xdr:nvCxnSpPr>
        <xdr:cNvPr id="325" name="Прямая соединительная линия 324"/>
        <xdr:cNvCxnSpPr/>
      </xdr:nvCxnSpPr>
      <xdr:spPr>
        <a:xfrm flipV="1">
          <a:off x="2134251" y="39025896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464171</xdr:colOff>
      <xdr:row>61</xdr:row>
      <xdr:rowOff>104775</xdr:rowOff>
    </xdr:from>
    <xdr:to>
      <xdr:col>2</xdr:col>
      <xdr:colOff>464171</xdr:colOff>
      <xdr:row>62</xdr:row>
      <xdr:rowOff>559030</xdr:rowOff>
    </xdr:to>
    <xdr:cxnSp macro="">
      <xdr:nvCxnSpPr>
        <xdr:cNvPr id="327" name="Прямая соединительная линия 326"/>
        <xdr:cNvCxnSpPr/>
      </xdr:nvCxnSpPr>
      <xdr:spPr>
        <a:xfrm>
          <a:off x="1896205" y="39025896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62</xdr:row>
      <xdr:rowOff>72118</xdr:rowOff>
    </xdr:from>
    <xdr:to>
      <xdr:col>3</xdr:col>
      <xdr:colOff>70417</xdr:colOff>
      <xdr:row>62</xdr:row>
      <xdr:rowOff>216119</xdr:rowOff>
    </xdr:to>
    <xdr:sp macro="" textlink="">
      <xdr:nvSpPr>
        <xdr:cNvPr id="335" name="Овал 334"/>
        <xdr:cNvSpPr/>
      </xdr:nvSpPr>
      <xdr:spPr>
        <a:xfrm>
          <a:off x="1936192" y="32704768"/>
          <a:ext cx="144000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124148</xdr:colOff>
      <xdr:row>61</xdr:row>
      <xdr:rowOff>47625</xdr:rowOff>
    </xdr:from>
    <xdr:to>
      <xdr:col>3</xdr:col>
      <xdr:colOff>124148</xdr:colOff>
      <xdr:row>62</xdr:row>
      <xdr:rowOff>559030</xdr:rowOff>
    </xdr:to>
    <xdr:cxnSp macro="">
      <xdr:nvCxnSpPr>
        <xdr:cNvPr id="340" name="Прямая соединительная линия 339"/>
        <xdr:cNvCxnSpPr/>
      </xdr:nvCxnSpPr>
      <xdr:spPr>
        <a:xfrm flipV="1">
          <a:off x="2134251" y="38968746"/>
          <a:ext cx="0" cy="120771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85725</xdr:colOff>
      <xdr:row>61</xdr:row>
      <xdr:rowOff>409575</xdr:rowOff>
    </xdr:from>
    <xdr:to>
      <xdr:col>4</xdr:col>
      <xdr:colOff>695378</xdr:colOff>
      <xdr:row>62</xdr:row>
      <xdr:rowOff>323902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2346900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59649</xdr:colOff>
      <xdr:row>72</xdr:row>
      <xdr:rowOff>496346</xdr:rowOff>
    </xdr:from>
    <xdr:to>
      <xdr:col>3</xdr:col>
      <xdr:colOff>169330</xdr:colOff>
      <xdr:row>72</xdr:row>
      <xdr:rowOff>604346</xdr:rowOff>
    </xdr:to>
    <xdr:sp macro="" textlink="">
      <xdr:nvSpPr>
        <xdr:cNvPr id="342" name="Овал 341"/>
        <xdr:cNvSpPr/>
      </xdr:nvSpPr>
      <xdr:spPr>
        <a:xfrm>
          <a:off x="2074938" y="45750122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71</xdr:row>
      <xdr:rowOff>114300</xdr:rowOff>
    </xdr:from>
    <xdr:to>
      <xdr:col>3</xdr:col>
      <xdr:colOff>117579</xdr:colOff>
      <xdr:row>72</xdr:row>
      <xdr:rowOff>568555</xdr:rowOff>
    </xdr:to>
    <xdr:cxnSp macro="">
      <xdr:nvCxnSpPr>
        <xdr:cNvPr id="343" name="Прямая соединительная линия 342"/>
        <xdr:cNvCxnSpPr/>
      </xdr:nvCxnSpPr>
      <xdr:spPr>
        <a:xfrm flipV="1">
          <a:off x="2127682" y="45998524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470740</xdr:colOff>
      <xdr:row>71</xdr:row>
      <xdr:rowOff>114300</xdr:rowOff>
    </xdr:from>
    <xdr:to>
      <xdr:col>2</xdr:col>
      <xdr:colOff>470740</xdr:colOff>
      <xdr:row>72</xdr:row>
      <xdr:rowOff>568555</xdr:rowOff>
    </xdr:to>
    <xdr:cxnSp macro="">
      <xdr:nvCxnSpPr>
        <xdr:cNvPr id="353" name="Прямая соединительная линия 352"/>
        <xdr:cNvCxnSpPr/>
      </xdr:nvCxnSpPr>
      <xdr:spPr>
        <a:xfrm>
          <a:off x="1902774" y="45998524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72</xdr:row>
      <xdr:rowOff>81643</xdr:rowOff>
    </xdr:from>
    <xdr:to>
      <xdr:col>3</xdr:col>
      <xdr:colOff>70417</xdr:colOff>
      <xdr:row>72</xdr:row>
      <xdr:rowOff>225644</xdr:rowOff>
    </xdr:to>
    <xdr:sp macro="" textlink="">
      <xdr:nvSpPr>
        <xdr:cNvPr id="374" name="Овал 373"/>
        <xdr:cNvSpPr/>
      </xdr:nvSpPr>
      <xdr:spPr>
        <a:xfrm>
          <a:off x="1936192" y="34104943"/>
          <a:ext cx="144000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71</xdr:row>
      <xdr:rowOff>57150</xdr:rowOff>
    </xdr:from>
    <xdr:to>
      <xdr:col>3</xdr:col>
      <xdr:colOff>117579</xdr:colOff>
      <xdr:row>72</xdr:row>
      <xdr:rowOff>568555</xdr:rowOff>
    </xdr:to>
    <xdr:cxnSp macro="">
      <xdr:nvCxnSpPr>
        <xdr:cNvPr id="375" name="Прямая соединительная линия 374"/>
        <xdr:cNvCxnSpPr/>
      </xdr:nvCxnSpPr>
      <xdr:spPr>
        <a:xfrm flipV="1">
          <a:off x="2127682" y="45941374"/>
          <a:ext cx="0" cy="120771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85725</xdr:colOff>
      <xdr:row>71</xdr:row>
      <xdr:rowOff>419100</xdr:rowOff>
    </xdr:from>
    <xdr:to>
      <xdr:col>4</xdr:col>
      <xdr:colOff>695378</xdr:colOff>
      <xdr:row>72</xdr:row>
      <xdr:rowOff>333429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3747075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54636</xdr:colOff>
      <xdr:row>76</xdr:row>
      <xdr:rowOff>488502</xdr:rowOff>
    </xdr:from>
    <xdr:to>
      <xdr:col>3</xdr:col>
      <xdr:colOff>164317</xdr:colOff>
      <xdr:row>76</xdr:row>
      <xdr:rowOff>596502</xdr:rowOff>
    </xdr:to>
    <xdr:sp macro="" textlink="">
      <xdr:nvSpPr>
        <xdr:cNvPr id="377" name="Овал 376"/>
        <xdr:cNvSpPr/>
      </xdr:nvSpPr>
      <xdr:spPr>
        <a:xfrm>
          <a:off x="2064739" y="49854278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75</xdr:row>
      <xdr:rowOff>106456</xdr:rowOff>
    </xdr:from>
    <xdr:to>
      <xdr:col>3</xdr:col>
      <xdr:colOff>117579</xdr:colOff>
      <xdr:row>76</xdr:row>
      <xdr:rowOff>560711</xdr:rowOff>
    </xdr:to>
    <xdr:cxnSp macro="">
      <xdr:nvCxnSpPr>
        <xdr:cNvPr id="378" name="Прямая соединительная линия 377"/>
        <xdr:cNvCxnSpPr/>
      </xdr:nvCxnSpPr>
      <xdr:spPr>
        <a:xfrm flipV="1">
          <a:off x="2127682" y="48775922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477309</xdr:colOff>
      <xdr:row>75</xdr:row>
      <xdr:rowOff>106456</xdr:rowOff>
    </xdr:from>
    <xdr:to>
      <xdr:col>2</xdr:col>
      <xdr:colOff>477309</xdr:colOff>
      <xdr:row>76</xdr:row>
      <xdr:rowOff>560711</xdr:rowOff>
    </xdr:to>
    <xdr:cxnSp macro="">
      <xdr:nvCxnSpPr>
        <xdr:cNvPr id="380" name="Прямая соединительная линия 379"/>
        <xdr:cNvCxnSpPr/>
      </xdr:nvCxnSpPr>
      <xdr:spPr>
        <a:xfrm>
          <a:off x="1909343" y="48775922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76</xdr:row>
      <xdr:rowOff>73799</xdr:rowOff>
    </xdr:from>
    <xdr:to>
      <xdr:col>3</xdr:col>
      <xdr:colOff>70417</xdr:colOff>
      <xdr:row>76</xdr:row>
      <xdr:rowOff>217800</xdr:rowOff>
    </xdr:to>
    <xdr:sp macro="" textlink="">
      <xdr:nvSpPr>
        <xdr:cNvPr id="385" name="Овал 384"/>
        <xdr:cNvSpPr/>
      </xdr:nvSpPr>
      <xdr:spPr>
        <a:xfrm>
          <a:off x="1941795" y="41053711"/>
          <a:ext cx="145681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75</xdr:row>
      <xdr:rowOff>49306</xdr:rowOff>
    </xdr:from>
    <xdr:to>
      <xdr:col>3</xdr:col>
      <xdr:colOff>117579</xdr:colOff>
      <xdr:row>76</xdr:row>
      <xdr:rowOff>560711</xdr:rowOff>
    </xdr:to>
    <xdr:cxnSp macro="">
      <xdr:nvCxnSpPr>
        <xdr:cNvPr id="386" name="Прямая соединительная линия 385"/>
        <xdr:cNvCxnSpPr/>
      </xdr:nvCxnSpPr>
      <xdr:spPr>
        <a:xfrm flipV="1">
          <a:off x="2127682" y="48718772"/>
          <a:ext cx="0" cy="120771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104775</xdr:colOff>
      <xdr:row>75</xdr:row>
      <xdr:rowOff>400050</xdr:rowOff>
    </xdr:from>
    <xdr:to>
      <xdr:col>4</xdr:col>
      <xdr:colOff>714428</xdr:colOff>
      <xdr:row>76</xdr:row>
      <xdr:rowOff>314378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40681275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61206</xdr:colOff>
      <xdr:row>88</xdr:row>
      <xdr:rowOff>476926</xdr:rowOff>
    </xdr:from>
    <xdr:to>
      <xdr:col>3</xdr:col>
      <xdr:colOff>170887</xdr:colOff>
      <xdr:row>88</xdr:row>
      <xdr:rowOff>584926</xdr:rowOff>
    </xdr:to>
    <xdr:sp macro="" textlink="">
      <xdr:nvSpPr>
        <xdr:cNvPr id="412" name="Овал 411"/>
        <xdr:cNvSpPr/>
      </xdr:nvSpPr>
      <xdr:spPr>
        <a:xfrm>
          <a:off x="2071309" y="56805805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111377</xdr:colOff>
      <xdr:row>87</xdr:row>
      <xdr:rowOff>99893</xdr:rowOff>
    </xdr:from>
    <xdr:to>
      <xdr:col>3</xdr:col>
      <xdr:colOff>111377</xdr:colOff>
      <xdr:row>88</xdr:row>
      <xdr:rowOff>554148</xdr:rowOff>
    </xdr:to>
    <xdr:cxnSp macro="">
      <xdr:nvCxnSpPr>
        <xdr:cNvPr id="413" name="Прямая соединительная линия 412"/>
        <xdr:cNvCxnSpPr/>
      </xdr:nvCxnSpPr>
      <xdr:spPr>
        <a:xfrm flipV="1">
          <a:off x="2126666" y="54412446"/>
          <a:ext cx="0" cy="115108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498939</xdr:colOff>
      <xdr:row>87</xdr:row>
      <xdr:rowOff>94880</xdr:rowOff>
    </xdr:from>
    <xdr:to>
      <xdr:col>2</xdr:col>
      <xdr:colOff>498939</xdr:colOff>
      <xdr:row>88</xdr:row>
      <xdr:rowOff>549135</xdr:rowOff>
    </xdr:to>
    <xdr:cxnSp macro="">
      <xdr:nvCxnSpPr>
        <xdr:cNvPr id="415" name="Прямая соединительная линия 414"/>
        <xdr:cNvCxnSpPr/>
      </xdr:nvCxnSpPr>
      <xdr:spPr>
        <a:xfrm>
          <a:off x="1930973" y="55727449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176888</xdr:colOff>
      <xdr:row>88</xdr:row>
      <xdr:rowOff>62223</xdr:rowOff>
    </xdr:from>
    <xdr:to>
      <xdr:col>3</xdr:col>
      <xdr:colOff>328681</xdr:colOff>
      <xdr:row>88</xdr:row>
      <xdr:rowOff>206224</xdr:rowOff>
    </xdr:to>
    <xdr:sp macro="" textlink="">
      <xdr:nvSpPr>
        <xdr:cNvPr id="420" name="Овал 419"/>
        <xdr:cNvSpPr/>
      </xdr:nvSpPr>
      <xdr:spPr>
        <a:xfrm>
          <a:off x="2193947" y="56326958"/>
          <a:ext cx="151793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85725</xdr:colOff>
      <xdr:row>87</xdr:row>
      <xdr:rowOff>399680</xdr:rowOff>
    </xdr:from>
    <xdr:to>
      <xdr:col>4</xdr:col>
      <xdr:colOff>695378</xdr:colOff>
      <xdr:row>88</xdr:row>
      <xdr:rowOff>314008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296" y="47548430"/>
          <a:ext cx="609653" cy="608295"/>
        </a:xfrm>
        <a:prstGeom prst="rect">
          <a:avLst/>
        </a:prstGeom>
      </xdr:spPr>
    </xdr:pic>
    <xdr:clientData/>
  </xdr:twoCellAnchor>
  <xdr:twoCellAnchor>
    <xdr:from>
      <xdr:col>2</xdr:col>
      <xdr:colOff>525657</xdr:colOff>
      <xdr:row>64</xdr:row>
      <xdr:rowOff>527795</xdr:rowOff>
    </xdr:from>
    <xdr:to>
      <xdr:col>3</xdr:col>
      <xdr:colOff>59670</xdr:colOff>
      <xdr:row>64</xdr:row>
      <xdr:rowOff>635795</xdr:rowOff>
    </xdr:to>
    <xdr:sp macro="" textlink="">
      <xdr:nvSpPr>
        <xdr:cNvPr id="491" name="Овал 490"/>
        <xdr:cNvSpPr/>
      </xdr:nvSpPr>
      <xdr:spPr>
        <a:xfrm>
          <a:off x="1960010" y="41507707"/>
          <a:ext cx="11671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63</xdr:row>
      <xdr:rowOff>629312</xdr:rowOff>
    </xdr:from>
    <xdr:to>
      <xdr:col>3</xdr:col>
      <xdr:colOff>266156</xdr:colOff>
      <xdr:row>64</xdr:row>
      <xdr:rowOff>77987</xdr:rowOff>
    </xdr:to>
    <xdr:sp macro="" textlink="">
      <xdr:nvSpPr>
        <xdr:cNvPr id="492" name="Овал 491"/>
        <xdr:cNvSpPr/>
      </xdr:nvSpPr>
      <xdr:spPr>
        <a:xfrm>
          <a:off x="2131931" y="40910537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145673</xdr:colOff>
      <xdr:row>63</xdr:row>
      <xdr:rowOff>358589</xdr:rowOff>
    </xdr:from>
    <xdr:to>
      <xdr:col>4</xdr:col>
      <xdr:colOff>377306</xdr:colOff>
      <xdr:row>64</xdr:row>
      <xdr:rowOff>317354</xdr:rowOff>
    </xdr:to>
    <xdr:grpSp>
      <xdr:nvGrpSpPr>
        <xdr:cNvPr id="493" name="Группа 492"/>
        <xdr:cNvGrpSpPr/>
      </xdr:nvGrpSpPr>
      <xdr:grpSpPr>
        <a:xfrm flipH="1">
          <a:off x="2758244" y="35015982"/>
          <a:ext cx="231633" cy="652729"/>
          <a:chOff x="2974731" y="8507714"/>
          <a:chExt cx="359019" cy="1014540"/>
        </a:xfrm>
      </xdr:grpSpPr>
      <xdr:sp macro="" textlink="">
        <xdr:nvSpPr>
          <xdr:cNvPr id="494" name="Прямоугольник 493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95" name="Овал 494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96" name="Овал 495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97" name="Овал 496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63</xdr:row>
      <xdr:rowOff>66675</xdr:rowOff>
    </xdr:from>
    <xdr:to>
      <xdr:col>3</xdr:col>
      <xdr:colOff>0</xdr:colOff>
      <xdr:row>64</xdr:row>
      <xdr:rowOff>572485</xdr:rowOff>
    </xdr:to>
    <xdr:cxnSp macro="">
      <xdr:nvCxnSpPr>
        <xdr:cNvPr id="498" name="Прямая соединительная линия 497"/>
        <xdr:cNvCxnSpPr/>
      </xdr:nvCxnSpPr>
      <xdr:spPr>
        <a:xfrm flipV="1">
          <a:off x="2009775" y="40347900"/>
          <a:ext cx="0" cy="120113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13489</xdr:colOff>
      <xdr:row>63</xdr:row>
      <xdr:rowOff>585724</xdr:rowOff>
    </xdr:from>
    <xdr:to>
      <xdr:col>3</xdr:col>
      <xdr:colOff>141055</xdr:colOff>
      <xdr:row>64</xdr:row>
      <xdr:rowOff>18256</xdr:rowOff>
    </xdr:to>
    <xdr:grpSp>
      <xdr:nvGrpSpPr>
        <xdr:cNvPr id="499" name="Группа 498"/>
        <xdr:cNvGrpSpPr/>
      </xdr:nvGrpSpPr>
      <xdr:grpSpPr>
        <a:xfrm flipH="1">
          <a:off x="2040953" y="35243117"/>
          <a:ext cx="127566" cy="126496"/>
          <a:chOff x="1132242" y="1306343"/>
          <a:chExt cx="123151" cy="128030"/>
        </a:xfrm>
      </xdr:grpSpPr>
      <xdr:cxnSp macro="">
        <xdr:nvCxnSpPr>
          <xdr:cNvPr id="500" name="Прямая соединительная линия 49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1" name="Прямоугольник 50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503464</xdr:colOff>
      <xdr:row>134</xdr:row>
      <xdr:rowOff>543335</xdr:rowOff>
    </xdr:from>
    <xdr:to>
      <xdr:col>3</xdr:col>
      <xdr:colOff>38720</xdr:colOff>
      <xdr:row>134</xdr:row>
      <xdr:rowOff>651335</xdr:rowOff>
    </xdr:to>
    <xdr:sp macro="" textlink="">
      <xdr:nvSpPr>
        <xdr:cNvPr id="539" name="Овал 538"/>
        <xdr:cNvSpPr/>
      </xdr:nvSpPr>
      <xdr:spPr>
        <a:xfrm>
          <a:off x="1937817" y="60976659"/>
          <a:ext cx="11796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574493</xdr:colOff>
      <xdr:row>133</xdr:row>
      <xdr:rowOff>81643</xdr:rowOff>
    </xdr:from>
    <xdr:to>
      <xdr:col>2</xdr:col>
      <xdr:colOff>574493</xdr:colOff>
      <xdr:row>134</xdr:row>
      <xdr:rowOff>608767</xdr:rowOff>
    </xdr:to>
    <xdr:cxnSp macro="">
      <xdr:nvCxnSpPr>
        <xdr:cNvPr id="540" name="Прямая соединительная линия 539"/>
        <xdr:cNvCxnSpPr/>
      </xdr:nvCxnSpPr>
      <xdr:spPr>
        <a:xfrm flipV="1">
          <a:off x="2008846" y="59820202"/>
          <a:ext cx="0" cy="122188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570677</xdr:colOff>
      <xdr:row>134</xdr:row>
      <xdr:rowOff>8610</xdr:rowOff>
    </xdr:from>
    <xdr:to>
      <xdr:col>3</xdr:col>
      <xdr:colOff>513522</xdr:colOff>
      <xdr:row>134</xdr:row>
      <xdr:rowOff>41413</xdr:rowOff>
    </xdr:to>
    <xdr:cxnSp macro="">
      <xdr:nvCxnSpPr>
        <xdr:cNvPr id="541" name="Прямая соединительная линия 540"/>
        <xdr:cNvCxnSpPr/>
      </xdr:nvCxnSpPr>
      <xdr:spPr>
        <a:xfrm flipH="1" flipV="1">
          <a:off x="2005030" y="60441934"/>
          <a:ext cx="525551" cy="3280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569611</xdr:colOff>
      <xdr:row>133</xdr:row>
      <xdr:rowOff>694597</xdr:rowOff>
    </xdr:from>
    <xdr:to>
      <xdr:col>3</xdr:col>
      <xdr:colOff>547721</xdr:colOff>
      <xdr:row>134</xdr:row>
      <xdr:rowOff>579358</xdr:rowOff>
    </xdr:to>
    <xdr:sp macro="" textlink="">
      <xdr:nvSpPr>
        <xdr:cNvPr id="553" name="Полилиния 552"/>
        <xdr:cNvSpPr/>
      </xdr:nvSpPr>
      <xdr:spPr>
        <a:xfrm>
          <a:off x="2003964" y="60433156"/>
          <a:ext cx="560816" cy="57952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  <a:gd name="connsiteX0" fmla="*/ 0 w 538370"/>
            <a:gd name="connsiteY0" fmla="*/ 580426 h 580426"/>
            <a:gd name="connsiteX1" fmla="*/ 0 w 538370"/>
            <a:gd name="connsiteY1" fmla="*/ 644 h 580426"/>
            <a:gd name="connsiteX2" fmla="*/ 538370 w 538370"/>
            <a:gd name="connsiteY2" fmla="*/ 58622 h 580426"/>
            <a:gd name="connsiteX0" fmla="*/ 0 w 563465"/>
            <a:gd name="connsiteY0" fmla="*/ 580500 h 580500"/>
            <a:gd name="connsiteX1" fmla="*/ 0 w 563465"/>
            <a:gd name="connsiteY1" fmla="*/ 718 h 580500"/>
            <a:gd name="connsiteX2" fmla="*/ 563465 w 563465"/>
            <a:gd name="connsiteY2" fmla="*/ 50413 h 58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3465" h="580500">
              <a:moveTo>
                <a:pt x="0" y="580500"/>
              </a:moveTo>
              <a:lnTo>
                <a:pt x="0" y="718"/>
              </a:lnTo>
              <a:cubicBezTo>
                <a:pt x="179457" y="-7565"/>
                <a:pt x="384008" y="58696"/>
                <a:pt x="563465" y="50413"/>
              </a:cubicBez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135</xdr:row>
      <xdr:rowOff>96488</xdr:rowOff>
    </xdr:from>
    <xdr:to>
      <xdr:col>3</xdr:col>
      <xdr:colOff>14253</xdr:colOff>
      <xdr:row>136</xdr:row>
      <xdr:rowOff>584986</xdr:rowOff>
    </xdr:to>
    <xdr:cxnSp macro="">
      <xdr:nvCxnSpPr>
        <xdr:cNvPr id="573" name="Прямая соединительная линия 572"/>
        <xdr:cNvCxnSpPr/>
      </xdr:nvCxnSpPr>
      <xdr:spPr>
        <a:xfrm flipV="1">
          <a:off x="2041717" y="61124524"/>
          <a:ext cx="0" cy="11824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136</xdr:row>
      <xdr:rowOff>521031</xdr:rowOff>
    </xdr:from>
    <xdr:to>
      <xdr:col>3</xdr:col>
      <xdr:colOff>63839</xdr:colOff>
      <xdr:row>136</xdr:row>
      <xdr:rowOff>629031</xdr:rowOff>
    </xdr:to>
    <xdr:sp macro="" textlink="">
      <xdr:nvSpPr>
        <xdr:cNvPr id="574" name="Овал 573"/>
        <xdr:cNvSpPr/>
      </xdr:nvSpPr>
      <xdr:spPr>
        <a:xfrm>
          <a:off x="1979221" y="62243031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135</xdr:row>
      <xdr:rowOff>644856</xdr:rowOff>
    </xdr:from>
    <xdr:to>
      <xdr:col>3</xdr:col>
      <xdr:colOff>280814</xdr:colOff>
      <xdr:row>136</xdr:row>
      <xdr:rowOff>93531</xdr:rowOff>
    </xdr:to>
    <xdr:sp macro="" textlink="">
      <xdr:nvSpPr>
        <xdr:cNvPr id="575" name="Овал 574"/>
        <xdr:cNvSpPr/>
      </xdr:nvSpPr>
      <xdr:spPr>
        <a:xfrm>
          <a:off x="2164278" y="61672892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139</xdr:row>
      <xdr:rowOff>96488</xdr:rowOff>
    </xdr:from>
    <xdr:to>
      <xdr:col>3</xdr:col>
      <xdr:colOff>14253</xdr:colOff>
      <xdr:row>140</xdr:row>
      <xdr:rowOff>584986</xdr:rowOff>
    </xdr:to>
    <xdr:cxnSp macro="">
      <xdr:nvCxnSpPr>
        <xdr:cNvPr id="581" name="Прямая соединительная линия 580"/>
        <xdr:cNvCxnSpPr/>
      </xdr:nvCxnSpPr>
      <xdr:spPr>
        <a:xfrm flipV="1">
          <a:off x="2031312" y="72340812"/>
          <a:ext cx="0" cy="11832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140</xdr:row>
      <xdr:rowOff>521031</xdr:rowOff>
    </xdr:from>
    <xdr:to>
      <xdr:col>3</xdr:col>
      <xdr:colOff>63839</xdr:colOff>
      <xdr:row>140</xdr:row>
      <xdr:rowOff>629031</xdr:rowOff>
    </xdr:to>
    <xdr:sp macro="" textlink="">
      <xdr:nvSpPr>
        <xdr:cNvPr id="582" name="Овал 581"/>
        <xdr:cNvSpPr/>
      </xdr:nvSpPr>
      <xdr:spPr>
        <a:xfrm>
          <a:off x="1971217" y="7346011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139</xdr:row>
      <xdr:rowOff>644856</xdr:rowOff>
    </xdr:from>
    <xdr:to>
      <xdr:col>3</xdr:col>
      <xdr:colOff>280814</xdr:colOff>
      <xdr:row>140</xdr:row>
      <xdr:rowOff>93531</xdr:rowOff>
    </xdr:to>
    <xdr:sp macro="" textlink="">
      <xdr:nvSpPr>
        <xdr:cNvPr id="583" name="Овал 582"/>
        <xdr:cNvSpPr/>
      </xdr:nvSpPr>
      <xdr:spPr>
        <a:xfrm>
          <a:off x="2153873" y="72889180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236845</xdr:colOff>
      <xdr:row>141</xdr:row>
      <xdr:rowOff>403412</xdr:rowOff>
    </xdr:from>
    <xdr:to>
      <xdr:col>4</xdr:col>
      <xdr:colOff>645278</xdr:colOff>
      <xdr:row>142</xdr:row>
      <xdr:rowOff>318250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610" y="118502206"/>
          <a:ext cx="408433" cy="609600"/>
        </a:xfrm>
        <a:prstGeom prst="rect">
          <a:avLst/>
        </a:prstGeom>
      </xdr:spPr>
    </xdr:pic>
    <xdr:clientData/>
  </xdr:twoCellAnchor>
  <xdr:twoCellAnchor>
    <xdr:from>
      <xdr:col>3</xdr:col>
      <xdr:colOff>14253</xdr:colOff>
      <xdr:row>141</xdr:row>
      <xdr:rowOff>96488</xdr:rowOff>
    </xdr:from>
    <xdr:to>
      <xdr:col>3</xdr:col>
      <xdr:colOff>14253</xdr:colOff>
      <xdr:row>142</xdr:row>
      <xdr:rowOff>584986</xdr:rowOff>
    </xdr:to>
    <xdr:cxnSp macro="">
      <xdr:nvCxnSpPr>
        <xdr:cNvPr id="614" name="Прямая соединительная линия 613"/>
        <xdr:cNvCxnSpPr/>
      </xdr:nvCxnSpPr>
      <xdr:spPr>
        <a:xfrm flipV="1">
          <a:off x="2031312" y="73730341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142</xdr:row>
      <xdr:rowOff>521031</xdr:rowOff>
    </xdr:from>
    <xdr:to>
      <xdr:col>3</xdr:col>
      <xdr:colOff>63839</xdr:colOff>
      <xdr:row>142</xdr:row>
      <xdr:rowOff>629031</xdr:rowOff>
    </xdr:to>
    <xdr:sp macro="" textlink="">
      <xdr:nvSpPr>
        <xdr:cNvPr id="615" name="Овал 614"/>
        <xdr:cNvSpPr/>
      </xdr:nvSpPr>
      <xdr:spPr>
        <a:xfrm>
          <a:off x="1971217" y="7484964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141</xdr:row>
      <xdr:rowOff>644856</xdr:rowOff>
    </xdr:from>
    <xdr:to>
      <xdr:col>3</xdr:col>
      <xdr:colOff>280814</xdr:colOff>
      <xdr:row>142</xdr:row>
      <xdr:rowOff>93531</xdr:rowOff>
    </xdr:to>
    <xdr:sp macro="" textlink="">
      <xdr:nvSpPr>
        <xdr:cNvPr id="616" name="Овал 615"/>
        <xdr:cNvSpPr/>
      </xdr:nvSpPr>
      <xdr:spPr>
        <a:xfrm>
          <a:off x="2153873" y="74278709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143</xdr:row>
      <xdr:rowOff>96488</xdr:rowOff>
    </xdr:from>
    <xdr:to>
      <xdr:col>3</xdr:col>
      <xdr:colOff>14253</xdr:colOff>
      <xdr:row>144</xdr:row>
      <xdr:rowOff>584986</xdr:rowOff>
    </xdr:to>
    <xdr:cxnSp macro="">
      <xdr:nvCxnSpPr>
        <xdr:cNvPr id="665" name="Прямая соединительная линия 664"/>
        <xdr:cNvCxnSpPr/>
      </xdr:nvCxnSpPr>
      <xdr:spPr>
        <a:xfrm flipV="1">
          <a:off x="2031312" y="75119870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144</xdr:row>
      <xdr:rowOff>521031</xdr:rowOff>
    </xdr:from>
    <xdr:to>
      <xdr:col>3</xdr:col>
      <xdr:colOff>63839</xdr:colOff>
      <xdr:row>144</xdr:row>
      <xdr:rowOff>629031</xdr:rowOff>
    </xdr:to>
    <xdr:sp macro="" textlink="">
      <xdr:nvSpPr>
        <xdr:cNvPr id="666" name="Овал 665"/>
        <xdr:cNvSpPr/>
      </xdr:nvSpPr>
      <xdr:spPr>
        <a:xfrm>
          <a:off x="1971217" y="76239178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143</xdr:row>
      <xdr:rowOff>644856</xdr:rowOff>
    </xdr:from>
    <xdr:to>
      <xdr:col>3</xdr:col>
      <xdr:colOff>280814</xdr:colOff>
      <xdr:row>144</xdr:row>
      <xdr:rowOff>93531</xdr:rowOff>
    </xdr:to>
    <xdr:sp macro="" textlink="">
      <xdr:nvSpPr>
        <xdr:cNvPr id="667" name="Овал 666"/>
        <xdr:cNvSpPr/>
      </xdr:nvSpPr>
      <xdr:spPr>
        <a:xfrm>
          <a:off x="2153873" y="75668238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17726</xdr:colOff>
      <xdr:row>143</xdr:row>
      <xdr:rowOff>552930</xdr:rowOff>
    </xdr:from>
    <xdr:to>
      <xdr:col>3</xdr:col>
      <xdr:colOff>145756</xdr:colOff>
      <xdr:row>143</xdr:row>
      <xdr:rowOff>676617</xdr:rowOff>
    </xdr:to>
    <xdr:grpSp>
      <xdr:nvGrpSpPr>
        <xdr:cNvPr id="668" name="Группа 667"/>
        <xdr:cNvGrpSpPr/>
      </xdr:nvGrpSpPr>
      <xdr:grpSpPr>
        <a:xfrm rot="5400000">
          <a:off x="2047361" y="64354652"/>
          <a:ext cx="123687" cy="128030"/>
          <a:chOff x="1132242" y="1306343"/>
          <a:chExt cx="123151" cy="128030"/>
        </a:xfrm>
      </xdr:grpSpPr>
      <xdr:cxnSp macro="">
        <xdr:nvCxnSpPr>
          <xdr:cNvPr id="669" name="Прямая соединительная линия 66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0" name="Прямоугольник 66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556024</xdr:colOff>
      <xdr:row>146</xdr:row>
      <xdr:rowOff>493778</xdr:rowOff>
    </xdr:from>
    <xdr:to>
      <xdr:col>3</xdr:col>
      <xdr:colOff>82999</xdr:colOff>
      <xdr:row>146</xdr:row>
      <xdr:rowOff>601778</xdr:rowOff>
    </xdr:to>
    <xdr:sp macro="" textlink="">
      <xdr:nvSpPr>
        <xdr:cNvPr id="673" name="Овал 672"/>
        <xdr:cNvSpPr/>
      </xdr:nvSpPr>
      <xdr:spPr>
        <a:xfrm>
          <a:off x="1990377" y="78990984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111594</xdr:colOff>
      <xdr:row>146</xdr:row>
      <xdr:rowOff>880</xdr:rowOff>
    </xdr:from>
    <xdr:to>
      <xdr:col>3</xdr:col>
      <xdr:colOff>33617</xdr:colOff>
      <xdr:row>146</xdr:row>
      <xdr:rowOff>880</xdr:rowOff>
    </xdr:to>
    <xdr:cxnSp macro="">
      <xdr:nvCxnSpPr>
        <xdr:cNvPr id="674" name="Прямая соединительная линия 673"/>
        <xdr:cNvCxnSpPr/>
      </xdr:nvCxnSpPr>
      <xdr:spPr>
        <a:xfrm>
          <a:off x="1545357" y="78702446"/>
          <a:ext cx="503549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26387</xdr:colOff>
      <xdr:row>145</xdr:row>
      <xdr:rowOff>100853</xdr:rowOff>
    </xdr:from>
    <xdr:to>
      <xdr:col>3</xdr:col>
      <xdr:colOff>26387</xdr:colOff>
      <xdr:row>146</xdr:row>
      <xdr:rowOff>549089</xdr:rowOff>
    </xdr:to>
    <xdr:cxnSp macro="">
      <xdr:nvCxnSpPr>
        <xdr:cNvPr id="676" name="Прямая соединительная линия 675"/>
        <xdr:cNvCxnSpPr/>
      </xdr:nvCxnSpPr>
      <xdr:spPr>
        <a:xfrm flipV="1">
          <a:off x="2043446" y="77903294"/>
          <a:ext cx="0" cy="114300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52580</xdr:colOff>
      <xdr:row>145</xdr:row>
      <xdr:rowOff>546848</xdr:rowOff>
    </xdr:from>
    <xdr:to>
      <xdr:col>3</xdr:col>
      <xdr:colOff>180146</xdr:colOff>
      <xdr:row>145</xdr:row>
      <xdr:rowOff>674145</xdr:rowOff>
    </xdr:to>
    <xdr:grpSp>
      <xdr:nvGrpSpPr>
        <xdr:cNvPr id="678" name="Группа 677"/>
        <xdr:cNvGrpSpPr/>
      </xdr:nvGrpSpPr>
      <xdr:grpSpPr>
        <a:xfrm flipH="1">
          <a:off x="2080044" y="65738669"/>
          <a:ext cx="127566" cy="127297"/>
          <a:chOff x="1132242" y="1306343"/>
          <a:chExt cx="123151" cy="128030"/>
        </a:xfrm>
      </xdr:grpSpPr>
      <xdr:cxnSp macro="">
        <xdr:nvCxnSpPr>
          <xdr:cNvPr id="679" name="Прямая соединительная линия 67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0" name="Прямоугольник 67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46423</xdr:colOff>
      <xdr:row>146</xdr:row>
      <xdr:rowOff>880</xdr:rowOff>
    </xdr:from>
    <xdr:to>
      <xdr:col>3</xdr:col>
      <xdr:colOff>27889</xdr:colOff>
      <xdr:row>146</xdr:row>
      <xdr:rowOff>565823</xdr:rowOff>
    </xdr:to>
    <xdr:sp macro="" textlink="">
      <xdr:nvSpPr>
        <xdr:cNvPr id="688" name="Полилиния 687"/>
        <xdr:cNvSpPr/>
      </xdr:nvSpPr>
      <xdr:spPr>
        <a:xfrm>
          <a:off x="1480186" y="78702446"/>
          <a:ext cx="562992" cy="56494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540707</xdr:colOff>
      <xdr:row>150</xdr:row>
      <xdr:rowOff>491532</xdr:rowOff>
    </xdr:from>
    <xdr:to>
      <xdr:col>3</xdr:col>
      <xdr:colOff>64726</xdr:colOff>
      <xdr:row>150</xdr:row>
      <xdr:rowOff>606570</xdr:rowOff>
    </xdr:to>
    <xdr:sp macro="" textlink="">
      <xdr:nvSpPr>
        <xdr:cNvPr id="714" name="Овал 713"/>
        <xdr:cNvSpPr/>
      </xdr:nvSpPr>
      <xdr:spPr>
        <a:xfrm rot="5614795">
          <a:off x="1975573" y="98952749"/>
          <a:ext cx="115038" cy="10610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67236</xdr:colOff>
      <xdr:row>149</xdr:row>
      <xdr:rowOff>593912</xdr:rowOff>
    </xdr:from>
    <xdr:to>
      <xdr:col>3</xdr:col>
      <xdr:colOff>504265</xdr:colOff>
      <xdr:row>150</xdr:row>
      <xdr:rowOff>78441</xdr:rowOff>
    </xdr:to>
    <xdr:cxnSp macro="">
      <xdr:nvCxnSpPr>
        <xdr:cNvPr id="715" name="Прямая соединительная линия 714"/>
        <xdr:cNvCxnSpPr/>
      </xdr:nvCxnSpPr>
      <xdr:spPr>
        <a:xfrm flipV="1">
          <a:off x="1501589" y="78396353"/>
          <a:ext cx="1019735" cy="17929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8978</xdr:colOff>
      <xdr:row>149</xdr:row>
      <xdr:rowOff>677396</xdr:rowOff>
    </xdr:from>
    <xdr:to>
      <xdr:col>3</xdr:col>
      <xdr:colOff>8978</xdr:colOff>
      <xdr:row>150</xdr:row>
      <xdr:rowOff>538331</xdr:rowOff>
    </xdr:to>
    <xdr:cxnSp macro="">
      <xdr:nvCxnSpPr>
        <xdr:cNvPr id="716" name="Прямая соединительная линия 715"/>
        <xdr:cNvCxnSpPr/>
      </xdr:nvCxnSpPr>
      <xdr:spPr>
        <a:xfrm flipV="1">
          <a:off x="2019081" y="79984517"/>
          <a:ext cx="0" cy="55724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151</xdr:row>
      <xdr:rowOff>694411</xdr:rowOff>
    </xdr:from>
    <xdr:to>
      <xdr:col>2</xdr:col>
      <xdr:colOff>580202</xdr:colOff>
      <xdr:row>152</xdr:row>
      <xdr:rowOff>76200</xdr:rowOff>
    </xdr:to>
    <xdr:cxnSp macro="">
      <xdr:nvCxnSpPr>
        <xdr:cNvPr id="722" name="Прямая соединительная линия 721"/>
        <xdr:cNvCxnSpPr/>
      </xdr:nvCxnSpPr>
      <xdr:spPr>
        <a:xfrm flipV="1">
          <a:off x="1552575" y="82695136"/>
          <a:ext cx="456377" cy="77114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526690</xdr:colOff>
      <xdr:row>152</xdr:row>
      <xdr:rowOff>543335</xdr:rowOff>
    </xdr:from>
    <xdr:to>
      <xdr:col>3</xdr:col>
      <xdr:colOff>61946</xdr:colOff>
      <xdr:row>152</xdr:row>
      <xdr:rowOff>651335</xdr:rowOff>
    </xdr:to>
    <xdr:sp macro="" textlink="">
      <xdr:nvSpPr>
        <xdr:cNvPr id="720" name="Овал 719"/>
        <xdr:cNvSpPr/>
      </xdr:nvSpPr>
      <xdr:spPr>
        <a:xfrm flipH="1">
          <a:off x="1955440" y="83239385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442</xdr:colOff>
      <xdr:row>151</xdr:row>
      <xdr:rowOff>81643</xdr:rowOff>
    </xdr:from>
    <xdr:to>
      <xdr:col>3</xdr:col>
      <xdr:colOff>442</xdr:colOff>
      <xdr:row>152</xdr:row>
      <xdr:rowOff>608767</xdr:rowOff>
    </xdr:to>
    <xdr:cxnSp macro="">
      <xdr:nvCxnSpPr>
        <xdr:cNvPr id="721" name="Прямая соединительная линия 720"/>
        <xdr:cNvCxnSpPr/>
      </xdr:nvCxnSpPr>
      <xdr:spPr>
        <a:xfrm flipH="1" flipV="1">
          <a:off x="2010217" y="82082368"/>
          <a:ext cx="0" cy="1222449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365283</xdr:colOff>
      <xdr:row>152</xdr:row>
      <xdr:rowOff>90557</xdr:rowOff>
    </xdr:from>
    <xdr:to>
      <xdr:col>2</xdr:col>
      <xdr:colOff>517076</xdr:colOff>
      <xdr:row>152</xdr:row>
      <xdr:rowOff>234558</xdr:rowOff>
    </xdr:to>
    <xdr:sp macro="" textlink="">
      <xdr:nvSpPr>
        <xdr:cNvPr id="727" name="Овал 726"/>
        <xdr:cNvSpPr/>
      </xdr:nvSpPr>
      <xdr:spPr>
        <a:xfrm>
          <a:off x="1794033" y="82786607"/>
          <a:ext cx="151793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349689</xdr:colOff>
      <xdr:row>151</xdr:row>
      <xdr:rowOff>243573</xdr:rowOff>
    </xdr:from>
    <xdr:to>
      <xdr:col>6</xdr:col>
      <xdr:colOff>132640</xdr:colOff>
      <xdr:row>151</xdr:row>
      <xdr:rowOff>528819</xdr:rowOff>
    </xdr:to>
    <xdr:sp macro="" textlink="">
      <xdr:nvSpPr>
        <xdr:cNvPr id="729" name="Стрелка вправо 728"/>
        <xdr:cNvSpPr/>
      </xdr:nvSpPr>
      <xdr:spPr>
        <a:xfrm>
          <a:off x="4092454" y="66929779"/>
          <a:ext cx="365657" cy="285246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150717</xdr:colOff>
      <xdr:row>151</xdr:row>
      <xdr:rowOff>144556</xdr:rowOff>
    </xdr:from>
    <xdr:to>
      <xdr:col>6</xdr:col>
      <xdr:colOff>142873</xdr:colOff>
      <xdr:row>151</xdr:row>
      <xdr:rowOff>544606</xdr:rowOff>
    </xdr:to>
    <xdr:sp macro="" textlink="">
      <xdr:nvSpPr>
        <xdr:cNvPr id="730" name="Прямоугольник 729"/>
        <xdr:cNvSpPr/>
      </xdr:nvSpPr>
      <xdr:spPr>
        <a:xfrm>
          <a:off x="2750482" y="66830762"/>
          <a:ext cx="1717862" cy="4000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КОЩИНО</a:t>
          </a:r>
        </a:p>
      </xdr:txBody>
    </xdr:sp>
    <xdr:clientData/>
  </xdr:twoCellAnchor>
  <xdr:twoCellAnchor>
    <xdr:from>
      <xdr:col>4</xdr:col>
      <xdr:colOff>531717</xdr:colOff>
      <xdr:row>151</xdr:row>
      <xdr:rowOff>167936</xdr:rowOff>
    </xdr:from>
    <xdr:to>
      <xdr:col>5</xdr:col>
      <xdr:colOff>323899</xdr:colOff>
      <xdr:row>151</xdr:row>
      <xdr:rowOff>518629</xdr:rowOff>
    </xdr:to>
    <xdr:cxnSp macro="">
      <xdr:nvCxnSpPr>
        <xdr:cNvPr id="731" name="Прямая соединительная линия 730"/>
        <xdr:cNvCxnSpPr/>
      </xdr:nvCxnSpPr>
      <xdr:spPr>
        <a:xfrm flipV="1">
          <a:off x="3131482" y="66854142"/>
          <a:ext cx="935182" cy="3506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119343</xdr:colOff>
      <xdr:row>153</xdr:row>
      <xdr:rowOff>426894</xdr:rowOff>
    </xdr:from>
    <xdr:ext cx="609653" cy="609094"/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108" y="68502629"/>
          <a:ext cx="609653" cy="609094"/>
        </a:xfrm>
        <a:prstGeom prst="rect">
          <a:avLst/>
        </a:prstGeom>
      </xdr:spPr>
    </xdr:pic>
    <xdr:clientData/>
  </xdr:oneCellAnchor>
  <xdr:twoCellAnchor>
    <xdr:from>
      <xdr:col>2</xdr:col>
      <xdr:colOff>541373</xdr:colOff>
      <xdr:row>176</xdr:row>
      <xdr:rowOff>535476</xdr:rowOff>
    </xdr:from>
    <xdr:to>
      <xdr:col>3</xdr:col>
      <xdr:colOff>76629</xdr:colOff>
      <xdr:row>176</xdr:row>
      <xdr:rowOff>643476</xdr:rowOff>
    </xdr:to>
    <xdr:sp macro="" textlink="">
      <xdr:nvSpPr>
        <xdr:cNvPr id="783" name="Овал 782"/>
        <xdr:cNvSpPr/>
      </xdr:nvSpPr>
      <xdr:spPr>
        <a:xfrm>
          <a:off x="1970123" y="12308376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4883</xdr:colOff>
      <xdr:row>175</xdr:row>
      <xdr:rowOff>73784</xdr:rowOff>
    </xdr:from>
    <xdr:to>
      <xdr:col>3</xdr:col>
      <xdr:colOff>4883</xdr:colOff>
      <xdr:row>176</xdr:row>
      <xdr:rowOff>600908</xdr:rowOff>
    </xdr:to>
    <xdr:cxnSp macro="">
      <xdr:nvCxnSpPr>
        <xdr:cNvPr id="784" name="Прямая соединительная линия 783"/>
        <xdr:cNvCxnSpPr/>
      </xdr:nvCxnSpPr>
      <xdr:spPr>
        <a:xfrm flipV="1">
          <a:off x="2014658" y="11151359"/>
          <a:ext cx="0" cy="122244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1066</xdr:colOff>
      <xdr:row>175</xdr:row>
      <xdr:rowOff>672393</xdr:rowOff>
    </xdr:from>
    <xdr:to>
      <xdr:col>3</xdr:col>
      <xdr:colOff>520974</xdr:colOff>
      <xdr:row>176</xdr:row>
      <xdr:rowOff>751</xdr:rowOff>
    </xdr:to>
    <xdr:cxnSp macro="">
      <xdr:nvCxnSpPr>
        <xdr:cNvPr id="785" name="Прямая соединительная линия 784"/>
        <xdr:cNvCxnSpPr/>
      </xdr:nvCxnSpPr>
      <xdr:spPr>
        <a:xfrm flipH="1">
          <a:off x="2010841" y="11749968"/>
          <a:ext cx="519908" cy="2368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7866</xdr:colOff>
      <xdr:row>175</xdr:row>
      <xdr:rowOff>564256</xdr:rowOff>
    </xdr:from>
    <xdr:to>
      <xdr:col>3</xdr:col>
      <xdr:colOff>133751</xdr:colOff>
      <xdr:row>175</xdr:row>
      <xdr:rowOff>691553</xdr:rowOff>
    </xdr:to>
    <xdr:grpSp>
      <xdr:nvGrpSpPr>
        <xdr:cNvPr id="786" name="Группа 785"/>
        <xdr:cNvGrpSpPr/>
      </xdr:nvGrpSpPr>
      <xdr:grpSpPr>
        <a:xfrm flipH="1">
          <a:off x="2035330" y="79635363"/>
          <a:ext cx="125885" cy="127297"/>
          <a:chOff x="1132242" y="1306343"/>
          <a:chExt cx="123151" cy="128030"/>
        </a:xfrm>
      </xdr:grpSpPr>
      <xdr:cxnSp macro="">
        <xdr:nvCxnSpPr>
          <xdr:cNvPr id="787" name="Прямая соединительная линия 78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8" name="Прямоугольник 78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120923</xdr:colOff>
      <xdr:row>175</xdr:row>
      <xdr:rowOff>491418</xdr:rowOff>
    </xdr:from>
    <xdr:to>
      <xdr:col>2</xdr:col>
      <xdr:colOff>579731</xdr:colOff>
      <xdr:row>175</xdr:row>
      <xdr:rowOff>571295</xdr:rowOff>
    </xdr:to>
    <xdr:cxnSp macro="">
      <xdr:nvCxnSpPr>
        <xdr:cNvPr id="789" name="Прямая соединительная линия 788"/>
        <xdr:cNvCxnSpPr/>
      </xdr:nvCxnSpPr>
      <xdr:spPr>
        <a:xfrm flipH="1" flipV="1">
          <a:off x="1549673" y="11568993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81005</xdr:colOff>
      <xdr:row>176</xdr:row>
      <xdr:rowOff>105121</xdr:rowOff>
    </xdr:from>
    <xdr:to>
      <xdr:col>3</xdr:col>
      <xdr:colOff>225005</xdr:colOff>
      <xdr:row>176</xdr:row>
      <xdr:rowOff>249535</xdr:rowOff>
    </xdr:to>
    <xdr:sp macro="" textlink="">
      <xdr:nvSpPr>
        <xdr:cNvPr id="790" name="Овал 789"/>
        <xdr:cNvSpPr/>
      </xdr:nvSpPr>
      <xdr:spPr>
        <a:xfrm>
          <a:off x="2090780" y="1187802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93967</xdr:colOff>
      <xdr:row>175</xdr:row>
      <xdr:rowOff>424743</xdr:rowOff>
    </xdr:from>
    <xdr:to>
      <xdr:col>6</xdr:col>
      <xdr:colOff>380959</xdr:colOff>
      <xdr:row>176</xdr:row>
      <xdr:rowOff>281454</xdr:rowOff>
    </xdr:to>
    <xdr:grpSp>
      <xdr:nvGrpSpPr>
        <xdr:cNvPr id="791" name="Группа 790"/>
        <xdr:cNvGrpSpPr/>
      </xdr:nvGrpSpPr>
      <xdr:grpSpPr>
        <a:xfrm>
          <a:off x="2706538" y="79495850"/>
          <a:ext cx="2015100" cy="550675"/>
          <a:chOff x="2678141" y="11482026"/>
          <a:chExt cx="2009775" cy="552450"/>
        </a:xfrm>
      </xdr:grpSpPr>
      <xdr:sp macro="" textlink="">
        <xdr:nvSpPr>
          <xdr:cNvPr id="792" name="Прямоугольник 791"/>
          <xdr:cNvSpPr/>
        </xdr:nvSpPr>
        <xdr:spPr>
          <a:xfrm>
            <a:off x="2678141" y="11482026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793" name="Прямоугольник 792"/>
          <xdr:cNvSpPr/>
        </xdr:nvSpPr>
        <xdr:spPr>
          <a:xfrm>
            <a:off x="2782916" y="11558226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8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794" name="Стрелка вправо 793"/>
          <xdr:cNvSpPr/>
        </xdr:nvSpPr>
        <xdr:spPr>
          <a:xfrm>
            <a:off x="4221191" y="11615376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8283</xdr:colOff>
      <xdr:row>175</xdr:row>
      <xdr:rowOff>670891</xdr:rowOff>
    </xdr:from>
    <xdr:to>
      <xdr:col>3</xdr:col>
      <xdr:colOff>546653</xdr:colOff>
      <xdr:row>176</xdr:row>
      <xdr:rowOff>579782</xdr:rowOff>
    </xdr:to>
    <xdr:sp macro="" textlink="">
      <xdr:nvSpPr>
        <xdr:cNvPr id="795" name="Полилиния 794"/>
        <xdr:cNvSpPr/>
      </xdr:nvSpPr>
      <xdr:spPr>
        <a:xfrm>
          <a:off x="2018058" y="11748466"/>
          <a:ext cx="538370" cy="60421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8370" h="604630">
              <a:moveTo>
                <a:pt x="0" y="604630"/>
              </a:moveTo>
              <a:lnTo>
                <a:pt x="0" y="24848"/>
              </a:lnTo>
              <a:lnTo>
                <a:pt x="53837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541151</xdr:colOff>
      <xdr:row>178</xdr:row>
      <xdr:rowOff>508907</xdr:rowOff>
    </xdr:from>
    <xdr:to>
      <xdr:col>3</xdr:col>
      <xdr:colOff>68126</xdr:colOff>
      <xdr:row>178</xdr:row>
      <xdr:rowOff>616907</xdr:rowOff>
    </xdr:to>
    <xdr:sp macro="" textlink="">
      <xdr:nvSpPr>
        <xdr:cNvPr id="796" name="Овал 795"/>
        <xdr:cNvSpPr/>
      </xdr:nvSpPr>
      <xdr:spPr>
        <a:xfrm rot="5400000">
          <a:off x="1969901" y="1367245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177</xdr:row>
      <xdr:rowOff>76200</xdr:rowOff>
    </xdr:from>
    <xdr:to>
      <xdr:col>3</xdr:col>
      <xdr:colOff>11656</xdr:colOff>
      <xdr:row>178</xdr:row>
      <xdr:rowOff>0</xdr:rowOff>
    </xdr:to>
    <xdr:cxnSp macro="">
      <xdr:nvCxnSpPr>
        <xdr:cNvPr id="797" name="Прямая соединительная линия 796"/>
        <xdr:cNvCxnSpPr/>
      </xdr:nvCxnSpPr>
      <xdr:spPr>
        <a:xfrm>
          <a:off x="2021431" y="12544425"/>
          <a:ext cx="0" cy="619125"/>
        </a:xfrm>
        <a:prstGeom prst="line">
          <a:avLst/>
        </a:prstGeom>
        <a:ln w="50800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177</xdr:row>
      <xdr:rowOff>608804</xdr:rowOff>
    </xdr:from>
    <xdr:to>
      <xdr:col>3</xdr:col>
      <xdr:colOff>264335</xdr:colOff>
      <xdr:row>178</xdr:row>
      <xdr:rowOff>32445</xdr:rowOff>
    </xdr:to>
    <xdr:grpSp>
      <xdr:nvGrpSpPr>
        <xdr:cNvPr id="798" name="Группа 797"/>
        <xdr:cNvGrpSpPr/>
      </xdr:nvGrpSpPr>
      <xdr:grpSpPr>
        <a:xfrm rot="10800000">
          <a:off x="1747157" y="81067840"/>
          <a:ext cx="544642" cy="117605"/>
          <a:chOff x="760945" y="5714381"/>
          <a:chExt cx="364368" cy="118966"/>
        </a:xfrm>
      </xdr:grpSpPr>
      <xdr:grpSp>
        <xdr:nvGrpSpPr>
          <xdr:cNvPr id="799" name="Группа 798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803" name="Овал 802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804" name="Прямая со стрелкой 803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800" name="Группа 799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801" name="Овал 800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802" name="Прямая со стрелкой 801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11656</xdr:colOff>
      <xdr:row>177</xdr:row>
      <xdr:rowOff>676275</xdr:rowOff>
    </xdr:from>
    <xdr:to>
      <xdr:col>3</xdr:col>
      <xdr:colOff>11656</xdr:colOff>
      <xdr:row>178</xdr:row>
      <xdr:rowOff>569457</xdr:rowOff>
    </xdr:to>
    <xdr:cxnSp macro="">
      <xdr:nvCxnSpPr>
        <xdr:cNvPr id="808" name="Прямая соединительная линия 807"/>
        <xdr:cNvCxnSpPr/>
      </xdr:nvCxnSpPr>
      <xdr:spPr>
        <a:xfrm>
          <a:off x="2021431" y="13144500"/>
          <a:ext cx="0" cy="588507"/>
        </a:xfrm>
        <a:prstGeom prst="line">
          <a:avLst/>
        </a:prstGeom>
        <a:ln w="5080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179</xdr:row>
      <xdr:rowOff>114300</xdr:rowOff>
    </xdr:from>
    <xdr:to>
      <xdr:col>3</xdr:col>
      <xdr:colOff>734</xdr:colOff>
      <xdr:row>180</xdr:row>
      <xdr:rowOff>7327</xdr:rowOff>
    </xdr:to>
    <xdr:cxnSp macro="">
      <xdr:nvCxnSpPr>
        <xdr:cNvPr id="809" name="Прямая соединительная линия 808"/>
        <xdr:cNvCxnSpPr/>
      </xdr:nvCxnSpPr>
      <xdr:spPr>
        <a:xfrm flipV="1">
          <a:off x="2014904" y="103079550"/>
          <a:ext cx="734" cy="589085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180</xdr:row>
      <xdr:rowOff>538843</xdr:rowOff>
    </xdr:from>
    <xdr:to>
      <xdr:col>3</xdr:col>
      <xdr:colOff>53467</xdr:colOff>
      <xdr:row>180</xdr:row>
      <xdr:rowOff>646843</xdr:rowOff>
    </xdr:to>
    <xdr:sp macro="" textlink="">
      <xdr:nvSpPr>
        <xdr:cNvPr id="810" name="Овал 809"/>
        <xdr:cNvSpPr/>
      </xdr:nvSpPr>
      <xdr:spPr>
        <a:xfrm>
          <a:off x="1955242" y="150930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12328</xdr:colOff>
      <xdr:row>179</xdr:row>
      <xdr:rowOff>568570</xdr:rowOff>
    </xdr:from>
    <xdr:to>
      <xdr:col>3</xdr:col>
      <xdr:colOff>136015</xdr:colOff>
      <xdr:row>180</xdr:row>
      <xdr:rowOff>1275</xdr:rowOff>
    </xdr:to>
    <xdr:grpSp>
      <xdr:nvGrpSpPr>
        <xdr:cNvPr id="812" name="Группа 811"/>
        <xdr:cNvGrpSpPr/>
      </xdr:nvGrpSpPr>
      <xdr:grpSpPr>
        <a:xfrm flipH="1">
          <a:off x="2039792" y="82415534"/>
          <a:ext cx="123687" cy="126670"/>
          <a:chOff x="1132242" y="1306343"/>
          <a:chExt cx="123151" cy="128030"/>
        </a:xfrm>
      </xdr:grpSpPr>
      <xdr:cxnSp macro="">
        <xdr:nvCxnSpPr>
          <xdr:cNvPr id="813" name="Прямая соединительная линия 81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14" name="Прямоугольник 81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180</xdr:row>
      <xdr:rowOff>0</xdr:rowOff>
    </xdr:from>
    <xdr:to>
      <xdr:col>3</xdr:col>
      <xdr:colOff>512884</xdr:colOff>
      <xdr:row>180</xdr:row>
      <xdr:rowOff>586153</xdr:rowOff>
    </xdr:to>
    <xdr:sp macro="" textlink="">
      <xdr:nvSpPr>
        <xdr:cNvPr id="816" name="Полилиния 815"/>
        <xdr:cNvSpPr/>
      </xdr:nvSpPr>
      <xdr:spPr>
        <a:xfrm>
          <a:off x="2014904" y="103661308"/>
          <a:ext cx="512884" cy="586153"/>
        </a:xfrm>
        <a:custGeom>
          <a:avLst/>
          <a:gdLst>
            <a:gd name="connsiteX0" fmla="*/ 0 w 512884"/>
            <a:gd name="connsiteY0" fmla="*/ 586153 h 586153"/>
            <a:gd name="connsiteX1" fmla="*/ 0 w 512884"/>
            <a:gd name="connsiteY1" fmla="*/ 0 h 586153"/>
            <a:gd name="connsiteX2" fmla="*/ 512884 w 512884"/>
            <a:gd name="connsiteY2" fmla="*/ 0 h 5861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2884" h="586153">
              <a:moveTo>
                <a:pt x="0" y="586153"/>
              </a:moveTo>
              <a:lnTo>
                <a:pt x="0" y="0"/>
              </a:lnTo>
              <a:lnTo>
                <a:pt x="512884" y="0"/>
              </a:lnTo>
            </a:path>
          </a:pathLst>
        </a:custGeom>
        <a:noFill/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134465</xdr:colOff>
      <xdr:row>62</xdr:row>
      <xdr:rowOff>20139</xdr:rowOff>
    </xdr:from>
    <xdr:to>
      <xdr:col>3</xdr:col>
      <xdr:colOff>262031</xdr:colOff>
      <xdr:row>62</xdr:row>
      <xdr:rowOff>146636</xdr:rowOff>
    </xdr:to>
    <xdr:grpSp>
      <xdr:nvGrpSpPr>
        <xdr:cNvPr id="817" name="Группа 816"/>
        <xdr:cNvGrpSpPr/>
      </xdr:nvGrpSpPr>
      <xdr:grpSpPr>
        <a:xfrm flipH="1">
          <a:off x="2161929" y="33983568"/>
          <a:ext cx="127566" cy="126497"/>
          <a:chOff x="1132242" y="1306343"/>
          <a:chExt cx="123151" cy="128030"/>
        </a:xfrm>
      </xdr:grpSpPr>
      <xdr:cxnSp macro="">
        <xdr:nvCxnSpPr>
          <xdr:cNvPr id="818" name="Прямая соединительная линия 81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19" name="Прямоугольник 81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161</xdr:row>
      <xdr:rowOff>69273</xdr:rowOff>
    </xdr:from>
    <xdr:to>
      <xdr:col>3</xdr:col>
      <xdr:colOff>14253</xdr:colOff>
      <xdr:row>162</xdr:row>
      <xdr:rowOff>557771</xdr:rowOff>
    </xdr:to>
    <xdr:cxnSp macro="">
      <xdr:nvCxnSpPr>
        <xdr:cNvPr id="861" name="Прямая соединительная линия 860"/>
        <xdr:cNvCxnSpPr/>
      </xdr:nvCxnSpPr>
      <xdr:spPr>
        <a:xfrm flipV="1">
          <a:off x="2041717" y="62485237"/>
          <a:ext cx="0" cy="11824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162</xdr:row>
      <xdr:rowOff>493816</xdr:rowOff>
    </xdr:from>
    <xdr:to>
      <xdr:col>3</xdr:col>
      <xdr:colOff>63839</xdr:colOff>
      <xdr:row>162</xdr:row>
      <xdr:rowOff>601816</xdr:rowOff>
    </xdr:to>
    <xdr:sp macro="" textlink="">
      <xdr:nvSpPr>
        <xdr:cNvPr id="862" name="Овал 861"/>
        <xdr:cNvSpPr/>
      </xdr:nvSpPr>
      <xdr:spPr>
        <a:xfrm>
          <a:off x="1979221" y="63603745"/>
          <a:ext cx="1120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161</xdr:row>
      <xdr:rowOff>617641</xdr:rowOff>
    </xdr:from>
    <xdr:to>
      <xdr:col>3</xdr:col>
      <xdr:colOff>280814</xdr:colOff>
      <xdr:row>162</xdr:row>
      <xdr:rowOff>66316</xdr:rowOff>
    </xdr:to>
    <xdr:sp macro="" textlink="">
      <xdr:nvSpPr>
        <xdr:cNvPr id="863" name="Овал 862"/>
        <xdr:cNvSpPr/>
      </xdr:nvSpPr>
      <xdr:spPr>
        <a:xfrm>
          <a:off x="2164278" y="63033605"/>
          <a:ext cx="144000" cy="1426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220656</xdr:colOff>
      <xdr:row>161</xdr:row>
      <xdr:rowOff>480579</xdr:rowOff>
    </xdr:from>
    <xdr:to>
      <xdr:col>6</xdr:col>
      <xdr:colOff>211131</xdr:colOff>
      <xdr:row>162</xdr:row>
      <xdr:rowOff>187902</xdr:rowOff>
    </xdr:to>
    <xdr:sp macro="" textlink="">
      <xdr:nvSpPr>
        <xdr:cNvPr id="864" name="Прямоугольник 863"/>
        <xdr:cNvSpPr/>
      </xdr:nvSpPr>
      <xdr:spPr>
        <a:xfrm>
          <a:off x="2820421" y="106073608"/>
          <a:ext cx="1716181" cy="402088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ТАЛАШКИНО</a:t>
          </a:r>
        </a:p>
      </xdr:txBody>
    </xdr:sp>
    <xdr:clientData/>
  </xdr:twoCellAnchor>
  <xdr:twoCellAnchor>
    <xdr:from>
      <xdr:col>2</xdr:col>
      <xdr:colOff>513490</xdr:colOff>
      <xdr:row>164</xdr:row>
      <xdr:rowOff>543335</xdr:rowOff>
    </xdr:from>
    <xdr:to>
      <xdr:col>3</xdr:col>
      <xdr:colOff>48746</xdr:colOff>
      <xdr:row>164</xdr:row>
      <xdr:rowOff>651335</xdr:rowOff>
    </xdr:to>
    <xdr:sp macro="" textlink="">
      <xdr:nvSpPr>
        <xdr:cNvPr id="865" name="Овал 864"/>
        <xdr:cNvSpPr/>
      </xdr:nvSpPr>
      <xdr:spPr>
        <a:xfrm>
          <a:off x="1947253" y="108511717"/>
          <a:ext cx="11678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574493</xdr:colOff>
      <xdr:row>163</xdr:row>
      <xdr:rowOff>81643</xdr:rowOff>
    </xdr:from>
    <xdr:to>
      <xdr:col>2</xdr:col>
      <xdr:colOff>574493</xdr:colOff>
      <xdr:row>164</xdr:row>
      <xdr:rowOff>608767</xdr:rowOff>
    </xdr:to>
    <xdr:cxnSp macro="">
      <xdr:nvCxnSpPr>
        <xdr:cNvPr id="866" name="Прямая соединительная линия 865"/>
        <xdr:cNvCxnSpPr/>
      </xdr:nvCxnSpPr>
      <xdr:spPr>
        <a:xfrm flipV="1">
          <a:off x="2016850" y="63885536"/>
          <a:ext cx="0" cy="122108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570677</xdr:colOff>
      <xdr:row>164</xdr:row>
      <xdr:rowOff>8610</xdr:rowOff>
    </xdr:from>
    <xdr:to>
      <xdr:col>3</xdr:col>
      <xdr:colOff>513522</xdr:colOff>
      <xdr:row>164</xdr:row>
      <xdr:rowOff>41413</xdr:rowOff>
    </xdr:to>
    <xdr:cxnSp macro="">
      <xdr:nvCxnSpPr>
        <xdr:cNvPr id="867" name="Прямая соединительная линия 866"/>
        <xdr:cNvCxnSpPr/>
      </xdr:nvCxnSpPr>
      <xdr:spPr>
        <a:xfrm flipH="1" flipV="1">
          <a:off x="2013034" y="64506467"/>
          <a:ext cx="527952" cy="3280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569611</xdr:colOff>
      <xdr:row>163</xdr:row>
      <xdr:rowOff>694597</xdr:rowOff>
    </xdr:from>
    <xdr:to>
      <xdr:col>3</xdr:col>
      <xdr:colOff>547721</xdr:colOff>
      <xdr:row>164</xdr:row>
      <xdr:rowOff>579358</xdr:rowOff>
    </xdr:to>
    <xdr:sp macro="" textlink="">
      <xdr:nvSpPr>
        <xdr:cNvPr id="868" name="Полилиния 867"/>
        <xdr:cNvSpPr/>
      </xdr:nvSpPr>
      <xdr:spPr>
        <a:xfrm>
          <a:off x="2011968" y="64498490"/>
          <a:ext cx="563217" cy="578725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  <a:gd name="connsiteX0" fmla="*/ 0 w 538370"/>
            <a:gd name="connsiteY0" fmla="*/ 580426 h 580426"/>
            <a:gd name="connsiteX1" fmla="*/ 0 w 538370"/>
            <a:gd name="connsiteY1" fmla="*/ 644 h 580426"/>
            <a:gd name="connsiteX2" fmla="*/ 538370 w 538370"/>
            <a:gd name="connsiteY2" fmla="*/ 58622 h 580426"/>
            <a:gd name="connsiteX0" fmla="*/ 0 w 563465"/>
            <a:gd name="connsiteY0" fmla="*/ 580500 h 580500"/>
            <a:gd name="connsiteX1" fmla="*/ 0 w 563465"/>
            <a:gd name="connsiteY1" fmla="*/ 718 h 580500"/>
            <a:gd name="connsiteX2" fmla="*/ 563465 w 563465"/>
            <a:gd name="connsiteY2" fmla="*/ 50413 h 58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3465" h="580500">
              <a:moveTo>
                <a:pt x="0" y="580500"/>
              </a:moveTo>
              <a:lnTo>
                <a:pt x="0" y="718"/>
              </a:lnTo>
              <a:cubicBezTo>
                <a:pt x="179457" y="-7565"/>
                <a:pt x="384008" y="58696"/>
                <a:pt x="563465" y="50413"/>
              </a:cubicBez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527840</xdr:colOff>
      <xdr:row>170</xdr:row>
      <xdr:rowOff>510523</xdr:rowOff>
    </xdr:from>
    <xdr:to>
      <xdr:col>3</xdr:col>
      <xdr:colOff>59452</xdr:colOff>
      <xdr:row>170</xdr:row>
      <xdr:rowOff>618523</xdr:rowOff>
    </xdr:to>
    <xdr:sp macro="" textlink="">
      <xdr:nvSpPr>
        <xdr:cNvPr id="869" name="Овал 868"/>
        <xdr:cNvSpPr/>
      </xdr:nvSpPr>
      <xdr:spPr>
        <a:xfrm>
          <a:off x="1970197" y="69172166"/>
          <a:ext cx="11671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1948</xdr:colOff>
      <xdr:row>169</xdr:row>
      <xdr:rowOff>685800</xdr:rowOff>
    </xdr:from>
    <xdr:to>
      <xdr:col>3</xdr:col>
      <xdr:colOff>1948</xdr:colOff>
      <xdr:row>170</xdr:row>
      <xdr:rowOff>575956</xdr:rowOff>
    </xdr:to>
    <xdr:cxnSp macro="">
      <xdr:nvCxnSpPr>
        <xdr:cNvPr id="870" name="Прямая соединительная линия 869"/>
        <xdr:cNvCxnSpPr/>
      </xdr:nvCxnSpPr>
      <xdr:spPr>
        <a:xfrm flipV="1">
          <a:off x="2029412" y="68653479"/>
          <a:ext cx="0" cy="58412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8664</xdr:colOff>
      <xdr:row>169</xdr:row>
      <xdr:rowOff>675399</xdr:rowOff>
    </xdr:from>
    <xdr:to>
      <xdr:col>3</xdr:col>
      <xdr:colOff>495300</xdr:colOff>
      <xdr:row>170</xdr:row>
      <xdr:rowOff>123825</xdr:rowOff>
    </xdr:to>
    <xdr:cxnSp macro="">
      <xdr:nvCxnSpPr>
        <xdr:cNvPr id="871" name="Прямая соединительная линия 870"/>
        <xdr:cNvCxnSpPr/>
      </xdr:nvCxnSpPr>
      <xdr:spPr>
        <a:xfrm flipH="1" flipV="1">
          <a:off x="2036128" y="68643078"/>
          <a:ext cx="486636" cy="142390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6321</xdr:colOff>
      <xdr:row>169</xdr:row>
      <xdr:rowOff>104775</xdr:rowOff>
    </xdr:from>
    <xdr:to>
      <xdr:col>3</xdr:col>
      <xdr:colOff>171450</xdr:colOff>
      <xdr:row>170</xdr:row>
      <xdr:rowOff>1216</xdr:rowOff>
    </xdr:to>
    <xdr:cxnSp macro="">
      <xdr:nvCxnSpPr>
        <xdr:cNvPr id="872" name="Прямая соединительная линия 871"/>
        <xdr:cNvCxnSpPr/>
      </xdr:nvCxnSpPr>
      <xdr:spPr>
        <a:xfrm flipV="1">
          <a:off x="2033785" y="68072454"/>
          <a:ext cx="165129" cy="590405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169</xdr:row>
      <xdr:rowOff>683102</xdr:rowOff>
    </xdr:from>
    <xdr:to>
      <xdr:col>3</xdr:col>
      <xdr:colOff>8341</xdr:colOff>
      <xdr:row>170</xdr:row>
      <xdr:rowOff>142873</xdr:rowOff>
    </xdr:to>
    <xdr:cxnSp macro="">
      <xdr:nvCxnSpPr>
        <xdr:cNvPr id="873" name="Прямая соединительная линия 872"/>
        <xdr:cNvCxnSpPr/>
      </xdr:nvCxnSpPr>
      <xdr:spPr>
        <a:xfrm flipH="1">
          <a:off x="1518557" y="68650781"/>
          <a:ext cx="517248" cy="153735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545032</xdr:colOff>
      <xdr:row>168</xdr:row>
      <xdr:rowOff>474030</xdr:rowOff>
    </xdr:from>
    <xdr:to>
      <xdr:col>3</xdr:col>
      <xdr:colOff>72007</xdr:colOff>
      <xdr:row>168</xdr:row>
      <xdr:rowOff>589068</xdr:rowOff>
    </xdr:to>
    <xdr:sp macro="" textlink="">
      <xdr:nvSpPr>
        <xdr:cNvPr id="874" name="Овал 873"/>
        <xdr:cNvSpPr/>
      </xdr:nvSpPr>
      <xdr:spPr>
        <a:xfrm rot="5614795">
          <a:off x="1985911" y="67749222"/>
          <a:ext cx="115038" cy="112082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13620</xdr:colOff>
      <xdr:row>167</xdr:row>
      <xdr:rowOff>124043</xdr:rowOff>
    </xdr:from>
    <xdr:to>
      <xdr:col>3</xdr:col>
      <xdr:colOff>15543</xdr:colOff>
      <xdr:row>168</xdr:row>
      <xdr:rowOff>510880</xdr:rowOff>
    </xdr:to>
    <xdr:cxnSp macro="">
      <xdr:nvCxnSpPr>
        <xdr:cNvPr id="875" name="Прямая соединительная линия 874"/>
        <xdr:cNvCxnSpPr/>
      </xdr:nvCxnSpPr>
      <xdr:spPr>
        <a:xfrm flipH="1" flipV="1">
          <a:off x="2041084" y="66703793"/>
          <a:ext cx="1923" cy="108080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575152</xdr:colOff>
      <xdr:row>167</xdr:row>
      <xdr:rowOff>656653</xdr:rowOff>
    </xdr:from>
    <xdr:to>
      <xdr:col>3</xdr:col>
      <xdr:colOff>544944</xdr:colOff>
      <xdr:row>167</xdr:row>
      <xdr:rowOff>656653</xdr:rowOff>
    </xdr:to>
    <xdr:cxnSp macro="">
      <xdr:nvCxnSpPr>
        <xdr:cNvPr id="876" name="Прямая соединительная линия 875"/>
        <xdr:cNvCxnSpPr/>
      </xdr:nvCxnSpPr>
      <xdr:spPr>
        <a:xfrm rot="15441996" flipV="1">
          <a:off x="2294959" y="66958953"/>
          <a:ext cx="0" cy="55489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53782</xdr:colOff>
      <xdr:row>168</xdr:row>
      <xdr:rowOff>58871</xdr:rowOff>
    </xdr:from>
    <xdr:to>
      <xdr:col>3</xdr:col>
      <xdr:colOff>474698</xdr:colOff>
      <xdr:row>168</xdr:row>
      <xdr:rowOff>347582</xdr:rowOff>
    </xdr:to>
    <xdr:cxnSp macro="">
      <xdr:nvCxnSpPr>
        <xdr:cNvPr id="877" name="Прямая соединительная линия 876"/>
        <xdr:cNvCxnSpPr/>
      </xdr:nvCxnSpPr>
      <xdr:spPr>
        <a:xfrm rot="15441996" flipV="1">
          <a:off x="2147348" y="67266483"/>
          <a:ext cx="288711" cy="420916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72161</xdr:colOff>
      <xdr:row>168</xdr:row>
      <xdr:rowOff>75429</xdr:rowOff>
    </xdr:from>
    <xdr:to>
      <xdr:col>3</xdr:col>
      <xdr:colOff>41953</xdr:colOff>
      <xdr:row>168</xdr:row>
      <xdr:rowOff>75429</xdr:rowOff>
    </xdr:to>
    <xdr:cxnSp macro="">
      <xdr:nvCxnSpPr>
        <xdr:cNvPr id="878" name="Прямая соединительная линия 877"/>
        <xdr:cNvCxnSpPr/>
      </xdr:nvCxnSpPr>
      <xdr:spPr>
        <a:xfrm rot="15441996" flipV="1">
          <a:off x="1791968" y="67071693"/>
          <a:ext cx="0" cy="554899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82385</xdr:colOff>
      <xdr:row>164</xdr:row>
      <xdr:rowOff>127785</xdr:rowOff>
    </xdr:from>
    <xdr:to>
      <xdr:col>3</xdr:col>
      <xdr:colOff>226385</xdr:colOff>
      <xdr:row>164</xdr:row>
      <xdr:rowOff>270424</xdr:rowOff>
    </xdr:to>
    <xdr:sp macro="" textlink="">
      <xdr:nvSpPr>
        <xdr:cNvPr id="879" name="Овал 878"/>
        <xdr:cNvSpPr/>
      </xdr:nvSpPr>
      <xdr:spPr>
        <a:xfrm>
          <a:off x="2109849" y="64625642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188239</xdr:colOff>
      <xdr:row>163</xdr:row>
      <xdr:rowOff>302317</xdr:rowOff>
    </xdr:from>
    <xdr:to>
      <xdr:col>4</xdr:col>
      <xdr:colOff>960296</xdr:colOff>
      <xdr:row>164</xdr:row>
      <xdr:rowOff>381702</xdr:rowOff>
    </xdr:to>
    <xdr:grpSp>
      <xdr:nvGrpSpPr>
        <xdr:cNvPr id="880" name="Группа 879"/>
        <xdr:cNvGrpSpPr/>
      </xdr:nvGrpSpPr>
      <xdr:grpSpPr>
        <a:xfrm>
          <a:off x="2800810" y="72433781"/>
          <a:ext cx="772057" cy="773350"/>
          <a:chOff x="2897138" y="63018229"/>
          <a:chExt cx="772057" cy="775124"/>
        </a:xfrm>
      </xdr:grpSpPr>
      <xdr:sp macro="" textlink="">
        <xdr:nvSpPr>
          <xdr:cNvPr id="881" name="Прямоугольник 880"/>
          <xdr:cNvSpPr/>
        </xdr:nvSpPr>
        <xdr:spPr>
          <a:xfrm>
            <a:off x="2897138" y="63018229"/>
            <a:ext cx="772057" cy="775124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882" name="Рисунок 88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8610" y="63099791"/>
            <a:ext cx="609113" cy="6120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612356</xdr:colOff>
      <xdr:row>161</xdr:row>
      <xdr:rowOff>505876</xdr:rowOff>
    </xdr:from>
    <xdr:to>
      <xdr:col>5</xdr:col>
      <xdr:colOff>404538</xdr:colOff>
      <xdr:row>162</xdr:row>
      <xdr:rowOff>162605</xdr:rowOff>
    </xdr:to>
    <xdr:cxnSp macro="">
      <xdr:nvCxnSpPr>
        <xdr:cNvPr id="883" name="Прямая соединительная линия 882"/>
        <xdr:cNvCxnSpPr/>
      </xdr:nvCxnSpPr>
      <xdr:spPr>
        <a:xfrm flipV="1">
          <a:off x="3212121" y="106098905"/>
          <a:ext cx="935182" cy="351494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16566</xdr:colOff>
      <xdr:row>167</xdr:row>
      <xdr:rowOff>596348</xdr:rowOff>
    </xdr:from>
    <xdr:to>
      <xdr:col>3</xdr:col>
      <xdr:colOff>546652</xdr:colOff>
      <xdr:row>168</xdr:row>
      <xdr:rowOff>521805</xdr:rowOff>
    </xdr:to>
    <xdr:sp macro="" textlink="">
      <xdr:nvSpPr>
        <xdr:cNvPr id="885" name="Полилиния 884"/>
        <xdr:cNvSpPr/>
      </xdr:nvSpPr>
      <xdr:spPr>
        <a:xfrm>
          <a:off x="2044030" y="67176098"/>
          <a:ext cx="530086" cy="619421"/>
        </a:xfrm>
        <a:custGeom>
          <a:avLst/>
          <a:gdLst>
            <a:gd name="connsiteX0" fmla="*/ 0 w 530086"/>
            <a:gd name="connsiteY0" fmla="*/ 621196 h 621196"/>
            <a:gd name="connsiteX1" fmla="*/ 0 w 530086"/>
            <a:gd name="connsiteY1" fmla="*/ 124239 h 621196"/>
            <a:gd name="connsiteX2" fmla="*/ 530086 w 530086"/>
            <a:gd name="connsiteY2" fmla="*/ 0 h 6211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6" h="621196">
              <a:moveTo>
                <a:pt x="0" y="621196"/>
              </a:moveTo>
              <a:lnTo>
                <a:pt x="0" y="124239"/>
              </a:lnTo>
              <a:lnTo>
                <a:pt x="530086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522827</xdr:colOff>
      <xdr:row>172</xdr:row>
      <xdr:rowOff>508901</xdr:rowOff>
    </xdr:from>
    <xdr:to>
      <xdr:col>3</xdr:col>
      <xdr:colOff>49802</xdr:colOff>
      <xdr:row>172</xdr:row>
      <xdr:rowOff>623939</xdr:rowOff>
    </xdr:to>
    <xdr:sp macro="" textlink="">
      <xdr:nvSpPr>
        <xdr:cNvPr id="896" name="Овал 895"/>
        <xdr:cNvSpPr/>
      </xdr:nvSpPr>
      <xdr:spPr>
        <a:xfrm rot="5614795">
          <a:off x="1963706" y="74723736"/>
          <a:ext cx="115038" cy="112082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78441</xdr:colOff>
      <xdr:row>171</xdr:row>
      <xdr:rowOff>638735</xdr:rowOff>
    </xdr:from>
    <xdr:to>
      <xdr:col>3</xdr:col>
      <xdr:colOff>481853</xdr:colOff>
      <xdr:row>172</xdr:row>
      <xdr:rowOff>67235</xdr:rowOff>
    </xdr:to>
    <xdr:cxnSp macro="">
      <xdr:nvCxnSpPr>
        <xdr:cNvPr id="897" name="Прямая соединительная линия 896"/>
        <xdr:cNvCxnSpPr/>
      </xdr:nvCxnSpPr>
      <xdr:spPr>
        <a:xfrm>
          <a:off x="1520798" y="74158128"/>
          <a:ext cx="988519" cy="12246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172</xdr:row>
      <xdr:rowOff>0</xdr:rowOff>
    </xdr:from>
    <xdr:to>
      <xdr:col>3</xdr:col>
      <xdr:colOff>0</xdr:colOff>
      <xdr:row>172</xdr:row>
      <xdr:rowOff>555700</xdr:rowOff>
    </xdr:to>
    <xdr:cxnSp macro="">
      <xdr:nvCxnSpPr>
        <xdr:cNvPr id="898" name="Прямая соединительная линия 897"/>
        <xdr:cNvCxnSpPr/>
      </xdr:nvCxnSpPr>
      <xdr:spPr>
        <a:xfrm flipV="1">
          <a:off x="2027464" y="74213357"/>
          <a:ext cx="0" cy="5557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172</xdr:row>
      <xdr:rowOff>11206</xdr:rowOff>
    </xdr:from>
    <xdr:to>
      <xdr:col>3</xdr:col>
      <xdr:colOff>526676</xdr:colOff>
      <xdr:row>172</xdr:row>
      <xdr:rowOff>537882</xdr:rowOff>
    </xdr:to>
    <xdr:sp macro="" textlink="">
      <xdr:nvSpPr>
        <xdr:cNvPr id="902" name="Полилиния 901"/>
        <xdr:cNvSpPr/>
      </xdr:nvSpPr>
      <xdr:spPr>
        <a:xfrm>
          <a:off x="2013857" y="74224563"/>
          <a:ext cx="540283" cy="526676"/>
        </a:xfrm>
        <a:custGeom>
          <a:avLst/>
          <a:gdLst>
            <a:gd name="connsiteX0" fmla="*/ 0 w 537882"/>
            <a:gd name="connsiteY0" fmla="*/ 526676 h 526676"/>
            <a:gd name="connsiteX1" fmla="*/ 0 w 537882"/>
            <a:gd name="connsiteY1" fmla="*/ 0 h 526676"/>
            <a:gd name="connsiteX2" fmla="*/ 537882 w 537882"/>
            <a:gd name="connsiteY2" fmla="*/ 67235 h 5266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7882" h="526676">
              <a:moveTo>
                <a:pt x="0" y="526676"/>
              </a:moveTo>
              <a:lnTo>
                <a:pt x="0" y="0"/>
              </a:lnTo>
              <a:lnTo>
                <a:pt x="537882" y="67235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127448</xdr:colOff>
      <xdr:row>171</xdr:row>
      <xdr:rowOff>549088</xdr:rowOff>
    </xdr:from>
    <xdr:ext cx="609653" cy="540496"/>
    <xdr:pic>
      <xdr:nvPicPr>
        <xdr:cNvPr id="903" name="Рисунок 90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19" y="74068481"/>
          <a:ext cx="609653" cy="540496"/>
        </a:xfrm>
        <a:prstGeom prst="rect">
          <a:avLst/>
        </a:prstGeom>
      </xdr:spPr>
    </xdr:pic>
    <xdr:clientData/>
  </xdr:oneCellAnchor>
  <xdr:twoCellAnchor>
    <xdr:from>
      <xdr:col>3</xdr:col>
      <xdr:colOff>67236</xdr:colOff>
      <xdr:row>172</xdr:row>
      <xdr:rowOff>124543</xdr:rowOff>
    </xdr:from>
    <xdr:to>
      <xdr:col>3</xdr:col>
      <xdr:colOff>211236</xdr:colOff>
      <xdr:row>172</xdr:row>
      <xdr:rowOff>268957</xdr:rowOff>
    </xdr:to>
    <xdr:sp macro="" textlink="">
      <xdr:nvSpPr>
        <xdr:cNvPr id="904" name="Овал 903"/>
        <xdr:cNvSpPr/>
      </xdr:nvSpPr>
      <xdr:spPr>
        <a:xfrm>
          <a:off x="2094700" y="74337900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101</xdr:row>
      <xdr:rowOff>69273</xdr:rowOff>
    </xdr:from>
    <xdr:to>
      <xdr:col>3</xdr:col>
      <xdr:colOff>14253</xdr:colOff>
      <xdr:row>102</xdr:row>
      <xdr:rowOff>557771</xdr:rowOff>
    </xdr:to>
    <xdr:cxnSp macro="">
      <xdr:nvCxnSpPr>
        <xdr:cNvPr id="486" name="Прямая соединительная линия 485"/>
        <xdr:cNvCxnSpPr/>
      </xdr:nvCxnSpPr>
      <xdr:spPr>
        <a:xfrm flipV="1">
          <a:off x="2031312" y="73703126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102</xdr:row>
      <xdr:rowOff>493816</xdr:rowOff>
    </xdr:from>
    <xdr:to>
      <xdr:col>3</xdr:col>
      <xdr:colOff>68852</xdr:colOff>
      <xdr:row>102</xdr:row>
      <xdr:rowOff>601816</xdr:rowOff>
    </xdr:to>
    <xdr:sp macro="" textlink="">
      <xdr:nvSpPr>
        <xdr:cNvPr id="488" name="Овал 487"/>
        <xdr:cNvSpPr/>
      </xdr:nvSpPr>
      <xdr:spPr>
        <a:xfrm>
          <a:off x="1975640" y="65258803"/>
          <a:ext cx="10850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101</xdr:row>
      <xdr:rowOff>617641</xdr:rowOff>
    </xdr:from>
    <xdr:to>
      <xdr:col>3</xdr:col>
      <xdr:colOff>280814</xdr:colOff>
      <xdr:row>102</xdr:row>
      <xdr:rowOff>66316</xdr:rowOff>
    </xdr:to>
    <xdr:sp macro="" textlink="">
      <xdr:nvSpPr>
        <xdr:cNvPr id="504" name="Овал 503"/>
        <xdr:cNvSpPr/>
      </xdr:nvSpPr>
      <xdr:spPr>
        <a:xfrm>
          <a:off x="2153873" y="74251494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198243</xdr:colOff>
      <xdr:row>101</xdr:row>
      <xdr:rowOff>480579</xdr:rowOff>
    </xdr:from>
    <xdr:to>
      <xdr:col>6</xdr:col>
      <xdr:colOff>188718</xdr:colOff>
      <xdr:row>102</xdr:row>
      <xdr:rowOff>187902</xdr:rowOff>
    </xdr:to>
    <xdr:sp macro="" textlink="">
      <xdr:nvSpPr>
        <xdr:cNvPr id="506" name="Прямоугольник 505"/>
        <xdr:cNvSpPr/>
      </xdr:nvSpPr>
      <xdr:spPr>
        <a:xfrm>
          <a:off x="2798008" y="46323844"/>
          <a:ext cx="1716181" cy="402087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589943</xdr:colOff>
      <xdr:row>101</xdr:row>
      <xdr:rowOff>505876</xdr:rowOff>
    </xdr:from>
    <xdr:to>
      <xdr:col>5</xdr:col>
      <xdr:colOff>382125</xdr:colOff>
      <xdr:row>102</xdr:row>
      <xdr:rowOff>162605</xdr:rowOff>
    </xdr:to>
    <xdr:cxnSp macro="">
      <xdr:nvCxnSpPr>
        <xdr:cNvPr id="507" name="Прямая соединительная линия 506"/>
        <xdr:cNvCxnSpPr/>
      </xdr:nvCxnSpPr>
      <xdr:spPr>
        <a:xfrm flipV="1">
          <a:off x="3189708" y="46349141"/>
          <a:ext cx="935182" cy="3514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104</xdr:row>
      <xdr:rowOff>524922</xdr:rowOff>
    </xdr:from>
    <xdr:to>
      <xdr:col>3</xdr:col>
      <xdr:colOff>69900</xdr:colOff>
      <xdr:row>104</xdr:row>
      <xdr:rowOff>632922</xdr:rowOff>
    </xdr:to>
    <xdr:sp macro="" textlink="">
      <xdr:nvSpPr>
        <xdr:cNvPr id="508" name="Овал 507"/>
        <xdr:cNvSpPr/>
      </xdr:nvSpPr>
      <xdr:spPr>
        <a:xfrm>
          <a:off x="1971675" y="8043967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103</xdr:row>
      <xdr:rowOff>104776</xdr:rowOff>
    </xdr:from>
    <xdr:to>
      <xdr:col>3</xdr:col>
      <xdr:colOff>23162</xdr:colOff>
      <xdr:row>104</xdr:row>
      <xdr:rowOff>581025</xdr:rowOff>
    </xdr:to>
    <xdr:cxnSp macro="">
      <xdr:nvCxnSpPr>
        <xdr:cNvPr id="509" name="Прямая соединительная линия 508"/>
        <xdr:cNvCxnSpPr/>
      </xdr:nvCxnSpPr>
      <xdr:spPr>
        <a:xfrm flipV="1">
          <a:off x="2032937" y="79324201"/>
          <a:ext cx="0" cy="1171574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104</xdr:row>
      <xdr:rowOff>427160</xdr:rowOff>
    </xdr:from>
    <xdr:to>
      <xdr:col>3</xdr:col>
      <xdr:colOff>144817</xdr:colOff>
      <xdr:row>104</xdr:row>
      <xdr:rowOff>554457</xdr:rowOff>
    </xdr:to>
    <xdr:grpSp>
      <xdr:nvGrpSpPr>
        <xdr:cNvPr id="510" name="Группа 509"/>
        <xdr:cNvGrpSpPr/>
      </xdr:nvGrpSpPr>
      <xdr:grpSpPr>
        <a:xfrm flipH="1">
          <a:off x="2044715" y="49657803"/>
          <a:ext cx="127566" cy="127297"/>
          <a:chOff x="1132242" y="1306343"/>
          <a:chExt cx="123151" cy="128030"/>
        </a:xfrm>
      </xdr:grpSpPr>
      <xdr:cxnSp macro="">
        <xdr:nvCxnSpPr>
          <xdr:cNvPr id="511" name="Прямая соединительная линия 51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2" name="Прямоугольник 51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103</xdr:row>
      <xdr:rowOff>114300</xdr:rowOff>
    </xdr:from>
    <xdr:to>
      <xdr:col>3</xdr:col>
      <xdr:colOff>304800</xdr:colOff>
      <xdr:row>104</xdr:row>
      <xdr:rowOff>552450</xdr:rowOff>
    </xdr:to>
    <xdr:sp macro="" textlink="">
      <xdr:nvSpPr>
        <xdr:cNvPr id="522" name="Полилиния 521"/>
        <xdr:cNvSpPr/>
      </xdr:nvSpPr>
      <xdr:spPr>
        <a:xfrm>
          <a:off x="2019300" y="79333725"/>
          <a:ext cx="295275" cy="1133475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542925</xdr:colOff>
      <xdr:row>106</xdr:row>
      <xdr:rowOff>524922</xdr:rowOff>
    </xdr:from>
    <xdr:to>
      <xdr:col>3</xdr:col>
      <xdr:colOff>69900</xdr:colOff>
      <xdr:row>106</xdr:row>
      <xdr:rowOff>632922</xdr:rowOff>
    </xdr:to>
    <xdr:sp macro="" textlink="">
      <xdr:nvSpPr>
        <xdr:cNvPr id="523" name="Овал 522"/>
        <xdr:cNvSpPr/>
      </xdr:nvSpPr>
      <xdr:spPr>
        <a:xfrm>
          <a:off x="1977278" y="7346401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105</xdr:row>
      <xdr:rowOff>104776</xdr:rowOff>
    </xdr:from>
    <xdr:to>
      <xdr:col>3</xdr:col>
      <xdr:colOff>23162</xdr:colOff>
      <xdr:row>106</xdr:row>
      <xdr:rowOff>581025</xdr:rowOff>
    </xdr:to>
    <xdr:cxnSp macro="">
      <xdr:nvCxnSpPr>
        <xdr:cNvPr id="524" name="Прямая соединительная линия 523"/>
        <xdr:cNvCxnSpPr/>
      </xdr:nvCxnSpPr>
      <xdr:spPr>
        <a:xfrm flipV="1">
          <a:off x="2040221" y="72349100"/>
          <a:ext cx="0" cy="117101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106</xdr:row>
      <xdr:rowOff>427160</xdr:rowOff>
    </xdr:from>
    <xdr:to>
      <xdr:col>3</xdr:col>
      <xdr:colOff>144817</xdr:colOff>
      <xdr:row>106</xdr:row>
      <xdr:rowOff>554457</xdr:rowOff>
    </xdr:to>
    <xdr:grpSp>
      <xdr:nvGrpSpPr>
        <xdr:cNvPr id="525" name="Группа 524"/>
        <xdr:cNvGrpSpPr/>
      </xdr:nvGrpSpPr>
      <xdr:grpSpPr>
        <a:xfrm flipH="1">
          <a:off x="2044715" y="51045731"/>
          <a:ext cx="127566" cy="127297"/>
          <a:chOff x="1132242" y="1306343"/>
          <a:chExt cx="123151" cy="128030"/>
        </a:xfrm>
      </xdr:grpSpPr>
      <xdr:cxnSp macro="">
        <xdr:nvCxnSpPr>
          <xdr:cNvPr id="526" name="Прямая соединительная линия 52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7" name="Прямоугольник 52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105</xdr:row>
      <xdr:rowOff>114300</xdr:rowOff>
    </xdr:from>
    <xdr:to>
      <xdr:col>3</xdr:col>
      <xdr:colOff>304800</xdr:colOff>
      <xdr:row>106</xdr:row>
      <xdr:rowOff>552450</xdr:rowOff>
    </xdr:to>
    <xdr:sp macro="" textlink="">
      <xdr:nvSpPr>
        <xdr:cNvPr id="528" name="Полилиния 527"/>
        <xdr:cNvSpPr/>
      </xdr:nvSpPr>
      <xdr:spPr>
        <a:xfrm>
          <a:off x="2026584" y="72358624"/>
          <a:ext cx="295275" cy="1132914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542925</xdr:colOff>
      <xdr:row>108</xdr:row>
      <xdr:rowOff>524922</xdr:rowOff>
    </xdr:from>
    <xdr:to>
      <xdr:col>3</xdr:col>
      <xdr:colOff>69900</xdr:colOff>
      <xdr:row>108</xdr:row>
      <xdr:rowOff>632922</xdr:rowOff>
    </xdr:to>
    <xdr:sp macro="" textlink="">
      <xdr:nvSpPr>
        <xdr:cNvPr id="529" name="Овал 528"/>
        <xdr:cNvSpPr/>
      </xdr:nvSpPr>
      <xdr:spPr>
        <a:xfrm>
          <a:off x="1977278" y="7624306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107</xdr:row>
      <xdr:rowOff>104776</xdr:rowOff>
    </xdr:from>
    <xdr:to>
      <xdr:col>3</xdr:col>
      <xdr:colOff>23162</xdr:colOff>
      <xdr:row>108</xdr:row>
      <xdr:rowOff>581025</xdr:rowOff>
    </xdr:to>
    <xdr:cxnSp macro="">
      <xdr:nvCxnSpPr>
        <xdr:cNvPr id="531" name="Прямая соединительная линия 530"/>
        <xdr:cNvCxnSpPr/>
      </xdr:nvCxnSpPr>
      <xdr:spPr>
        <a:xfrm flipV="1">
          <a:off x="2040221" y="75128158"/>
          <a:ext cx="0" cy="117101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108</xdr:row>
      <xdr:rowOff>427160</xdr:rowOff>
    </xdr:from>
    <xdr:to>
      <xdr:col>3</xdr:col>
      <xdr:colOff>144817</xdr:colOff>
      <xdr:row>108</xdr:row>
      <xdr:rowOff>554457</xdr:rowOff>
    </xdr:to>
    <xdr:grpSp>
      <xdr:nvGrpSpPr>
        <xdr:cNvPr id="532" name="Группа 531"/>
        <xdr:cNvGrpSpPr/>
      </xdr:nvGrpSpPr>
      <xdr:grpSpPr>
        <a:xfrm flipH="1">
          <a:off x="2044715" y="52433660"/>
          <a:ext cx="127566" cy="127297"/>
          <a:chOff x="1132242" y="1306343"/>
          <a:chExt cx="123151" cy="128030"/>
        </a:xfrm>
      </xdr:grpSpPr>
      <xdr:cxnSp macro="">
        <xdr:nvCxnSpPr>
          <xdr:cNvPr id="533" name="Прямая соединительная линия 53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5" name="Прямоугольник 53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107</xdr:row>
      <xdr:rowOff>392206</xdr:rowOff>
    </xdr:from>
    <xdr:to>
      <xdr:col>3</xdr:col>
      <xdr:colOff>448234</xdr:colOff>
      <xdr:row>108</xdr:row>
      <xdr:rowOff>552449</xdr:rowOff>
    </xdr:to>
    <xdr:sp macro="" textlink="">
      <xdr:nvSpPr>
        <xdr:cNvPr id="536" name="Полилиния 535"/>
        <xdr:cNvSpPr/>
      </xdr:nvSpPr>
      <xdr:spPr>
        <a:xfrm>
          <a:off x="2026584" y="76805118"/>
          <a:ext cx="438709" cy="855007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525657</xdr:colOff>
      <xdr:row>112</xdr:row>
      <xdr:rowOff>527795</xdr:rowOff>
    </xdr:from>
    <xdr:to>
      <xdr:col>3</xdr:col>
      <xdr:colOff>59670</xdr:colOff>
      <xdr:row>112</xdr:row>
      <xdr:rowOff>635795</xdr:rowOff>
    </xdr:to>
    <xdr:sp macro="" textlink="">
      <xdr:nvSpPr>
        <xdr:cNvPr id="599" name="Овал 598"/>
        <xdr:cNvSpPr/>
      </xdr:nvSpPr>
      <xdr:spPr>
        <a:xfrm>
          <a:off x="1960010" y="42897236"/>
          <a:ext cx="11671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111</xdr:row>
      <xdr:rowOff>629312</xdr:rowOff>
    </xdr:from>
    <xdr:to>
      <xdr:col>3</xdr:col>
      <xdr:colOff>266156</xdr:colOff>
      <xdr:row>112</xdr:row>
      <xdr:rowOff>77987</xdr:rowOff>
    </xdr:to>
    <xdr:sp macro="" textlink="">
      <xdr:nvSpPr>
        <xdr:cNvPr id="600" name="Овал 599"/>
        <xdr:cNvSpPr/>
      </xdr:nvSpPr>
      <xdr:spPr>
        <a:xfrm>
          <a:off x="2139215" y="42303988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145673</xdr:colOff>
      <xdr:row>111</xdr:row>
      <xdr:rowOff>358589</xdr:rowOff>
    </xdr:from>
    <xdr:to>
      <xdr:col>4</xdr:col>
      <xdr:colOff>377306</xdr:colOff>
      <xdr:row>112</xdr:row>
      <xdr:rowOff>317354</xdr:rowOff>
    </xdr:to>
    <xdr:grpSp>
      <xdr:nvGrpSpPr>
        <xdr:cNvPr id="602" name="Группа 601"/>
        <xdr:cNvGrpSpPr/>
      </xdr:nvGrpSpPr>
      <xdr:grpSpPr>
        <a:xfrm flipH="1">
          <a:off x="2758244" y="53059053"/>
          <a:ext cx="231633" cy="652730"/>
          <a:chOff x="2974731" y="8507714"/>
          <a:chExt cx="359019" cy="1014540"/>
        </a:xfrm>
      </xdr:grpSpPr>
      <xdr:sp macro="" textlink="">
        <xdr:nvSpPr>
          <xdr:cNvPr id="603" name="Прямоугольник 602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04" name="Овал 603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05" name="Овал 604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06" name="Овал 605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111</xdr:row>
      <xdr:rowOff>66675</xdr:rowOff>
    </xdr:from>
    <xdr:to>
      <xdr:col>3</xdr:col>
      <xdr:colOff>0</xdr:colOff>
      <xdr:row>112</xdr:row>
      <xdr:rowOff>572485</xdr:rowOff>
    </xdr:to>
    <xdr:cxnSp macro="">
      <xdr:nvCxnSpPr>
        <xdr:cNvPr id="608" name="Прямая соединительная линия 607"/>
        <xdr:cNvCxnSpPr/>
      </xdr:nvCxnSpPr>
      <xdr:spPr>
        <a:xfrm flipV="1">
          <a:off x="2017059" y="41741351"/>
          <a:ext cx="0" cy="120057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13489</xdr:colOff>
      <xdr:row>111</xdr:row>
      <xdr:rowOff>585724</xdr:rowOff>
    </xdr:from>
    <xdr:to>
      <xdr:col>3</xdr:col>
      <xdr:colOff>141055</xdr:colOff>
      <xdr:row>112</xdr:row>
      <xdr:rowOff>18256</xdr:rowOff>
    </xdr:to>
    <xdr:grpSp>
      <xdr:nvGrpSpPr>
        <xdr:cNvPr id="609" name="Группа 608"/>
        <xdr:cNvGrpSpPr/>
      </xdr:nvGrpSpPr>
      <xdr:grpSpPr>
        <a:xfrm flipH="1">
          <a:off x="2040953" y="53286188"/>
          <a:ext cx="127566" cy="126497"/>
          <a:chOff x="1132242" y="1306343"/>
          <a:chExt cx="123151" cy="128030"/>
        </a:xfrm>
      </xdr:grpSpPr>
      <xdr:cxnSp macro="">
        <xdr:nvCxnSpPr>
          <xdr:cNvPr id="610" name="Прямая соединительная линия 60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1" name="Прямоугольник 61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129111</xdr:colOff>
      <xdr:row>143</xdr:row>
      <xdr:rowOff>425663</xdr:rowOff>
    </xdr:from>
    <xdr:to>
      <xdr:col>4</xdr:col>
      <xdr:colOff>734282</xdr:colOff>
      <xdr:row>144</xdr:row>
      <xdr:rowOff>339987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876" y="119913987"/>
          <a:ext cx="605171" cy="609092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169</xdr:row>
      <xdr:rowOff>661147</xdr:rowOff>
    </xdr:from>
    <xdr:to>
      <xdr:col>3</xdr:col>
      <xdr:colOff>549089</xdr:colOff>
      <xdr:row>170</xdr:row>
      <xdr:rowOff>537882</xdr:rowOff>
    </xdr:to>
    <xdr:sp macro="" textlink="">
      <xdr:nvSpPr>
        <xdr:cNvPr id="2" name="Полилиния 1"/>
        <xdr:cNvSpPr/>
      </xdr:nvSpPr>
      <xdr:spPr>
        <a:xfrm>
          <a:off x="2017060" y="139602882"/>
          <a:ext cx="549088" cy="571500"/>
        </a:xfrm>
        <a:custGeom>
          <a:avLst/>
          <a:gdLst>
            <a:gd name="connsiteX0" fmla="*/ 0 w 493059"/>
            <a:gd name="connsiteY0" fmla="*/ 571500 h 571500"/>
            <a:gd name="connsiteX1" fmla="*/ 0 w 493059"/>
            <a:gd name="connsiteY1" fmla="*/ 0 h 571500"/>
            <a:gd name="connsiteX2" fmla="*/ 493059 w 493059"/>
            <a:gd name="connsiteY2" fmla="*/ 156882 h 571500"/>
            <a:gd name="connsiteX0" fmla="*/ 0 w 549088"/>
            <a:gd name="connsiteY0" fmla="*/ 571500 h 571500"/>
            <a:gd name="connsiteX1" fmla="*/ 0 w 549088"/>
            <a:gd name="connsiteY1" fmla="*/ 0 h 571500"/>
            <a:gd name="connsiteX2" fmla="*/ 549088 w 549088"/>
            <a:gd name="connsiteY2" fmla="*/ 179294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9088" h="571500">
              <a:moveTo>
                <a:pt x="0" y="571500"/>
              </a:moveTo>
              <a:lnTo>
                <a:pt x="0" y="0"/>
              </a:lnTo>
              <a:lnTo>
                <a:pt x="549088" y="179294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99</xdr:row>
      <xdr:rowOff>69273</xdr:rowOff>
    </xdr:from>
    <xdr:to>
      <xdr:col>3</xdr:col>
      <xdr:colOff>14253</xdr:colOff>
      <xdr:row>100</xdr:row>
      <xdr:rowOff>557771</xdr:rowOff>
    </xdr:to>
    <xdr:cxnSp macro="">
      <xdr:nvCxnSpPr>
        <xdr:cNvPr id="619" name="Прямая соединительная линия 618"/>
        <xdr:cNvCxnSpPr/>
      </xdr:nvCxnSpPr>
      <xdr:spPr>
        <a:xfrm flipV="1">
          <a:off x="2031312" y="72313597"/>
          <a:ext cx="0" cy="11832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100</xdr:row>
      <xdr:rowOff>493816</xdr:rowOff>
    </xdr:from>
    <xdr:to>
      <xdr:col>3</xdr:col>
      <xdr:colOff>68852</xdr:colOff>
      <xdr:row>100</xdr:row>
      <xdr:rowOff>601816</xdr:rowOff>
    </xdr:to>
    <xdr:sp macro="" textlink="">
      <xdr:nvSpPr>
        <xdr:cNvPr id="620" name="Овал 619"/>
        <xdr:cNvSpPr/>
      </xdr:nvSpPr>
      <xdr:spPr>
        <a:xfrm>
          <a:off x="1975640" y="63865145"/>
          <a:ext cx="10850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99</xdr:row>
      <xdr:rowOff>617641</xdr:rowOff>
    </xdr:from>
    <xdr:to>
      <xdr:col>3</xdr:col>
      <xdr:colOff>280814</xdr:colOff>
      <xdr:row>100</xdr:row>
      <xdr:rowOff>66316</xdr:rowOff>
    </xdr:to>
    <xdr:sp macro="" textlink="">
      <xdr:nvSpPr>
        <xdr:cNvPr id="621" name="Овал 620"/>
        <xdr:cNvSpPr/>
      </xdr:nvSpPr>
      <xdr:spPr>
        <a:xfrm>
          <a:off x="2153873" y="72861965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37</xdr:row>
      <xdr:rowOff>69273</xdr:rowOff>
    </xdr:from>
    <xdr:to>
      <xdr:col>3</xdr:col>
      <xdr:colOff>14253</xdr:colOff>
      <xdr:row>38</xdr:row>
      <xdr:rowOff>557771</xdr:rowOff>
    </xdr:to>
    <xdr:cxnSp macro="">
      <xdr:nvCxnSpPr>
        <xdr:cNvPr id="624" name="Прямая соединительная линия 623"/>
        <xdr:cNvCxnSpPr/>
      </xdr:nvCxnSpPr>
      <xdr:spPr>
        <a:xfrm flipV="1">
          <a:off x="2031312" y="70924067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38</xdr:row>
      <xdr:rowOff>493816</xdr:rowOff>
    </xdr:from>
    <xdr:to>
      <xdr:col>3</xdr:col>
      <xdr:colOff>63839</xdr:colOff>
      <xdr:row>38</xdr:row>
      <xdr:rowOff>601816</xdr:rowOff>
    </xdr:to>
    <xdr:sp macro="" textlink="">
      <xdr:nvSpPr>
        <xdr:cNvPr id="625" name="Овал 624"/>
        <xdr:cNvSpPr/>
      </xdr:nvSpPr>
      <xdr:spPr>
        <a:xfrm>
          <a:off x="1971217" y="72043375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37</xdr:row>
      <xdr:rowOff>617641</xdr:rowOff>
    </xdr:from>
    <xdr:to>
      <xdr:col>3</xdr:col>
      <xdr:colOff>280814</xdr:colOff>
      <xdr:row>38</xdr:row>
      <xdr:rowOff>66316</xdr:rowOff>
    </xdr:to>
    <xdr:sp macro="" textlink="">
      <xdr:nvSpPr>
        <xdr:cNvPr id="626" name="Овал 625"/>
        <xdr:cNvSpPr/>
      </xdr:nvSpPr>
      <xdr:spPr>
        <a:xfrm>
          <a:off x="2153873" y="71472435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362592</xdr:colOff>
      <xdr:row>172</xdr:row>
      <xdr:rowOff>515470</xdr:rowOff>
    </xdr:from>
    <xdr:to>
      <xdr:col>4</xdr:col>
      <xdr:colOff>526855</xdr:colOff>
      <xdr:row>175</xdr:row>
      <xdr:rowOff>218107</xdr:rowOff>
    </xdr:to>
    <xdr:grpSp>
      <xdr:nvGrpSpPr>
        <xdr:cNvPr id="4" name="Группа 3"/>
        <xdr:cNvGrpSpPr/>
      </xdr:nvGrpSpPr>
      <xdr:grpSpPr>
        <a:xfrm>
          <a:off x="1804949" y="77504684"/>
          <a:ext cx="1334477" cy="1784530"/>
          <a:chOff x="7111735" y="80337373"/>
          <a:chExt cx="1334477" cy="2165528"/>
        </a:xfrm>
      </xdr:grpSpPr>
      <xdr:sp macro="" textlink="">
        <xdr:nvSpPr>
          <xdr:cNvPr id="650" name="Дуга 649"/>
          <xdr:cNvSpPr/>
        </xdr:nvSpPr>
        <xdr:spPr>
          <a:xfrm rot="16200000">
            <a:off x="7242597" y="81316448"/>
            <a:ext cx="1093179" cy="1262610"/>
          </a:xfrm>
          <a:prstGeom prst="arc">
            <a:avLst>
              <a:gd name="adj1" fmla="val 16005511"/>
              <a:gd name="adj2" fmla="val 19021634"/>
            </a:avLst>
          </a:prstGeom>
          <a:ln w="5080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54" name="Дуга 653"/>
          <xdr:cNvSpPr/>
        </xdr:nvSpPr>
        <xdr:spPr>
          <a:xfrm rot="16200000" flipH="1">
            <a:off x="7279630" y="80241345"/>
            <a:ext cx="1070554" cy="1262610"/>
          </a:xfrm>
          <a:prstGeom prst="arc">
            <a:avLst>
              <a:gd name="adj1" fmla="val 16144932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55" name="Дуга 654"/>
          <xdr:cNvSpPr/>
        </xdr:nvSpPr>
        <xdr:spPr>
          <a:xfrm rot="16200000">
            <a:off x="7249924" y="81325007"/>
            <a:ext cx="1093179" cy="1262610"/>
          </a:xfrm>
          <a:prstGeom prst="arc">
            <a:avLst/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56" name="Овал 655"/>
          <xdr:cNvSpPr/>
        </xdr:nvSpPr>
        <xdr:spPr>
          <a:xfrm rot="16200000">
            <a:off x="7165038" y="81265036"/>
            <a:ext cx="287219" cy="283675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57" name="Овал 656"/>
          <xdr:cNvSpPr/>
        </xdr:nvSpPr>
        <xdr:spPr>
          <a:xfrm rot="16200000">
            <a:off x="7111139" y="81964595"/>
            <a:ext cx="109191" cy="108000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58" name="Прямая соединительная линия 657"/>
          <xdr:cNvCxnSpPr/>
        </xdr:nvCxnSpPr>
        <xdr:spPr>
          <a:xfrm flipV="1">
            <a:off x="7165122" y="80831177"/>
            <a:ext cx="0" cy="1220888"/>
          </a:xfrm>
          <a:prstGeom prst="line">
            <a:avLst/>
          </a:prstGeom>
          <a:ln w="19050">
            <a:solidFill>
              <a:schemeClr val="tx1"/>
            </a:solidFill>
            <a:headEnd type="none" w="med" len="lg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59" name="Группа 658"/>
          <xdr:cNvGrpSpPr/>
        </xdr:nvGrpSpPr>
        <xdr:grpSpPr>
          <a:xfrm flipH="1">
            <a:off x="7179925" y="81889093"/>
            <a:ext cx="127076" cy="126839"/>
            <a:chOff x="1132242" y="1306343"/>
            <a:chExt cx="123151" cy="128030"/>
          </a:xfrm>
        </xdr:grpSpPr>
        <xdr:cxnSp macro="">
          <xdr:nvCxnSpPr>
            <xdr:cNvPr id="661" name="Прямая соединительная линия 660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62" name="Прямоугольник 661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60" name="Дуга 659"/>
          <xdr:cNvSpPr/>
        </xdr:nvSpPr>
        <xdr:spPr>
          <a:xfrm rot="16200000">
            <a:off x="7161305" y="81262175"/>
            <a:ext cx="287219" cy="283675"/>
          </a:xfrm>
          <a:prstGeom prst="arc">
            <a:avLst>
              <a:gd name="adj1" fmla="val 16154301"/>
              <a:gd name="adj2" fmla="val 8771209"/>
            </a:avLst>
          </a:prstGeom>
          <a:noFill/>
          <a:ln w="5080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53" name="Прямая соединительная линия 652"/>
          <xdr:cNvCxnSpPr/>
        </xdr:nvCxnSpPr>
        <xdr:spPr>
          <a:xfrm flipH="1">
            <a:off x="7163088" y="81404269"/>
            <a:ext cx="2034" cy="240126"/>
          </a:xfrm>
          <a:prstGeom prst="line">
            <a:avLst/>
          </a:prstGeom>
          <a:ln w="50800">
            <a:solidFill>
              <a:schemeClr val="tx1"/>
            </a:solidFill>
            <a:headEnd type="none" w="med" len="lg"/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4</xdr:col>
      <xdr:colOff>236845</xdr:colOff>
      <xdr:row>69</xdr:row>
      <xdr:rowOff>403412</xdr:rowOff>
    </xdr:from>
    <xdr:ext cx="408433" cy="608799"/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9416" y="60043519"/>
          <a:ext cx="408433" cy="608799"/>
        </a:xfrm>
        <a:prstGeom prst="rect">
          <a:avLst/>
        </a:prstGeom>
      </xdr:spPr>
    </xdr:pic>
    <xdr:clientData/>
  </xdr:oneCellAnchor>
  <xdr:twoCellAnchor>
    <xdr:from>
      <xdr:col>3</xdr:col>
      <xdr:colOff>14253</xdr:colOff>
      <xdr:row>69</xdr:row>
      <xdr:rowOff>96488</xdr:rowOff>
    </xdr:from>
    <xdr:to>
      <xdr:col>3</xdr:col>
      <xdr:colOff>14253</xdr:colOff>
      <xdr:row>70</xdr:row>
      <xdr:rowOff>584986</xdr:rowOff>
    </xdr:to>
    <xdr:cxnSp macro="">
      <xdr:nvCxnSpPr>
        <xdr:cNvPr id="701" name="Прямая соединительная линия 700"/>
        <xdr:cNvCxnSpPr/>
      </xdr:nvCxnSpPr>
      <xdr:spPr>
        <a:xfrm flipV="1">
          <a:off x="2041717" y="59736595"/>
          <a:ext cx="0" cy="11824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70</xdr:row>
      <xdr:rowOff>521031</xdr:rowOff>
    </xdr:from>
    <xdr:to>
      <xdr:col>3</xdr:col>
      <xdr:colOff>68852</xdr:colOff>
      <xdr:row>70</xdr:row>
      <xdr:rowOff>629031</xdr:rowOff>
    </xdr:to>
    <xdr:sp macro="" textlink="">
      <xdr:nvSpPr>
        <xdr:cNvPr id="702" name="Овал 701"/>
        <xdr:cNvSpPr/>
      </xdr:nvSpPr>
      <xdr:spPr>
        <a:xfrm>
          <a:off x="1975640" y="44381149"/>
          <a:ext cx="10850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69</xdr:row>
      <xdr:rowOff>644856</xdr:rowOff>
    </xdr:from>
    <xdr:to>
      <xdr:col>3</xdr:col>
      <xdr:colOff>280814</xdr:colOff>
      <xdr:row>70</xdr:row>
      <xdr:rowOff>93531</xdr:rowOff>
    </xdr:to>
    <xdr:sp macro="" textlink="">
      <xdr:nvSpPr>
        <xdr:cNvPr id="703" name="Овал 702"/>
        <xdr:cNvSpPr/>
      </xdr:nvSpPr>
      <xdr:spPr>
        <a:xfrm>
          <a:off x="2164278" y="60284963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236845</xdr:colOff>
      <xdr:row>77</xdr:row>
      <xdr:rowOff>403412</xdr:rowOff>
    </xdr:from>
    <xdr:ext cx="408433" cy="608799"/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9416" y="37836662"/>
          <a:ext cx="408433" cy="608799"/>
        </a:xfrm>
        <a:prstGeom prst="rect">
          <a:avLst/>
        </a:prstGeom>
      </xdr:spPr>
    </xdr:pic>
    <xdr:clientData/>
  </xdr:oneCellAnchor>
  <xdr:twoCellAnchor>
    <xdr:from>
      <xdr:col>3</xdr:col>
      <xdr:colOff>14253</xdr:colOff>
      <xdr:row>77</xdr:row>
      <xdr:rowOff>96488</xdr:rowOff>
    </xdr:from>
    <xdr:to>
      <xdr:col>3</xdr:col>
      <xdr:colOff>14253</xdr:colOff>
      <xdr:row>78</xdr:row>
      <xdr:rowOff>584986</xdr:rowOff>
    </xdr:to>
    <xdr:cxnSp macro="">
      <xdr:nvCxnSpPr>
        <xdr:cNvPr id="708" name="Прямая соединительная линия 707"/>
        <xdr:cNvCxnSpPr/>
      </xdr:nvCxnSpPr>
      <xdr:spPr>
        <a:xfrm flipV="1">
          <a:off x="2041717" y="37529738"/>
          <a:ext cx="0" cy="11824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78</xdr:row>
      <xdr:rowOff>521031</xdr:rowOff>
    </xdr:from>
    <xdr:to>
      <xdr:col>3</xdr:col>
      <xdr:colOff>68852</xdr:colOff>
      <xdr:row>78</xdr:row>
      <xdr:rowOff>629031</xdr:rowOff>
    </xdr:to>
    <xdr:sp macro="" textlink="">
      <xdr:nvSpPr>
        <xdr:cNvPr id="710" name="Овал 709"/>
        <xdr:cNvSpPr/>
      </xdr:nvSpPr>
      <xdr:spPr>
        <a:xfrm>
          <a:off x="1975640" y="49955781"/>
          <a:ext cx="10850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77</xdr:row>
      <xdr:rowOff>644856</xdr:rowOff>
    </xdr:from>
    <xdr:to>
      <xdr:col>3</xdr:col>
      <xdr:colOff>280814</xdr:colOff>
      <xdr:row>78</xdr:row>
      <xdr:rowOff>93531</xdr:rowOff>
    </xdr:to>
    <xdr:sp macro="" textlink="">
      <xdr:nvSpPr>
        <xdr:cNvPr id="711" name="Овал 710"/>
        <xdr:cNvSpPr/>
      </xdr:nvSpPr>
      <xdr:spPr>
        <a:xfrm>
          <a:off x="2164278" y="38078106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123265</xdr:colOff>
      <xdr:row>139</xdr:row>
      <xdr:rowOff>392207</xdr:rowOff>
    </xdr:from>
    <xdr:to>
      <xdr:col>4</xdr:col>
      <xdr:colOff>809124</xdr:colOff>
      <xdr:row>140</xdr:row>
      <xdr:rowOff>307095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3030" y="90700413"/>
          <a:ext cx="685859" cy="609653"/>
        </a:xfrm>
        <a:prstGeom prst="rect">
          <a:avLst/>
        </a:prstGeom>
      </xdr:spPr>
    </xdr:pic>
    <xdr:clientData/>
  </xdr:twoCellAnchor>
  <xdr:twoCellAnchor>
    <xdr:from>
      <xdr:col>3</xdr:col>
      <xdr:colOff>10066</xdr:colOff>
      <xdr:row>34</xdr:row>
      <xdr:rowOff>33401</xdr:rowOff>
    </xdr:from>
    <xdr:to>
      <xdr:col>3</xdr:col>
      <xdr:colOff>137363</xdr:colOff>
      <xdr:row>34</xdr:row>
      <xdr:rowOff>159286</xdr:rowOff>
    </xdr:to>
    <xdr:grpSp>
      <xdr:nvGrpSpPr>
        <xdr:cNvPr id="357" name="Группа 356"/>
        <xdr:cNvGrpSpPr/>
      </xdr:nvGrpSpPr>
      <xdr:grpSpPr>
        <a:xfrm rot="5400000" flipH="1">
          <a:off x="2038236" y="18728909"/>
          <a:ext cx="125885" cy="127297"/>
          <a:chOff x="1132242" y="1306343"/>
          <a:chExt cx="123151" cy="128030"/>
        </a:xfrm>
      </xdr:grpSpPr>
      <xdr:cxnSp macro="">
        <xdr:nvCxnSpPr>
          <xdr:cNvPr id="358" name="Прямая соединительная линия 35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9" name="Прямоугольник 35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463907</xdr:colOff>
      <xdr:row>35</xdr:row>
      <xdr:rowOff>580673</xdr:rowOff>
    </xdr:from>
    <xdr:to>
      <xdr:col>3</xdr:col>
      <xdr:colOff>8767</xdr:colOff>
      <xdr:row>36</xdr:row>
      <xdr:rowOff>11141</xdr:rowOff>
    </xdr:to>
    <xdr:grpSp>
      <xdr:nvGrpSpPr>
        <xdr:cNvPr id="453" name="Группа 452"/>
        <xdr:cNvGrpSpPr/>
      </xdr:nvGrpSpPr>
      <xdr:grpSpPr>
        <a:xfrm>
          <a:off x="1906264" y="19970852"/>
          <a:ext cx="129967" cy="124432"/>
          <a:chOff x="1132242" y="1306343"/>
          <a:chExt cx="123151" cy="128030"/>
        </a:xfrm>
      </xdr:grpSpPr>
      <xdr:cxnSp macro="">
        <xdr:nvCxnSpPr>
          <xdr:cNvPr id="455" name="Прямая соединительная линия 45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7" name="Прямоугольник 45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21865</xdr:colOff>
      <xdr:row>37</xdr:row>
      <xdr:rowOff>554428</xdr:rowOff>
    </xdr:from>
    <xdr:to>
      <xdr:col>3</xdr:col>
      <xdr:colOff>149431</xdr:colOff>
      <xdr:row>37</xdr:row>
      <xdr:rowOff>681725</xdr:rowOff>
    </xdr:to>
    <xdr:grpSp>
      <xdr:nvGrpSpPr>
        <xdr:cNvPr id="461" name="Группа 460"/>
        <xdr:cNvGrpSpPr/>
      </xdr:nvGrpSpPr>
      <xdr:grpSpPr>
        <a:xfrm flipH="1">
          <a:off x="2049329" y="21332535"/>
          <a:ext cx="127566" cy="127297"/>
          <a:chOff x="1132242" y="1306343"/>
          <a:chExt cx="123151" cy="128030"/>
        </a:xfrm>
      </xdr:grpSpPr>
      <xdr:cxnSp macro="">
        <xdr:nvCxnSpPr>
          <xdr:cNvPr id="464" name="Прямая соединительная линия 46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5" name="Прямоугольник 46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17251</xdr:colOff>
      <xdr:row>101</xdr:row>
      <xdr:rowOff>572836</xdr:rowOff>
    </xdr:from>
    <xdr:to>
      <xdr:col>3</xdr:col>
      <xdr:colOff>144817</xdr:colOff>
      <xdr:row>102</xdr:row>
      <xdr:rowOff>5368</xdr:rowOff>
    </xdr:to>
    <xdr:grpSp>
      <xdr:nvGrpSpPr>
        <xdr:cNvPr id="477" name="Группа 476"/>
        <xdr:cNvGrpSpPr/>
      </xdr:nvGrpSpPr>
      <xdr:grpSpPr>
        <a:xfrm flipH="1">
          <a:off x="2044715" y="47721586"/>
          <a:ext cx="127566" cy="126496"/>
          <a:chOff x="1132242" y="1306343"/>
          <a:chExt cx="123151" cy="128030"/>
        </a:xfrm>
      </xdr:grpSpPr>
      <xdr:cxnSp macro="">
        <xdr:nvCxnSpPr>
          <xdr:cNvPr id="479" name="Прямая соединительная линия 47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0" name="Прямоугольник 47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151</xdr:row>
      <xdr:rowOff>572115</xdr:rowOff>
    </xdr:from>
    <xdr:to>
      <xdr:col>3</xdr:col>
      <xdr:colOff>127779</xdr:colOff>
      <xdr:row>152</xdr:row>
      <xdr:rowOff>5448</xdr:rowOff>
    </xdr:to>
    <xdr:grpSp>
      <xdr:nvGrpSpPr>
        <xdr:cNvPr id="723" name="Группа 722"/>
        <xdr:cNvGrpSpPr/>
      </xdr:nvGrpSpPr>
      <xdr:grpSpPr>
        <a:xfrm flipH="1">
          <a:off x="2033440" y="68539794"/>
          <a:ext cx="121803" cy="127297"/>
          <a:chOff x="1132242" y="1306343"/>
          <a:chExt cx="123151" cy="128030"/>
        </a:xfrm>
      </xdr:grpSpPr>
      <xdr:cxnSp macro="">
        <xdr:nvCxnSpPr>
          <xdr:cNvPr id="724" name="Прямая соединительная линия 72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5" name="Прямоугольник 72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161</xdr:row>
      <xdr:rowOff>572114</xdr:rowOff>
    </xdr:from>
    <xdr:to>
      <xdr:col>3</xdr:col>
      <xdr:colOff>127779</xdr:colOff>
      <xdr:row>162</xdr:row>
      <xdr:rowOff>5448</xdr:rowOff>
    </xdr:to>
    <xdr:grpSp>
      <xdr:nvGrpSpPr>
        <xdr:cNvPr id="485" name="Группа 484"/>
        <xdr:cNvGrpSpPr/>
      </xdr:nvGrpSpPr>
      <xdr:grpSpPr>
        <a:xfrm flipH="1">
          <a:off x="2033440" y="71315650"/>
          <a:ext cx="121803" cy="127298"/>
          <a:chOff x="1132242" y="1306343"/>
          <a:chExt cx="123151" cy="128030"/>
        </a:xfrm>
      </xdr:grpSpPr>
      <xdr:cxnSp macro="">
        <xdr:nvCxnSpPr>
          <xdr:cNvPr id="487" name="Прямая соединительная линия 48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9" name="Прямоугольник 48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163</xdr:row>
      <xdr:rowOff>583320</xdr:rowOff>
    </xdr:from>
    <xdr:to>
      <xdr:col>3</xdr:col>
      <xdr:colOff>127779</xdr:colOff>
      <xdr:row>164</xdr:row>
      <xdr:rowOff>16653</xdr:rowOff>
    </xdr:to>
    <xdr:grpSp>
      <xdr:nvGrpSpPr>
        <xdr:cNvPr id="490" name="Группа 489"/>
        <xdr:cNvGrpSpPr/>
      </xdr:nvGrpSpPr>
      <xdr:grpSpPr>
        <a:xfrm flipH="1">
          <a:off x="2033440" y="72714784"/>
          <a:ext cx="121803" cy="127298"/>
          <a:chOff x="1132242" y="1306343"/>
          <a:chExt cx="123151" cy="128030"/>
        </a:xfrm>
      </xdr:grpSpPr>
      <xdr:cxnSp macro="">
        <xdr:nvCxnSpPr>
          <xdr:cNvPr id="502" name="Прямая соединительная линия 50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3" name="Прямоугольник 50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167</xdr:row>
      <xdr:rowOff>594525</xdr:rowOff>
    </xdr:from>
    <xdr:to>
      <xdr:col>3</xdr:col>
      <xdr:colOff>127779</xdr:colOff>
      <xdr:row>168</xdr:row>
      <xdr:rowOff>27859</xdr:rowOff>
    </xdr:to>
    <xdr:grpSp>
      <xdr:nvGrpSpPr>
        <xdr:cNvPr id="505" name="Группа 504"/>
        <xdr:cNvGrpSpPr/>
      </xdr:nvGrpSpPr>
      <xdr:grpSpPr>
        <a:xfrm flipH="1">
          <a:off x="2033440" y="74113918"/>
          <a:ext cx="121803" cy="127298"/>
          <a:chOff x="1132242" y="1306343"/>
          <a:chExt cx="123151" cy="128030"/>
        </a:xfrm>
      </xdr:grpSpPr>
      <xdr:cxnSp macro="">
        <xdr:nvCxnSpPr>
          <xdr:cNvPr id="513" name="Прямая соединительная линия 51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4" name="Прямоугольник 51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465416</xdr:colOff>
      <xdr:row>169</xdr:row>
      <xdr:rowOff>549702</xdr:rowOff>
    </xdr:from>
    <xdr:to>
      <xdr:col>3</xdr:col>
      <xdr:colOff>4513</xdr:colOff>
      <xdr:row>169</xdr:row>
      <xdr:rowOff>677800</xdr:rowOff>
    </xdr:to>
    <xdr:grpSp>
      <xdr:nvGrpSpPr>
        <xdr:cNvPr id="515" name="Группа 514"/>
        <xdr:cNvGrpSpPr/>
      </xdr:nvGrpSpPr>
      <xdr:grpSpPr>
        <a:xfrm>
          <a:off x="1907773" y="75457023"/>
          <a:ext cx="124204" cy="128098"/>
          <a:chOff x="1132242" y="1306343"/>
          <a:chExt cx="123151" cy="128030"/>
        </a:xfrm>
      </xdr:grpSpPr>
      <xdr:cxnSp macro="">
        <xdr:nvCxnSpPr>
          <xdr:cNvPr id="516" name="Прямая соединительная линия 51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7" name="Прямоугольник 51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4930</xdr:colOff>
      <xdr:row>171</xdr:row>
      <xdr:rowOff>582912</xdr:rowOff>
    </xdr:from>
    <xdr:to>
      <xdr:col>3</xdr:col>
      <xdr:colOff>130095</xdr:colOff>
      <xdr:row>172</xdr:row>
      <xdr:rowOff>15444</xdr:rowOff>
    </xdr:to>
    <xdr:grpSp>
      <xdr:nvGrpSpPr>
        <xdr:cNvPr id="899" name="Группа 898"/>
        <xdr:cNvGrpSpPr/>
      </xdr:nvGrpSpPr>
      <xdr:grpSpPr>
        <a:xfrm flipH="1">
          <a:off x="2032394" y="76878162"/>
          <a:ext cx="125165" cy="126496"/>
          <a:chOff x="1132242" y="1306343"/>
          <a:chExt cx="123151" cy="128030"/>
        </a:xfrm>
      </xdr:grpSpPr>
      <xdr:cxnSp macro="">
        <xdr:nvCxnSpPr>
          <xdr:cNvPr id="900" name="Прямая соединительная линия 89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1" name="Прямоугольник 90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10066</xdr:colOff>
      <xdr:row>178</xdr:row>
      <xdr:rowOff>4826</xdr:rowOff>
    </xdr:from>
    <xdr:to>
      <xdr:col>3</xdr:col>
      <xdr:colOff>137363</xdr:colOff>
      <xdr:row>178</xdr:row>
      <xdr:rowOff>130711</xdr:rowOff>
    </xdr:to>
    <xdr:grpSp>
      <xdr:nvGrpSpPr>
        <xdr:cNvPr id="805" name="Группа 804"/>
        <xdr:cNvGrpSpPr/>
      </xdr:nvGrpSpPr>
      <xdr:grpSpPr>
        <a:xfrm rot="5400000" flipH="1">
          <a:off x="2038236" y="81157120"/>
          <a:ext cx="125885" cy="127297"/>
          <a:chOff x="1132242" y="1306343"/>
          <a:chExt cx="123151" cy="128030"/>
        </a:xfrm>
      </xdr:grpSpPr>
      <xdr:cxnSp macro="">
        <xdr:nvCxnSpPr>
          <xdr:cNvPr id="806" name="Прямая соединительная линия 80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07" name="Прямоугольник 80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112058</xdr:colOff>
      <xdr:row>37</xdr:row>
      <xdr:rowOff>206386</xdr:rowOff>
    </xdr:from>
    <xdr:to>
      <xdr:col>6</xdr:col>
      <xdr:colOff>589162</xdr:colOff>
      <xdr:row>38</xdr:row>
      <xdr:rowOff>593913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823" y="23817180"/>
          <a:ext cx="2202810" cy="1082292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99</xdr:row>
      <xdr:rowOff>154309</xdr:rowOff>
    </xdr:from>
    <xdr:to>
      <xdr:col>6</xdr:col>
      <xdr:colOff>616323</xdr:colOff>
      <xdr:row>100</xdr:row>
      <xdr:rowOff>480179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4" y="66840515"/>
          <a:ext cx="2286000" cy="1020631"/>
        </a:xfrm>
        <a:prstGeom prst="rect">
          <a:avLst/>
        </a:prstGeom>
      </xdr:spPr>
    </xdr:pic>
    <xdr:clientData/>
  </xdr:twoCellAnchor>
  <xdr:twoCellAnchor>
    <xdr:from>
      <xdr:col>3</xdr:col>
      <xdr:colOff>4066</xdr:colOff>
      <xdr:row>65</xdr:row>
      <xdr:rowOff>67235</xdr:rowOff>
    </xdr:from>
    <xdr:to>
      <xdr:col>3</xdr:col>
      <xdr:colOff>4066</xdr:colOff>
      <xdr:row>66</xdr:row>
      <xdr:rowOff>555732</xdr:rowOff>
    </xdr:to>
    <xdr:cxnSp macro="">
      <xdr:nvCxnSpPr>
        <xdr:cNvPr id="566" name="Прямая соединительная линия 565"/>
        <xdr:cNvCxnSpPr/>
      </xdr:nvCxnSpPr>
      <xdr:spPr>
        <a:xfrm flipV="1">
          <a:off x="2021125" y="37573323"/>
          <a:ext cx="0" cy="11832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531690</xdr:colOff>
      <xdr:row>66</xdr:row>
      <xdr:rowOff>491777</xdr:rowOff>
    </xdr:from>
    <xdr:to>
      <xdr:col>3</xdr:col>
      <xdr:colOff>58665</xdr:colOff>
      <xdr:row>66</xdr:row>
      <xdr:rowOff>599777</xdr:rowOff>
    </xdr:to>
    <xdr:sp macro="" textlink="">
      <xdr:nvSpPr>
        <xdr:cNvPr id="567" name="Овал 566"/>
        <xdr:cNvSpPr/>
      </xdr:nvSpPr>
      <xdr:spPr>
        <a:xfrm>
          <a:off x="1965453" y="41564580"/>
          <a:ext cx="10850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126627</xdr:colOff>
      <xdr:row>65</xdr:row>
      <xdr:rowOff>615603</xdr:rowOff>
    </xdr:from>
    <xdr:to>
      <xdr:col>3</xdr:col>
      <xdr:colOff>270627</xdr:colOff>
      <xdr:row>66</xdr:row>
      <xdr:rowOff>64277</xdr:rowOff>
    </xdr:to>
    <xdr:sp macro="" textlink="">
      <xdr:nvSpPr>
        <xdr:cNvPr id="568" name="Овал 567"/>
        <xdr:cNvSpPr/>
      </xdr:nvSpPr>
      <xdr:spPr>
        <a:xfrm>
          <a:off x="2143686" y="38121691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244086</xdr:colOff>
      <xdr:row>65</xdr:row>
      <xdr:rowOff>164777</xdr:rowOff>
    </xdr:from>
    <xdr:to>
      <xdr:col>6</xdr:col>
      <xdr:colOff>234561</xdr:colOff>
      <xdr:row>65</xdr:row>
      <xdr:rowOff>566864</xdr:rowOff>
    </xdr:to>
    <xdr:sp macro="" textlink="">
      <xdr:nvSpPr>
        <xdr:cNvPr id="569" name="Прямоугольник 568"/>
        <xdr:cNvSpPr/>
      </xdr:nvSpPr>
      <xdr:spPr>
        <a:xfrm>
          <a:off x="2843851" y="36281336"/>
          <a:ext cx="1716181" cy="402087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635786</xdr:colOff>
      <xdr:row>65</xdr:row>
      <xdr:rowOff>190074</xdr:rowOff>
    </xdr:from>
    <xdr:to>
      <xdr:col>5</xdr:col>
      <xdr:colOff>427968</xdr:colOff>
      <xdr:row>65</xdr:row>
      <xdr:rowOff>541567</xdr:rowOff>
    </xdr:to>
    <xdr:cxnSp macro="">
      <xdr:nvCxnSpPr>
        <xdr:cNvPr id="570" name="Прямая соединительная линия 569"/>
        <xdr:cNvCxnSpPr/>
      </xdr:nvCxnSpPr>
      <xdr:spPr>
        <a:xfrm flipV="1">
          <a:off x="3235551" y="36306633"/>
          <a:ext cx="935182" cy="3514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7064</xdr:colOff>
      <xdr:row>65</xdr:row>
      <xdr:rowOff>570798</xdr:rowOff>
    </xdr:from>
    <xdr:to>
      <xdr:col>3</xdr:col>
      <xdr:colOff>134630</xdr:colOff>
      <xdr:row>66</xdr:row>
      <xdr:rowOff>3329</xdr:rowOff>
    </xdr:to>
    <xdr:grpSp>
      <xdr:nvGrpSpPr>
        <xdr:cNvPr id="576" name="Группа 575"/>
        <xdr:cNvGrpSpPr/>
      </xdr:nvGrpSpPr>
      <xdr:grpSpPr>
        <a:xfrm flipH="1">
          <a:off x="2034528" y="36616119"/>
          <a:ext cx="127566" cy="126496"/>
          <a:chOff x="1132242" y="1306343"/>
          <a:chExt cx="123151" cy="128030"/>
        </a:xfrm>
      </xdr:grpSpPr>
      <xdr:cxnSp macro="">
        <xdr:nvCxnSpPr>
          <xdr:cNvPr id="577" name="Прямая соединительная линия 57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8" name="Прямоугольник 57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4066</xdr:colOff>
      <xdr:row>113</xdr:row>
      <xdr:rowOff>67235</xdr:rowOff>
    </xdr:from>
    <xdr:to>
      <xdr:col>3</xdr:col>
      <xdr:colOff>4066</xdr:colOff>
      <xdr:row>114</xdr:row>
      <xdr:rowOff>555732</xdr:rowOff>
    </xdr:to>
    <xdr:cxnSp macro="">
      <xdr:nvCxnSpPr>
        <xdr:cNvPr id="587" name="Прямая соединительная линия 586"/>
        <xdr:cNvCxnSpPr/>
      </xdr:nvCxnSpPr>
      <xdr:spPr>
        <a:xfrm flipV="1">
          <a:off x="2021125" y="37573323"/>
          <a:ext cx="0" cy="118326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526677</xdr:colOff>
      <xdr:row>114</xdr:row>
      <xdr:rowOff>491777</xdr:rowOff>
    </xdr:from>
    <xdr:to>
      <xdr:col>3</xdr:col>
      <xdr:colOff>53652</xdr:colOff>
      <xdr:row>114</xdr:row>
      <xdr:rowOff>599777</xdr:rowOff>
    </xdr:to>
    <xdr:sp macro="" textlink="">
      <xdr:nvSpPr>
        <xdr:cNvPr id="588" name="Овал 587"/>
        <xdr:cNvSpPr/>
      </xdr:nvSpPr>
      <xdr:spPr>
        <a:xfrm>
          <a:off x="1961030" y="3869263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126627</xdr:colOff>
      <xdr:row>113</xdr:row>
      <xdr:rowOff>615603</xdr:rowOff>
    </xdr:from>
    <xdr:to>
      <xdr:col>3</xdr:col>
      <xdr:colOff>270627</xdr:colOff>
      <xdr:row>114</xdr:row>
      <xdr:rowOff>64277</xdr:rowOff>
    </xdr:to>
    <xdr:sp macro="" textlink="">
      <xdr:nvSpPr>
        <xdr:cNvPr id="589" name="Овал 588"/>
        <xdr:cNvSpPr/>
      </xdr:nvSpPr>
      <xdr:spPr>
        <a:xfrm>
          <a:off x="2143686" y="38121691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277704</xdr:colOff>
      <xdr:row>113</xdr:row>
      <xdr:rowOff>164777</xdr:rowOff>
    </xdr:from>
    <xdr:to>
      <xdr:col>6</xdr:col>
      <xdr:colOff>268179</xdr:colOff>
      <xdr:row>113</xdr:row>
      <xdr:rowOff>566864</xdr:rowOff>
    </xdr:to>
    <xdr:sp macro="" textlink="">
      <xdr:nvSpPr>
        <xdr:cNvPr id="590" name="Прямоугольник 589"/>
        <xdr:cNvSpPr/>
      </xdr:nvSpPr>
      <xdr:spPr>
        <a:xfrm>
          <a:off x="2877469" y="52955689"/>
          <a:ext cx="1716181" cy="402087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669404</xdr:colOff>
      <xdr:row>113</xdr:row>
      <xdr:rowOff>190074</xdr:rowOff>
    </xdr:from>
    <xdr:to>
      <xdr:col>5</xdr:col>
      <xdr:colOff>461586</xdr:colOff>
      <xdr:row>113</xdr:row>
      <xdr:rowOff>541567</xdr:rowOff>
    </xdr:to>
    <xdr:cxnSp macro="">
      <xdr:nvCxnSpPr>
        <xdr:cNvPr id="591" name="Прямая соединительная линия 590"/>
        <xdr:cNvCxnSpPr/>
      </xdr:nvCxnSpPr>
      <xdr:spPr>
        <a:xfrm flipV="1">
          <a:off x="3269169" y="52980986"/>
          <a:ext cx="935182" cy="3514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7064</xdr:colOff>
      <xdr:row>113</xdr:row>
      <xdr:rowOff>570798</xdr:rowOff>
    </xdr:from>
    <xdr:to>
      <xdr:col>3</xdr:col>
      <xdr:colOff>134630</xdr:colOff>
      <xdr:row>114</xdr:row>
      <xdr:rowOff>3329</xdr:rowOff>
    </xdr:to>
    <xdr:grpSp>
      <xdr:nvGrpSpPr>
        <xdr:cNvPr id="592" name="Группа 591"/>
        <xdr:cNvGrpSpPr/>
      </xdr:nvGrpSpPr>
      <xdr:grpSpPr>
        <a:xfrm flipH="1">
          <a:off x="2034528" y="54659191"/>
          <a:ext cx="127566" cy="126495"/>
          <a:chOff x="1132242" y="1306343"/>
          <a:chExt cx="123151" cy="128030"/>
        </a:xfrm>
      </xdr:grpSpPr>
      <xdr:cxnSp macro="">
        <xdr:nvCxnSpPr>
          <xdr:cNvPr id="593" name="Прямая соединительная линия 59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94" name="Прямоугольник 59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119</xdr:row>
      <xdr:rowOff>96488</xdr:rowOff>
    </xdr:from>
    <xdr:to>
      <xdr:col>3</xdr:col>
      <xdr:colOff>14253</xdr:colOff>
      <xdr:row>120</xdr:row>
      <xdr:rowOff>584986</xdr:rowOff>
    </xdr:to>
    <xdr:cxnSp macro="">
      <xdr:nvCxnSpPr>
        <xdr:cNvPr id="612" name="Прямая соединительная линия 611"/>
        <xdr:cNvCxnSpPr/>
      </xdr:nvCxnSpPr>
      <xdr:spPr>
        <a:xfrm flipV="1">
          <a:off x="2031312" y="40381635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120</xdr:row>
      <xdr:rowOff>521031</xdr:rowOff>
    </xdr:from>
    <xdr:to>
      <xdr:col>3</xdr:col>
      <xdr:colOff>63839</xdr:colOff>
      <xdr:row>120</xdr:row>
      <xdr:rowOff>629031</xdr:rowOff>
    </xdr:to>
    <xdr:sp macro="" textlink="">
      <xdr:nvSpPr>
        <xdr:cNvPr id="613" name="Овал 612"/>
        <xdr:cNvSpPr/>
      </xdr:nvSpPr>
      <xdr:spPr>
        <a:xfrm>
          <a:off x="1971217" y="41500943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119</xdr:row>
      <xdr:rowOff>644856</xdr:rowOff>
    </xdr:from>
    <xdr:to>
      <xdr:col>3</xdr:col>
      <xdr:colOff>280814</xdr:colOff>
      <xdr:row>120</xdr:row>
      <xdr:rowOff>93531</xdr:rowOff>
    </xdr:to>
    <xdr:sp macro="" textlink="">
      <xdr:nvSpPr>
        <xdr:cNvPr id="617" name="Овал 616"/>
        <xdr:cNvSpPr/>
      </xdr:nvSpPr>
      <xdr:spPr>
        <a:xfrm>
          <a:off x="2153873" y="40930003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123265</xdr:colOff>
      <xdr:row>119</xdr:row>
      <xdr:rowOff>257736</xdr:rowOff>
    </xdr:from>
    <xdr:to>
      <xdr:col>4</xdr:col>
      <xdr:colOff>732918</xdr:colOff>
      <xdr:row>120</xdr:row>
      <xdr:rowOff>172069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765" y="77060986"/>
          <a:ext cx="609653" cy="612832"/>
        </a:xfrm>
        <a:prstGeom prst="rect">
          <a:avLst/>
        </a:prstGeom>
      </xdr:spPr>
    </xdr:pic>
    <xdr:clientData/>
  </xdr:twoCellAnchor>
  <xdr:twoCellAnchor>
    <xdr:from>
      <xdr:col>4</xdr:col>
      <xdr:colOff>159150</xdr:colOff>
      <xdr:row>120</xdr:row>
      <xdr:rowOff>224117</xdr:rowOff>
    </xdr:from>
    <xdr:to>
      <xdr:col>4</xdr:col>
      <xdr:colOff>697032</xdr:colOff>
      <xdr:row>120</xdr:row>
      <xdr:rowOff>425823</xdr:rowOff>
    </xdr:to>
    <xdr:sp macro="" textlink="">
      <xdr:nvSpPr>
        <xdr:cNvPr id="12" name="Скругленный прямоугольник 11"/>
        <xdr:cNvSpPr/>
      </xdr:nvSpPr>
      <xdr:spPr>
        <a:xfrm>
          <a:off x="2762650" y="77725867"/>
          <a:ext cx="537882" cy="201706"/>
        </a:xfrm>
        <a:prstGeom prst="round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400 </a:t>
          </a:r>
          <a:r>
            <a:rPr lang="ru-RU" sz="12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3</xdr:col>
      <xdr:colOff>14253</xdr:colOff>
      <xdr:row>131</xdr:row>
      <xdr:rowOff>96488</xdr:rowOff>
    </xdr:from>
    <xdr:to>
      <xdr:col>3</xdr:col>
      <xdr:colOff>14253</xdr:colOff>
      <xdr:row>132</xdr:row>
      <xdr:rowOff>584986</xdr:rowOff>
    </xdr:to>
    <xdr:cxnSp macro="">
      <xdr:nvCxnSpPr>
        <xdr:cNvPr id="623" name="Прямая соединительная линия 622"/>
        <xdr:cNvCxnSpPr/>
      </xdr:nvCxnSpPr>
      <xdr:spPr>
        <a:xfrm flipV="1">
          <a:off x="2031312" y="59835047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132</xdr:row>
      <xdr:rowOff>521031</xdr:rowOff>
    </xdr:from>
    <xdr:to>
      <xdr:col>3</xdr:col>
      <xdr:colOff>63839</xdr:colOff>
      <xdr:row>132</xdr:row>
      <xdr:rowOff>629031</xdr:rowOff>
    </xdr:to>
    <xdr:sp macro="" textlink="">
      <xdr:nvSpPr>
        <xdr:cNvPr id="627" name="Овал 626"/>
        <xdr:cNvSpPr/>
      </xdr:nvSpPr>
      <xdr:spPr>
        <a:xfrm>
          <a:off x="1971217" y="60954355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131</xdr:row>
      <xdr:rowOff>644856</xdr:rowOff>
    </xdr:from>
    <xdr:to>
      <xdr:col>3</xdr:col>
      <xdr:colOff>280814</xdr:colOff>
      <xdr:row>132</xdr:row>
      <xdr:rowOff>93531</xdr:rowOff>
    </xdr:to>
    <xdr:sp macro="" textlink="">
      <xdr:nvSpPr>
        <xdr:cNvPr id="628" name="Овал 627"/>
        <xdr:cNvSpPr/>
      </xdr:nvSpPr>
      <xdr:spPr>
        <a:xfrm>
          <a:off x="2153873" y="60383415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123265</xdr:colOff>
      <xdr:row>131</xdr:row>
      <xdr:rowOff>257736</xdr:rowOff>
    </xdr:from>
    <xdr:ext cx="609653" cy="609094"/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765" y="85442986"/>
          <a:ext cx="609653" cy="609094"/>
        </a:xfrm>
        <a:prstGeom prst="rect">
          <a:avLst/>
        </a:prstGeom>
      </xdr:spPr>
    </xdr:pic>
    <xdr:clientData/>
  </xdr:oneCellAnchor>
  <xdr:twoCellAnchor>
    <xdr:from>
      <xdr:col>4</xdr:col>
      <xdr:colOff>159150</xdr:colOff>
      <xdr:row>132</xdr:row>
      <xdr:rowOff>224117</xdr:rowOff>
    </xdr:from>
    <xdr:to>
      <xdr:col>4</xdr:col>
      <xdr:colOff>697032</xdr:colOff>
      <xdr:row>132</xdr:row>
      <xdr:rowOff>425823</xdr:rowOff>
    </xdr:to>
    <xdr:sp macro="" textlink="">
      <xdr:nvSpPr>
        <xdr:cNvPr id="630" name="Скругленный прямоугольник 629"/>
        <xdr:cNvSpPr/>
      </xdr:nvSpPr>
      <xdr:spPr>
        <a:xfrm>
          <a:off x="2762650" y="86107867"/>
          <a:ext cx="537882" cy="201706"/>
        </a:xfrm>
        <a:prstGeom prst="round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400 </a:t>
          </a:r>
          <a:r>
            <a:rPr lang="ru-RU" sz="12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3</xdr:col>
      <xdr:colOff>11206</xdr:colOff>
      <xdr:row>149</xdr:row>
      <xdr:rowOff>582706</xdr:rowOff>
    </xdr:from>
    <xdr:to>
      <xdr:col>3</xdr:col>
      <xdr:colOff>537882</xdr:colOff>
      <xdr:row>150</xdr:row>
      <xdr:rowOff>537882</xdr:rowOff>
    </xdr:to>
    <xdr:sp macro="" textlink="">
      <xdr:nvSpPr>
        <xdr:cNvPr id="18" name="Полилиния 17"/>
        <xdr:cNvSpPr/>
      </xdr:nvSpPr>
      <xdr:spPr>
        <a:xfrm>
          <a:off x="2028265" y="78385147"/>
          <a:ext cx="526676" cy="649941"/>
        </a:xfrm>
        <a:custGeom>
          <a:avLst/>
          <a:gdLst>
            <a:gd name="connsiteX0" fmla="*/ 0 w 526676"/>
            <a:gd name="connsiteY0" fmla="*/ 649941 h 649941"/>
            <a:gd name="connsiteX1" fmla="*/ 0 w 526676"/>
            <a:gd name="connsiteY1" fmla="*/ 89647 h 649941"/>
            <a:gd name="connsiteX2" fmla="*/ 526676 w 526676"/>
            <a:gd name="connsiteY2" fmla="*/ 0 h 6499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6" h="649941">
              <a:moveTo>
                <a:pt x="0" y="649941"/>
              </a:moveTo>
              <a:lnTo>
                <a:pt x="0" y="89647"/>
              </a:lnTo>
              <a:lnTo>
                <a:pt x="526676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69272</xdr:rowOff>
    </xdr:from>
    <xdr:to>
      <xdr:col>2</xdr:col>
      <xdr:colOff>306457</xdr:colOff>
      <xdr:row>40</xdr:row>
      <xdr:rowOff>557771</xdr:rowOff>
    </xdr:to>
    <xdr:cxnSp macro="">
      <xdr:nvCxnSpPr>
        <xdr:cNvPr id="631" name="Прямая соединительная линия 630"/>
        <xdr:cNvCxnSpPr/>
      </xdr:nvCxnSpPr>
      <xdr:spPr>
        <a:xfrm flipV="1">
          <a:off x="1731066" y="22258381"/>
          <a:ext cx="0" cy="118423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245511</xdr:colOff>
      <xdr:row>40</xdr:row>
      <xdr:rowOff>493816</xdr:rowOff>
    </xdr:from>
    <xdr:to>
      <xdr:col>2</xdr:col>
      <xdr:colOff>355192</xdr:colOff>
      <xdr:row>40</xdr:row>
      <xdr:rowOff>601816</xdr:rowOff>
    </xdr:to>
    <xdr:sp macro="" textlink="">
      <xdr:nvSpPr>
        <xdr:cNvPr id="649" name="Овал 648"/>
        <xdr:cNvSpPr/>
      </xdr:nvSpPr>
      <xdr:spPr>
        <a:xfrm>
          <a:off x="1679864" y="23409845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223345</xdr:rowOff>
    </xdr:from>
    <xdr:to>
      <xdr:col>3</xdr:col>
      <xdr:colOff>45200</xdr:colOff>
      <xdr:row>40</xdr:row>
      <xdr:rowOff>262693</xdr:rowOff>
    </xdr:to>
    <xdr:sp macro="" textlink="">
      <xdr:nvSpPr>
        <xdr:cNvPr id="671" name="Прямоугольник 670"/>
        <xdr:cNvSpPr/>
      </xdr:nvSpPr>
      <xdr:spPr>
        <a:xfrm>
          <a:off x="1731066" y="22412454"/>
          <a:ext cx="318525" cy="735087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223630</xdr:rowOff>
    </xdr:from>
    <xdr:to>
      <xdr:col>3</xdr:col>
      <xdr:colOff>323023</xdr:colOff>
      <xdr:row>39</xdr:row>
      <xdr:rowOff>223630</xdr:rowOff>
    </xdr:to>
    <xdr:cxnSp macro="">
      <xdr:nvCxnSpPr>
        <xdr:cNvPr id="22" name="Прямая соединительная линия 21"/>
        <xdr:cNvCxnSpPr/>
      </xdr:nvCxnSpPr>
      <xdr:spPr>
        <a:xfrm>
          <a:off x="1731066" y="22412739"/>
          <a:ext cx="59634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298174</xdr:colOff>
      <xdr:row>39</xdr:row>
      <xdr:rowOff>273326</xdr:rowOff>
    </xdr:from>
    <xdr:to>
      <xdr:col>2</xdr:col>
      <xdr:colOff>563217</xdr:colOff>
      <xdr:row>40</xdr:row>
      <xdr:rowOff>538369</xdr:rowOff>
    </xdr:to>
    <xdr:sp macro="" textlink="">
      <xdr:nvSpPr>
        <xdr:cNvPr id="23" name="Полилиния 22"/>
        <xdr:cNvSpPr/>
      </xdr:nvSpPr>
      <xdr:spPr>
        <a:xfrm>
          <a:off x="1722783" y="22462435"/>
          <a:ext cx="265043" cy="960782"/>
        </a:xfrm>
        <a:custGeom>
          <a:avLst/>
          <a:gdLst>
            <a:gd name="connsiteX0" fmla="*/ 0 w 265043"/>
            <a:gd name="connsiteY0" fmla="*/ 753717 h 753717"/>
            <a:gd name="connsiteX1" fmla="*/ 0 w 265043"/>
            <a:gd name="connsiteY1" fmla="*/ 438978 h 753717"/>
            <a:gd name="connsiteX2" fmla="*/ 265043 w 265043"/>
            <a:gd name="connsiteY2" fmla="*/ 438978 h 753717"/>
            <a:gd name="connsiteX3" fmla="*/ 265043 w 265043"/>
            <a:gd name="connsiteY3" fmla="*/ 0 h 753717"/>
            <a:gd name="connsiteX0" fmla="*/ 0 w 265043"/>
            <a:gd name="connsiteY0" fmla="*/ 960782 h 960782"/>
            <a:gd name="connsiteX1" fmla="*/ 0 w 265043"/>
            <a:gd name="connsiteY1" fmla="*/ 646043 h 960782"/>
            <a:gd name="connsiteX2" fmla="*/ 265043 w 265043"/>
            <a:gd name="connsiteY2" fmla="*/ 646043 h 960782"/>
            <a:gd name="connsiteX3" fmla="*/ 265043 w 265043"/>
            <a:gd name="connsiteY3" fmla="*/ 0 h 960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5043" h="960782">
              <a:moveTo>
                <a:pt x="0" y="960782"/>
              </a:moveTo>
              <a:lnTo>
                <a:pt x="0" y="646043"/>
              </a:lnTo>
              <a:lnTo>
                <a:pt x="265043" y="646043"/>
              </a:lnTo>
              <a:lnTo>
                <a:pt x="265043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41</xdr:row>
      <xdr:rowOff>60989</xdr:rowOff>
    </xdr:from>
    <xdr:to>
      <xdr:col>2</xdr:col>
      <xdr:colOff>306457</xdr:colOff>
      <xdr:row>42</xdr:row>
      <xdr:rowOff>637761</xdr:rowOff>
    </xdr:to>
    <xdr:cxnSp macro="">
      <xdr:nvCxnSpPr>
        <xdr:cNvPr id="675" name="Прямая соединительная линия 674"/>
        <xdr:cNvCxnSpPr/>
      </xdr:nvCxnSpPr>
      <xdr:spPr>
        <a:xfrm flipV="1">
          <a:off x="1731066" y="23641576"/>
          <a:ext cx="0" cy="127251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493988</xdr:colOff>
      <xdr:row>42</xdr:row>
      <xdr:rowOff>203924</xdr:rowOff>
    </xdr:from>
    <xdr:to>
      <xdr:col>3</xdr:col>
      <xdr:colOff>23887</xdr:colOff>
      <xdr:row>42</xdr:row>
      <xdr:rowOff>311924</xdr:rowOff>
    </xdr:to>
    <xdr:sp macro="" textlink="">
      <xdr:nvSpPr>
        <xdr:cNvPr id="677" name="Овал 676"/>
        <xdr:cNvSpPr/>
      </xdr:nvSpPr>
      <xdr:spPr>
        <a:xfrm>
          <a:off x="1918597" y="2448025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33523</xdr:colOff>
      <xdr:row>42</xdr:row>
      <xdr:rowOff>142296</xdr:rowOff>
    </xdr:from>
    <xdr:to>
      <xdr:col>3</xdr:col>
      <xdr:colOff>161089</xdr:colOff>
      <xdr:row>42</xdr:row>
      <xdr:rowOff>269593</xdr:rowOff>
    </xdr:to>
    <xdr:grpSp>
      <xdr:nvGrpSpPr>
        <xdr:cNvPr id="681" name="Группа 680"/>
        <xdr:cNvGrpSpPr/>
      </xdr:nvGrpSpPr>
      <xdr:grpSpPr>
        <a:xfrm flipH="1">
          <a:off x="2060987" y="24390225"/>
          <a:ext cx="127566" cy="127297"/>
          <a:chOff x="1132242" y="1306343"/>
          <a:chExt cx="123151" cy="128030"/>
        </a:xfrm>
      </xdr:grpSpPr>
      <xdr:cxnSp macro="">
        <xdr:nvCxnSpPr>
          <xdr:cNvPr id="682" name="Прямая соединительная линия 68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3" name="Прямоугольник 68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306457</xdr:colOff>
      <xdr:row>41</xdr:row>
      <xdr:rowOff>488673</xdr:rowOff>
    </xdr:from>
    <xdr:to>
      <xdr:col>3</xdr:col>
      <xdr:colOff>323023</xdr:colOff>
      <xdr:row>41</xdr:row>
      <xdr:rowOff>488673</xdr:rowOff>
    </xdr:to>
    <xdr:cxnSp macro="">
      <xdr:nvCxnSpPr>
        <xdr:cNvPr id="685" name="Прямая соединительная линия 684"/>
        <xdr:cNvCxnSpPr/>
      </xdr:nvCxnSpPr>
      <xdr:spPr>
        <a:xfrm>
          <a:off x="1731066" y="24069260"/>
          <a:ext cx="59634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306456</xdr:colOff>
      <xdr:row>41</xdr:row>
      <xdr:rowOff>24848</xdr:rowOff>
    </xdr:from>
    <xdr:to>
      <xdr:col>2</xdr:col>
      <xdr:colOff>554934</xdr:colOff>
      <xdr:row>42</xdr:row>
      <xdr:rowOff>265043</xdr:rowOff>
    </xdr:to>
    <xdr:sp macro="" textlink="">
      <xdr:nvSpPr>
        <xdr:cNvPr id="24" name="Полилиния 23"/>
        <xdr:cNvSpPr/>
      </xdr:nvSpPr>
      <xdr:spPr>
        <a:xfrm>
          <a:off x="1731065" y="23605435"/>
          <a:ext cx="248478" cy="935934"/>
        </a:xfrm>
        <a:custGeom>
          <a:avLst/>
          <a:gdLst>
            <a:gd name="connsiteX0" fmla="*/ 248478 w 248478"/>
            <a:gd name="connsiteY0" fmla="*/ 646043 h 646043"/>
            <a:gd name="connsiteX1" fmla="*/ 248478 w 248478"/>
            <a:gd name="connsiteY1" fmla="*/ 173935 h 646043"/>
            <a:gd name="connsiteX2" fmla="*/ 0 w 248478"/>
            <a:gd name="connsiteY2" fmla="*/ 173935 h 646043"/>
            <a:gd name="connsiteX3" fmla="*/ 0 w 248478"/>
            <a:gd name="connsiteY3" fmla="*/ 0 h 646043"/>
            <a:gd name="connsiteX0" fmla="*/ 248478 w 248478"/>
            <a:gd name="connsiteY0" fmla="*/ 935934 h 935934"/>
            <a:gd name="connsiteX1" fmla="*/ 248478 w 248478"/>
            <a:gd name="connsiteY1" fmla="*/ 463826 h 935934"/>
            <a:gd name="connsiteX2" fmla="*/ 0 w 248478"/>
            <a:gd name="connsiteY2" fmla="*/ 463826 h 935934"/>
            <a:gd name="connsiteX3" fmla="*/ 0 w 248478"/>
            <a:gd name="connsiteY3" fmla="*/ 0 h 935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8478" h="935934">
              <a:moveTo>
                <a:pt x="248478" y="935934"/>
              </a:moveTo>
              <a:lnTo>
                <a:pt x="248478" y="463826"/>
              </a:lnTo>
              <a:lnTo>
                <a:pt x="0" y="463826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466397</xdr:colOff>
      <xdr:row>62</xdr:row>
      <xdr:rowOff>0</xdr:rowOff>
    </xdr:from>
    <xdr:to>
      <xdr:col>3</xdr:col>
      <xdr:colOff>118242</xdr:colOff>
      <xdr:row>62</xdr:row>
      <xdr:rowOff>0</xdr:rowOff>
    </xdr:to>
    <xdr:cxnSp macro="">
      <xdr:nvCxnSpPr>
        <xdr:cNvPr id="27" name="Прямая соединительная линия 26"/>
        <xdr:cNvCxnSpPr/>
      </xdr:nvCxnSpPr>
      <xdr:spPr>
        <a:xfrm>
          <a:off x="1898431" y="39617431"/>
          <a:ext cx="229914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479535</xdr:colOff>
      <xdr:row>72</xdr:row>
      <xdr:rowOff>1</xdr:rowOff>
    </xdr:from>
    <xdr:to>
      <xdr:col>3</xdr:col>
      <xdr:colOff>118242</xdr:colOff>
      <xdr:row>72</xdr:row>
      <xdr:rowOff>1</xdr:rowOff>
    </xdr:to>
    <xdr:cxnSp macro="">
      <xdr:nvCxnSpPr>
        <xdr:cNvPr id="698" name="Прямая соединительная линия 697"/>
        <xdr:cNvCxnSpPr/>
      </xdr:nvCxnSpPr>
      <xdr:spPr>
        <a:xfrm>
          <a:off x="1911569" y="46580535"/>
          <a:ext cx="216776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479535</xdr:colOff>
      <xdr:row>76</xdr:row>
      <xdr:rowOff>11207</xdr:rowOff>
    </xdr:from>
    <xdr:to>
      <xdr:col>3</xdr:col>
      <xdr:colOff>111673</xdr:colOff>
      <xdr:row>76</xdr:row>
      <xdr:rowOff>11207</xdr:rowOff>
    </xdr:to>
    <xdr:cxnSp macro="">
      <xdr:nvCxnSpPr>
        <xdr:cNvPr id="699" name="Прямая соединительная линия 698"/>
        <xdr:cNvCxnSpPr/>
      </xdr:nvCxnSpPr>
      <xdr:spPr>
        <a:xfrm>
          <a:off x="1911569" y="49376983"/>
          <a:ext cx="210207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499242</xdr:colOff>
      <xdr:row>88</xdr:row>
      <xdr:rowOff>2</xdr:rowOff>
    </xdr:from>
    <xdr:to>
      <xdr:col>3</xdr:col>
      <xdr:colOff>111673</xdr:colOff>
      <xdr:row>88</xdr:row>
      <xdr:rowOff>2</xdr:rowOff>
    </xdr:to>
    <xdr:cxnSp macro="">
      <xdr:nvCxnSpPr>
        <xdr:cNvPr id="705" name="Прямая соединительная линия 704"/>
        <xdr:cNvCxnSpPr/>
      </xdr:nvCxnSpPr>
      <xdr:spPr>
        <a:xfrm>
          <a:off x="1931276" y="56328881"/>
          <a:ext cx="19050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58770</xdr:colOff>
      <xdr:row>154</xdr:row>
      <xdr:rowOff>482899</xdr:rowOff>
    </xdr:from>
    <xdr:to>
      <xdr:col>3</xdr:col>
      <xdr:colOff>168451</xdr:colOff>
      <xdr:row>154</xdr:row>
      <xdr:rowOff>590899</xdr:rowOff>
    </xdr:to>
    <xdr:sp macro="" textlink="">
      <xdr:nvSpPr>
        <xdr:cNvPr id="718" name="Овал 717"/>
        <xdr:cNvSpPr/>
      </xdr:nvSpPr>
      <xdr:spPr>
        <a:xfrm>
          <a:off x="2068873" y="10137564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110497</xdr:colOff>
      <xdr:row>153</xdr:row>
      <xdr:rowOff>107422</xdr:rowOff>
    </xdr:from>
    <xdr:to>
      <xdr:col>3</xdr:col>
      <xdr:colOff>110497</xdr:colOff>
      <xdr:row>154</xdr:row>
      <xdr:rowOff>561677</xdr:rowOff>
    </xdr:to>
    <xdr:cxnSp macro="">
      <xdr:nvCxnSpPr>
        <xdr:cNvPr id="719" name="Прямая соединительная линия 718"/>
        <xdr:cNvCxnSpPr/>
      </xdr:nvCxnSpPr>
      <xdr:spPr>
        <a:xfrm flipV="1">
          <a:off x="2120600" y="100303853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443951</xdr:colOff>
      <xdr:row>153</xdr:row>
      <xdr:rowOff>107422</xdr:rowOff>
    </xdr:from>
    <xdr:to>
      <xdr:col>2</xdr:col>
      <xdr:colOff>443951</xdr:colOff>
      <xdr:row>154</xdr:row>
      <xdr:rowOff>561677</xdr:rowOff>
    </xdr:to>
    <xdr:cxnSp macro="">
      <xdr:nvCxnSpPr>
        <xdr:cNvPr id="726" name="Прямая соединительная линия 725"/>
        <xdr:cNvCxnSpPr/>
      </xdr:nvCxnSpPr>
      <xdr:spPr>
        <a:xfrm>
          <a:off x="1875985" y="100303853"/>
          <a:ext cx="0" cy="115056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497878</xdr:colOff>
      <xdr:row>154</xdr:row>
      <xdr:rowOff>101814</xdr:rowOff>
    </xdr:from>
    <xdr:to>
      <xdr:col>3</xdr:col>
      <xdr:colOff>66965</xdr:colOff>
      <xdr:row>154</xdr:row>
      <xdr:rowOff>245815</xdr:rowOff>
    </xdr:to>
    <xdr:sp macro="" textlink="">
      <xdr:nvSpPr>
        <xdr:cNvPr id="728" name="Овал 727"/>
        <xdr:cNvSpPr/>
      </xdr:nvSpPr>
      <xdr:spPr>
        <a:xfrm>
          <a:off x="1932231" y="100831490"/>
          <a:ext cx="151793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446690</xdr:colOff>
      <xdr:row>154</xdr:row>
      <xdr:rowOff>5973</xdr:rowOff>
    </xdr:from>
    <xdr:to>
      <xdr:col>3</xdr:col>
      <xdr:colOff>118242</xdr:colOff>
      <xdr:row>154</xdr:row>
      <xdr:rowOff>5973</xdr:rowOff>
    </xdr:to>
    <xdr:cxnSp macro="">
      <xdr:nvCxnSpPr>
        <xdr:cNvPr id="732" name="Прямая соединительная линия 731"/>
        <xdr:cNvCxnSpPr>
          <a:stCxn id="733" idx="2"/>
          <a:endCxn id="733" idx="1"/>
        </xdr:cNvCxnSpPr>
      </xdr:nvCxnSpPr>
      <xdr:spPr>
        <a:xfrm>
          <a:off x="1878724" y="100898714"/>
          <a:ext cx="249621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446690</xdr:colOff>
      <xdr:row>154</xdr:row>
      <xdr:rowOff>5973</xdr:rowOff>
    </xdr:from>
    <xdr:to>
      <xdr:col>3</xdr:col>
      <xdr:colOff>118242</xdr:colOff>
      <xdr:row>154</xdr:row>
      <xdr:rowOff>577473</xdr:rowOff>
    </xdr:to>
    <xdr:sp macro="" textlink="">
      <xdr:nvSpPr>
        <xdr:cNvPr id="733" name="Полилиния 732"/>
        <xdr:cNvSpPr/>
      </xdr:nvSpPr>
      <xdr:spPr>
        <a:xfrm>
          <a:off x="1878724" y="100898714"/>
          <a:ext cx="249621" cy="571500"/>
        </a:xfrm>
        <a:custGeom>
          <a:avLst/>
          <a:gdLst>
            <a:gd name="connsiteX0" fmla="*/ 328449 w 328449"/>
            <a:gd name="connsiteY0" fmla="*/ 532087 h 571500"/>
            <a:gd name="connsiteX1" fmla="*/ 328449 w 328449"/>
            <a:gd name="connsiteY1" fmla="*/ 0 h 571500"/>
            <a:gd name="connsiteX2" fmla="*/ 0 w 328449"/>
            <a:gd name="connsiteY2" fmla="*/ 0 h 571500"/>
            <a:gd name="connsiteX3" fmla="*/ 0 w 328449"/>
            <a:gd name="connsiteY3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8449" h="571500">
              <a:moveTo>
                <a:pt x="328449" y="532087"/>
              </a:moveTo>
              <a:lnTo>
                <a:pt x="328449" y="0"/>
              </a:lnTo>
              <a:lnTo>
                <a:pt x="0" y="0"/>
              </a:lnTo>
              <a:lnTo>
                <a:pt x="0" y="57150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499243</xdr:colOff>
      <xdr:row>88</xdr:row>
      <xdr:rowOff>2</xdr:rowOff>
    </xdr:from>
    <xdr:to>
      <xdr:col>3</xdr:col>
      <xdr:colOff>111674</xdr:colOff>
      <xdr:row>88</xdr:row>
      <xdr:rowOff>571502</xdr:rowOff>
    </xdr:to>
    <xdr:sp macro="" textlink="">
      <xdr:nvSpPr>
        <xdr:cNvPr id="734" name="Полилиния 733"/>
        <xdr:cNvSpPr/>
      </xdr:nvSpPr>
      <xdr:spPr>
        <a:xfrm>
          <a:off x="1931277" y="56328881"/>
          <a:ext cx="190500" cy="571500"/>
        </a:xfrm>
        <a:custGeom>
          <a:avLst/>
          <a:gdLst>
            <a:gd name="connsiteX0" fmla="*/ 328449 w 328449"/>
            <a:gd name="connsiteY0" fmla="*/ 532087 h 571500"/>
            <a:gd name="connsiteX1" fmla="*/ 328449 w 328449"/>
            <a:gd name="connsiteY1" fmla="*/ 0 h 571500"/>
            <a:gd name="connsiteX2" fmla="*/ 0 w 328449"/>
            <a:gd name="connsiteY2" fmla="*/ 0 h 571500"/>
            <a:gd name="connsiteX3" fmla="*/ 0 w 328449"/>
            <a:gd name="connsiteY3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8449" h="571500">
              <a:moveTo>
                <a:pt x="328449" y="532087"/>
              </a:moveTo>
              <a:lnTo>
                <a:pt x="328449" y="0"/>
              </a:lnTo>
              <a:lnTo>
                <a:pt x="0" y="0"/>
              </a:lnTo>
              <a:lnTo>
                <a:pt x="0" y="57150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120466</xdr:colOff>
      <xdr:row>154</xdr:row>
      <xdr:rowOff>45030</xdr:rowOff>
    </xdr:from>
    <xdr:to>
      <xdr:col>3</xdr:col>
      <xdr:colOff>245631</xdr:colOff>
      <xdr:row>154</xdr:row>
      <xdr:rowOff>172327</xdr:rowOff>
    </xdr:to>
    <xdr:grpSp>
      <xdr:nvGrpSpPr>
        <xdr:cNvPr id="482" name="Группа 481"/>
        <xdr:cNvGrpSpPr/>
      </xdr:nvGrpSpPr>
      <xdr:grpSpPr>
        <a:xfrm flipH="1">
          <a:off x="2147930" y="70094601"/>
          <a:ext cx="125165" cy="127297"/>
          <a:chOff x="1132242" y="1306343"/>
          <a:chExt cx="123151" cy="128030"/>
        </a:xfrm>
      </xdr:grpSpPr>
      <xdr:cxnSp macro="">
        <xdr:nvCxnSpPr>
          <xdr:cNvPr id="483" name="Прямая соединительная линия 48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84" name="Прямоугольник 48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7866</xdr:colOff>
      <xdr:row>23</xdr:row>
      <xdr:rowOff>564256</xdr:rowOff>
    </xdr:from>
    <xdr:to>
      <xdr:col>3</xdr:col>
      <xdr:colOff>133751</xdr:colOff>
      <xdr:row>23</xdr:row>
      <xdr:rowOff>691553</xdr:rowOff>
    </xdr:to>
    <xdr:grpSp>
      <xdr:nvGrpSpPr>
        <xdr:cNvPr id="255" name="Группа 254"/>
        <xdr:cNvGrpSpPr/>
      </xdr:nvGrpSpPr>
      <xdr:grpSpPr>
        <a:xfrm flipH="1">
          <a:off x="2035330" y="11626863"/>
          <a:ext cx="125885" cy="127297"/>
          <a:chOff x="1132242" y="1306343"/>
          <a:chExt cx="123151" cy="128030"/>
        </a:xfrm>
      </xdr:grpSpPr>
      <xdr:cxnSp macro="">
        <xdr:nvCxnSpPr>
          <xdr:cNvPr id="256" name="Прямая соединительная линия 25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8" name="Прямоугольник 25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171107</xdr:colOff>
      <xdr:row>40</xdr:row>
      <xdr:rowOff>86159</xdr:rowOff>
    </xdr:from>
    <xdr:to>
      <xdr:col>2</xdr:col>
      <xdr:colOff>298673</xdr:colOff>
      <xdr:row>40</xdr:row>
      <xdr:rowOff>216217</xdr:rowOff>
    </xdr:to>
    <xdr:grpSp>
      <xdr:nvGrpSpPr>
        <xdr:cNvPr id="652" name="Группа 651"/>
        <xdr:cNvGrpSpPr/>
      </xdr:nvGrpSpPr>
      <xdr:grpSpPr>
        <a:xfrm>
          <a:off x="1613464" y="22946159"/>
          <a:ext cx="127566" cy="130058"/>
          <a:chOff x="1132242" y="1306343"/>
          <a:chExt cx="123151" cy="128030"/>
        </a:xfrm>
      </xdr:grpSpPr>
      <xdr:cxnSp macro="">
        <xdr:nvCxnSpPr>
          <xdr:cNvPr id="663" name="Прямая соединительная линия 66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64" name="Прямоугольник 66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448235</xdr:colOff>
      <xdr:row>135</xdr:row>
      <xdr:rowOff>67235</xdr:rowOff>
    </xdr:from>
    <xdr:to>
      <xdr:col>6</xdr:col>
      <xdr:colOff>145676</xdr:colOff>
      <xdr:row>136</xdr:row>
      <xdr:rowOff>616323</xdr:rowOff>
    </xdr:to>
    <xdr:sp macro="" textlink="">
      <xdr:nvSpPr>
        <xdr:cNvPr id="3" name="TextBox 2"/>
        <xdr:cNvSpPr txBox="1"/>
      </xdr:nvSpPr>
      <xdr:spPr>
        <a:xfrm>
          <a:off x="3048000" y="87596382"/>
          <a:ext cx="1423147" cy="1243853"/>
        </a:xfrm>
        <a:prstGeom prst="rect">
          <a:avLst/>
        </a:prstGeom>
        <a:solidFill>
          <a:schemeClr val="lt1"/>
        </a:solidFill>
        <a:ln w="349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СПАСИБО</a:t>
          </a:r>
          <a:br>
            <a:rPr lang="ru-RU" sz="1800" b="1"/>
          </a:br>
          <a:r>
            <a:rPr lang="ru-RU" sz="1800" b="1"/>
            <a:t>ЗА ЧИСТЫЕ</a:t>
          </a:r>
          <a:r>
            <a:rPr lang="ru-RU" sz="1800" b="1" baseline="0"/>
            <a:t/>
          </a:r>
          <a:br>
            <a:rPr lang="ru-RU" sz="1800" b="1" baseline="0"/>
          </a:br>
          <a:r>
            <a:rPr lang="ru-RU" sz="1800" b="1" baseline="0"/>
            <a:t>ОБОЧИНЫ</a:t>
          </a:r>
          <a:endParaRPr lang="ru-RU" sz="1800" b="1"/>
        </a:p>
      </xdr:txBody>
    </xdr:sp>
    <xdr:clientData/>
  </xdr:twoCellAnchor>
  <xdr:twoCellAnchor>
    <xdr:from>
      <xdr:col>4</xdr:col>
      <xdr:colOff>403412</xdr:colOff>
      <xdr:row>17</xdr:row>
      <xdr:rowOff>268941</xdr:rowOff>
    </xdr:from>
    <xdr:to>
      <xdr:col>6</xdr:col>
      <xdr:colOff>263820</xdr:colOff>
      <xdr:row>17</xdr:row>
      <xdr:rowOff>500071</xdr:rowOff>
    </xdr:to>
    <xdr:sp macro="" textlink="">
      <xdr:nvSpPr>
        <xdr:cNvPr id="450" name="Прямоугольник 449"/>
        <xdr:cNvSpPr/>
      </xdr:nvSpPr>
      <xdr:spPr>
        <a:xfrm>
          <a:off x="3003177" y="7205382"/>
          <a:ext cx="1586114" cy="2311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000" b="1">
              <a:solidFill>
                <a:sysClr val="windowText" lastClr="000000"/>
              </a:solidFill>
            </a:rPr>
            <a:t>пр. МАРШАЛА КОНЕВА </a:t>
          </a:r>
          <a:endParaRPr lang="ru-RU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82741</xdr:colOff>
      <xdr:row>17</xdr:row>
      <xdr:rowOff>309361</xdr:rowOff>
    </xdr:from>
    <xdr:to>
      <xdr:col>6</xdr:col>
      <xdr:colOff>236606</xdr:colOff>
      <xdr:row>17</xdr:row>
      <xdr:rowOff>459248</xdr:rowOff>
    </xdr:to>
    <xdr:sp macro="" textlink="">
      <xdr:nvSpPr>
        <xdr:cNvPr id="452" name="Стрелка вправо 451"/>
        <xdr:cNvSpPr/>
      </xdr:nvSpPr>
      <xdr:spPr>
        <a:xfrm>
          <a:off x="4408212" y="7245802"/>
          <a:ext cx="153865" cy="149887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156881</xdr:colOff>
      <xdr:row>19</xdr:row>
      <xdr:rowOff>537883</xdr:rowOff>
    </xdr:from>
    <xdr:to>
      <xdr:col>5</xdr:col>
      <xdr:colOff>370558</xdr:colOff>
      <xdr:row>20</xdr:row>
      <xdr:rowOff>131398</xdr:rowOff>
    </xdr:to>
    <xdr:sp macro="" textlink="">
      <xdr:nvSpPr>
        <xdr:cNvPr id="459" name="Прямоугольник 458"/>
        <xdr:cNvSpPr/>
      </xdr:nvSpPr>
      <xdr:spPr>
        <a:xfrm>
          <a:off x="2756646" y="8863854"/>
          <a:ext cx="1356677" cy="28827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200" b="1">
              <a:solidFill>
                <a:sysClr val="windowText" lastClr="000000"/>
              </a:solidFill>
            </a:rPr>
            <a:t>ул. КРУПСКОЙ</a:t>
          </a:r>
          <a:endParaRPr lang="ru-RU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163102</xdr:colOff>
      <xdr:row>19</xdr:row>
      <xdr:rowOff>597354</xdr:rowOff>
    </xdr:from>
    <xdr:to>
      <xdr:col>5</xdr:col>
      <xdr:colOff>316967</xdr:colOff>
      <xdr:row>20</xdr:row>
      <xdr:rowOff>52477</xdr:rowOff>
    </xdr:to>
    <xdr:sp macro="" textlink="">
      <xdr:nvSpPr>
        <xdr:cNvPr id="460" name="Стрелка вправо 459"/>
        <xdr:cNvSpPr/>
      </xdr:nvSpPr>
      <xdr:spPr>
        <a:xfrm>
          <a:off x="3905867" y="8923325"/>
          <a:ext cx="153865" cy="149887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454851</xdr:colOff>
      <xdr:row>17</xdr:row>
      <xdr:rowOff>545981</xdr:rowOff>
    </xdr:from>
    <xdr:to>
      <xdr:col>2</xdr:col>
      <xdr:colOff>582639</xdr:colOff>
      <xdr:row>17</xdr:row>
      <xdr:rowOff>670191</xdr:rowOff>
    </xdr:to>
    <xdr:grpSp>
      <xdr:nvGrpSpPr>
        <xdr:cNvPr id="466" name="Группа 465"/>
        <xdr:cNvGrpSpPr/>
      </xdr:nvGrpSpPr>
      <xdr:grpSpPr>
        <a:xfrm rot="16200000" flipH="1">
          <a:off x="1898997" y="7443013"/>
          <a:ext cx="124210" cy="127788"/>
          <a:chOff x="1132242" y="1306343"/>
          <a:chExt cx="123151" cy="128030"/>
        </a:xfrm>
      </xdr:grpSpPr>
      <xdr:cxnSp macro="">
        <xdr:nvCxnSpPr>
          <xdr:cNvPr id="467" name="Прямая соединительная линия 46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8" name="Прямоугольник 46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85</xdr:row>
      <xdr:rowOff>74076</xdr:rowOff>
    </xdr:from>
    <xdr:to>
      <xdr:col>3</xdr:col>
      <xdr:colOff>14253</xdr:colOff>
      <xdr:row>86</xdr:row>
      <xdr:rowOff>562574</xdr:rowOff>
    </xdr:to>
    <xdr:cxnSp macro="">
      <xdr:nvCxnSpPr>
        <xdr:cNvPr id="534" name="Прямая соединительная линия 533"/>
        <xdr:cNvCxnSpPr/>
      </xdr:nvCxnSpPr>
      <xdr:spPr>
        <a:xfrm flipV="1">
          <a:off x="2031312" y="43138282"/>
          <a:ext cx="0" cy="118326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86</xdr:row>
      <xdr:rowOff>498619</xdr:rowOff>
    </xdr:from>
    <xdr:to>
      <xdr:col>3</xdr:col>
      <xdr:colOff>68852</xdr:colOff>
      <xdr:row>86</xdr:row>
      <xdr:rowOff>606619</xdr:rowOff>
    </xdr:to>
    <xdr:sp macro="" textlink="">
      <xdr:nvSpPr>
        <xdr:cNvPr id="537" name="Овал 536"/>
        <xdr:cNvSpPr/>
      </xdr:nvSpPr>
      <xdr:spPr>
        <a:xfrm>
          <a:off x="1976230" y="44257590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85</xdr:row>
      <xdr:rowOff>622444</xdr:rowOff>
    </xdr:from>
    <xdr:to>
      <xdr:col>3</xdr:col>
      <xdr:colOff>280814</xdr:colOff>
      <xdr:row>86</xdr:row>
      <xdr:rowOff>71119</xdr:rowOff>
    </xdr:to>
    <xdr:sp macro="" textlink="">
      <xdr:nvSpPr>
        <xdr:cNvPr id="538" name="Овал 537"/>
        <xdr:cNvSpPr/>
      </xdr:nvSpPr>
      <xdr:spPr>
        <a:xfrm>
          <a:off x="2153873" y="43686650"/>
          <a:ext cx="144000" cy="14344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179294</xdr:colOff>
      <xdr:row>85</xdr:row>
      <xdr:rowOff>179294</xdr:rowOff>
    </xdr:from>
    <xdr:to>
      <xdr:col>6</xdr:col>
      <xdr:colOff>212911</xdr:colOff>
      <xdr:row>86</xdr:row>
      <xdr:rowOff>500744</xdr:rowOff>
    </xdr:to>
    <xdr:grpSp>
      <xdr:nvGrpSpPr>
        <xdr:cNvPr id="36" name="Группа 35"/>
        <xdr:cNvGrpSpPr/>
      </xdr:nvGrpSpPr>
      <xdr:grpSpPr>
        <a:xfrm>
          <a:off x="2791865" y="43164258"/>
          <a:ext cx="1761725" cy="1015415"/>
          <a:chOff x="2763468" y="43240577"/>
          <a:chExt cx="1756400" cy="1017189"/>
        </a:xfrm>
      </xdr:grpSpPr>
      <xdr:sp macro="" textlink="">
        <xdr:nvSpPr>
          <xdr:cNvPr id="11" name="Прямоугольник 10"/>
          <xdr:cNvSpPr/>
        </xdr:nvSpPr>
        <xdr:spPr>
          <a:xfrm>
            <a:off x="2763468" y="43240577"/>
            <a:ext cx="1756400" cy="639347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600" b="1"/>
              <a:t>          БУБНОВО</a:t>
            </a:r>
            <a:br>
              <a:rPr lang="ru-RU" sz="1600" b="1"/>
            </a:br>
            <a:r>
              <a:rPr lang="ru-RU" sz="1600" b="1"/>
              <a:t>          РАЗДОРОВО</a:t>
            </a:r>
          </a:p>
        </xdr:txBody>
      </xdr:sp>
      <xdr:sp macro="" textlink="">
        <xdr:nvSpPr>
          <xdr:cNvPr id="542" name="Прямоугольник 541"/>
          <xdr:cNvSpPr/>
        </xdr:nvSpPr>
        <xdr:spPr>
          <a:xfrm>
            <a:off x="2763468" y="43849161"/>
            <a:ext cx="1756400" cy="408605"/>
          </a:xfrm>
          <a:prstGeom prst="rect">
            <a:avLst/>
          </a:prstGeom>
          <a:solidFill>
            <a:srgbClr val="FFC0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ru-RU" sz="900" b="1">
                <a:solidFill>
                  <a:sysClr val="windowText" lastClr="000000"/>
                </a:solidFill>
              </a:rPr>
              <a:t>ЗАО    </a:t>
            </a:r>
            <a:r>
              <a:rPr lang="ru-RU" sz="900" b="1">
                <a:solidFill>
                  <a:srgbClr val="FFC000"/>
                </a:solidFill>
              </a:rPr>
              <a:t>.</a:t>
            </a:r>
          </a:p>
          <a:p>
            <a:pPr algn="r"/>
            <a:r>
              <a:rPr lang="ru-RU" sz="1000" b="1">
                <a:solidFill>
                  <a:sysClr val="windowText" lastClr="000000"/>
                </a:solidFill>
              </a:rPr>
              <a:t>"БАУТЕК"</a:t>
            </a:r>
          </a:p>
        </xdr:txBody>
      </xdr:sp>
      <xdr:grpSp>
        <xdr:nvGrpSpPr>
          <xdr:cNvPr id="32" name="Группа 31"/>
          <xdr:cNvGrpSpPr/>
        </xdr:nvGrpSpPr>
        <xdr:grpSpPr>
          <a:xfrm>
            <a:off x="2919488" y="43383177"/>
            <a:ext cx="203056" cy="400607"/>
            <a:chOff x="4499359" y="41932400"/>
            <a:chExt cx="271096" cy="402143"/>
          </a:xfrm>
        </xdr:grpSpPr>
        <xdr:cxnSp macro="">
          <xdr:nvCxnSpPr>
            <xdr:cNvPr id="19" name="Прямая соединительная линия 18"/>
            <xdr:cNvCxnSpPr>
              <a:endCxn id="20" idx="2"/>
            </xdr:cNvCxnSpPr>
          </xdr:nvCxnSpPr>
          <xdr:spPr>
            <a:xfrm flipV="1">
              <a:off x="4770455" y="42067948"/>
              <a:ext cx="0" cy="255709"/>
            </a:xfrm>
            <a:prstGeom prst="line">
              <a:avLst/>
            </a:prstGeom>
            <a:ln w="60325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0" name="Дуга 19"/>
            <xdr:cNvSpPr/>
          </xdr:nvSpPr>
          <xdr:spPr>
            <a:xfrm>
              <a:off x="4499359" y="41932400"/>
              <a:ext cx="271096" cy="271096"/>
            </a:xfrm>
            <a:prstGeom prst="arc">
              <a:avLst>
                <a:gd name="adj1" fmla="val 10704517"/>
                <a:gd name="adj2" fmla="val 0"/>
              </a:avLst>
            </a:prstGeom>
            <a:ln w="60325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cxnSp macro="">
          <xdr:nvCxnSpPr>
            <xdr:cNvPr id="544" name="Прямая соединительная линия 543"/>
            <xdr:cNvCxnSpPr>
              <a:stCxn id="20" idx="0"/>
            </xdr:cNvCxnSpPr>
          </xdr:nvCxnSpPr>
          <xdr:spPr>
            <a:xfrm>
              <a:off x="4499411" y="42071712"/>
              <a:ext cx="0" cy="262831"/>
            </a:xfrm>
            <a:prstGeom prst="line">
              <a:avLst/>
            </a:prstGeom>
            <a:ln w="60325">
              <a:solidFill>
                <a:schemeClr val="bg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545" name="Группа 544"/>
          <xdr:cNvGrpSpPr/>
        </xdr:nvGrpSpPr>
        <xdr:grpSpPr>
          <a:xfrm>
            <a:off x="2919487" y="43926063"/>
            <a:ext cx="161643" cy="277221"/>
            <a:chOff x="4499359" y="41932400"/>
            <a:chExt cx="271096" cy="402143"/>
          </a:xfrm>
        </xdr:grpSpPr>
        <xdr:cxnSp macro="">
          <xdr:nvCxnSpPr>
            <xdr:cNvPr id="546" name="Прямая соединительная линия 545"/>
            <xdr:cNvCxnSpPr>
              <a:endCxn id="547" idx="2"/>
            </xdr:cNvCxnSpPr>
          </xdr:nvCxnSpPr>
          <xdr:spPr>
            <a:xfrm flipV="1">
              <a:off x="4770455" y="42067948"/>
              <a:ext cx="0" cy="255709"/>
            </a:xfrm>
            <a:prstGeom prst="line">
              <a:avLst/>
            </a:prstGeom>
            <a:ln w="508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47" name="Дуга 546"/>
            <xdr:cNvSpPr/>
          </xdr:nvSpPr>
          <xdr:spPr>
            <a:xfrm>
              <a:off x="4499359" y="41932400"/>
              <a:ext cx="271096" cy="271096"/>
            </a:xfrm>
            <a:prstGeom prst="arc">
              <a:avLst>
                <a:gd name="adj1" fmla="val 10704517"/>
                <a:gd name="adj2" fmla="val 0"/>
              </a:avLst>
            </a:prstGeom>
            <a:ln w="508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cxnSp macro="">
          <xdr:nvCxnSpPr>
            <xdr:cNvPr id="548" name="Прямая соединительная линия 547"/>
            <xdr:cNvCxnSpPr>
              <a:stCxn id="547" idx="0"/>
            </xdr:cNvCxnSpPr>
          </xdr:nvCxnSpPr>
          <xdr:spPr>
            <a:xfrm>
              <a:off x="4499411" y="42071712"/>
              <a:ext cx="0" cy="262831"/>
            </a:xfrm>
            <a:prstGeom prst="line">
              <a:avLst/>
            </a:prstGeom>
            <a:ln w="50800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3" name="Прямоугольник 32"/>
          <xdr:cNvSpPr/>
        </xdr:nvSpPr>
        <xdr:spPr>
          <a:xfrm>
            <a:off x="3169652" y="43917889"/>
            <a:ext cx="694901" cy="293358"/>
          </a:xfrm>
          <a:prstGeom prst="rect">
            <a:avLst/>
          </a:prstGeom>
          <a:solidFill>
            <a:schemeClr val="bg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549" name="Рисунок 548" descr="ÐÐ°ÑÑÐ¸Ð½ÐºÐ¸ Ð¿Ð¾ Ð·Ð°Ð¿ÑÐ¾ÑÑ bautek 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28170" y="43908974"/>
            <a:ext cx="592495" cy="33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700972</xdr:colOff>
      <xdr:row>186</xdr:row>
      <xdr:rowOff>165872</xdr:rowOff>
    </xdr:from>
    <xdr:to>
      <xdr:col>2</xdr:col>
      <xdr:colOff>9672</xdr:colOff>
      <xdr:row>186</xdr:row>
      <xdr:rowOff>873502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72" y="88911658"/>
          <a:ext cx="751057" cy="707630"/>
        </a:xfrm>
        <a:prstGeom prst="rect">
          <a:avLst/>
        </a:prstGeom>
      </xdr:spPr>
    </xdr:pic>
    <xdr:clientData/>
  </xdr:twoCellAnchor>
  <xdr:twoCellAnchor editAs="oneCell">
    <xdr:from>
      <xdr:col>5</xdr:col>
      <xdr:colOff>195887</xdr:colOff>
      <xdr:row>186</xdr:row>
      <xdr:rowOff>165872</xdr:rowOff>
    </xdr:from>
    <xdr:to>
      <xdr:col>6</xdr:col>
      <xdr:colOff>326535</xdr:colOff>
      <xdr:row>186</xdr:row>
      <xdr:rowOff>873502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1458" y="88911658"/>
          <a:ext cx="715756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440918</xdr:colOff>
      <xdr:row>186</xdr:row>
      <xdr:rowOff>165872</xdr:rowOff>
    </xdr:from>
    <xdr:to>
      <xdr:col>4</xdr:col>
      <xdr:colOff>519378</xdr:colOff>
      <xdr:row>186</xdr:row>
      <xdr:rowOff>873502</xdr:rowOff>
    </xdr:to>
    <xdr:pic>
      <xdr:nvPicPr>
        <xdr:cNvPr id="518" name="Рисунок 517" descr="https://a.d-cd.net/e3650c6s-960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382" y="88911658"/>
          <a:ext cx="663567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229629</xdr:colOff>
      <xdr:row>186</xdr:row>
      <xdr:rowOff>1093349</xdr:rowOff>
    </xdr:from>
    <xdr:to>
      <xdr:col>4</xdr:col>
      <xdr:colOff>239321</xdr:colOff>
      <xdr:row>187</xdr:row>
      <xdr:rowOff>413050</xdr:rowOff>
    </xdr:to>
    <xdr:pic>
      <xdr:nvPicPr>
        <xdr:cNvPr id="519" name="Рисунок 518" descr="logo kka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093" y="89839135"/>
          <a:ext cx="594799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353786</xdr:colOff>
      <xdr:row>186</xdr:row>
      <xdr:rowOff>1093349</xdr:rowOff>
    </xdr:from>
    <xdr:to>
      <xdr:col>2</xdr:col>
      <xdr:colOff>196113</xdr:colOff>
      <xdr:row>187</xdr:row>
      <xdr:rowOff>413050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89839135"/>
          <a:ext cx="1284684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747105</xdr:colOff>
      <xdr:row>186</xdr:row>
      <xdr:rowOff>1093349</xdr:rowOff>
    </xdr:from>
    <xdr:to>
      <xdr:col>6</xdr:col>
      <xdr:colOff>641055</xdr:colOff>
      <xdr:row>187</xdr:row>
      <xdr:rowOff>413050</xdr:rowOff>
    </xdr:to>
    <xdr:pic>
      <xdr:nvPicPr>
        <xdr:cNvPr id="521" name="Рисунок 520" descr="856a6cds-9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676" y="89839135"/>
          <a:ext cx="1622058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242728</xdr:colOff>
      <xdr:row>185</xdr:row>
      <xdr:rowOff>231321</xdr:rowOff>
    </xdr:from>
    <xdr:to>
      <xdr:col>5</xdr:col>
      <xdr:colOff>122740</xdr:colOff>
      <xdr:row>185</xdr:row>
      <xdr:rowOff>1297894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085" y="87602785"/>
          <a:ext cx="2193226" cy="10665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505375</xdr:colOff>
      <xdr:row>8</xdr:row>
      <xdr:rowOff>290146</xdr:rowOff>
    </xdr:from>
    <xdr:to>
      <xdr:col>10</xdr:col>
      <xdr:colOff>51289</xdr:colOff>
      <xdr:row>19</xdr:row>
      <xdr:rowOff>256443</xdr:rowOff>
    </xdr:to>
    <xdr:sp macro="" textlink="">
      <xdr:nvSpPr>
        <xdr:cNvPr id="2" name="Полилиния 1"/>
        <xdr:cNvSpPr/>
      </xdr:nvSpPr>
      <xdr:spPr>
        <a:xfrm>
          <a:off x="1765606" y="1477108"/>
          <a:ext cx="1319029" cy="1746739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1283</xdr:colOff>
      <xdr:row>8</xdr:row>
      <xdr:rowOff>290146</xdr:rowOff>
    </xdr:from>
    <xdr:to>
      <xdr:col>23</xdr:col>
      <xdr:colOff>51289</xdr:colOff>
      <xdr:row>19</xdr:row>
      <xdr:rowOff>256443</xdr:rowOff>
    </xdr:to>
    <xdr:sp macro="" textlink="">
      <xdr:nvSpPr>
        <xdr:cNvPr id="5" name="Полилиния 4"/>
        <xdr:cNvSpPr/>
      </xdr:nvSpPr>
      <xdr:spPr>
        <a:xfrm>
          <a:off x="1693802" y="1960684"/>
          <a:ext cx="1178352" cy="1746740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319368</xdr:colOff>
      <xdr:row>3</xdr:row>
      <xdr:rowOff>123265</xdr:rowOff>
    </xdr:from>
    <xdr:to>
      <xdr:col>5</xdr:col>
      <xdr:colOff>301492</xdr:colOff>
      <xdr:row>3</xdr:row>
      <xdr:rowOff>732918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968" y="809065"/>
          <a:ext cx="610774" cy="609653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329173</xdr:colOff>
      <xdr:row>3</xdr:row>
      <xdr:rowOff>123265</xdr:rowOff>
    </xdr:from>
    <xdr:to>
      <xdr:col>7</xdr:col>
      <xdr:colOff>311296</xdr:colOff>
      <xdr:row>3</xdr:row>
      <xdr:rowOff>732918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073" y="809065"/>
          <a:ext cx="610773" cy="609653"/>
        </a:xfrm>
        <a:prstGeom prst="rect">
          <a:avLst/>
        </a:prstGeom>
      </xdr:spPr>
    </xdr:pic>
    <xdr:clientData/>
  </xdr:twoCellAnchor>
  <xdr:oneCellAnchor>
    <xdr:from>
      <xdr:col>6</xdr:col>
      <xdr:colOff>324971</xdr:colOff>
      <xdr:row>4</xdr:row>
      <xdr:rowOff>123265</xdr:rowOff>
    </xdr:from>
    <xdr:ext cx="609653" cy="60965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871" y="1752040"/>
          <a:ext cx="609653" cy="609653"/>
        </a:xfrm>
        <a:prstGeom prst="rect">
          <a:avLst/>
        </a:prstGeom>
      </xdr:spPr>
    </xdr:pic>
    <xdr:clientData/>
  </xdr:oneCellAnchor>
  <xdr:oneCellAnchor>
    <xdr:from>
      <xdr:col>6</xdr:col>
      <xdr:colOff>324971</xdr:colOff>
      <xdr:row>5</xdr:row>
      <xdr:rowOff>112059</xdr:rowOff>
    </xdr:from>
    <xdr:ext cx="609653" cy="609653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871" y="3626784"/>
          <a:ext cx="609653" cy="609653"/>
        </a:xfrm>
        <a:prstGeom prst="rect">
          <a:avLst/>
        </a:prstGeom>
      </xdr:spPr>
    </xdr:pic>
    <xdr:clientData/>
  </xdr:oneCellAnchor>
  <xdr:twoCellAnchor editAs="oneCell">
    <xdr:from>
      <xdr:col>6</xdr:col>
      <xdr:colOff>329173</xdr:colOff>
      <xdr:row>6</xdr:row>
      <xdr:rowOff>162486</xdr:rowOff>
    </xdr:from>
    <xdr:to>
      <xdr:col>7</xdr:col>
      <xdr:colOff>311296</xdr:colOff>
      <xdr:row>6</xdr:row>
      <xdr:rowOff>772139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073" y="4620186"/>
          <a:ext cx="610773" cy="609653"/>
        </a:xfrm>
        <a:prstGeom prst="rect">
          <a:avLst/>
        </a:prstGeom>
      </xdr:spPr>
    </xdr:pic>
    <xdr:clientData/>
  </xdr:twoCellAnchor>
  <xdr:oneCellAnchor>
    <xdr:from>
      <xdr:col>7</xdr:col>
      <xdr:colOff>67235</xdr:colOff>
      <xdr:row>7</xdr:row>
      <xdr:rowOff>156883</xdr:rowOff>
    </xdr:from>
    <xdr:ext cx="609653" cy="609653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785" y="5557558"/>
          <a:ext cx="609653" cy="609653"/>
        </a:xfrm>
        <a:prstGeom prst="rect">
          <a:avLst/>
        </a:prstGeom>
      </xdr:spPr>
    </xdr:pic>
    <xdr:clientData/>
  </xdr:oneCellAnchor>
  <xdr:twoCellAnchor editAs="oneCell">
    <xdr:from>
      <xdr:col>5</xdr:col>
      <xdr:colOff>571501</xdr:colOff>
      <xdr:row>7</xdr:row>
      <xdr:rowOff>156883</xdr:rowOff>
    </xdr:from>
    <xdr:to>
      <xdr:col>6</xdr:col>
      <xdr:colOff>553625</xdr:colOff>
      <xdr:row>7</xdr:row>
      <xdr:rowOff>766536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1" y="5557558"/>
          <a:ext cx="610774" cy="609653"/>
        </a:xfrm>
        <a:prstGeom prst="rect">
          <a:avLst/>
        </a:prstGeom>
      </xdr:spPr>
    </xdr:pic>
    <xdr:clientData/>
  </xdr:twoCellAnchor>
  <xdr:oneCellAnchor>
    <xdr:from>
      <xdr:col>6</xdr:col>
      <xdr:colOff>324971</xdr:colOff>
      <xdr:row>8</xdr:row>
      <xdr:rowOff>156883</xdr:rowOff>
    </xdr:from>
    <xdr:ext cx="609653" cy="609653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871" y="6500533"/>
          <a:ext cx="609653" cy="609653"/>
        </a:xfrm>
        <a:prstGeom prst="rect">
          <a:avLst/>
        </a:prstGeom>
      </xdr:spPr>
    </xdr:pic>
    <xdr:clientData/>
  </xdr:oneCellAnchor>
  <xdr:oneCellAnchor>
    <xdr:from>
      <xdr:col>4</xdr:col>
      <xdr:colOff>319368</xdr:colOff>
      <xdr:row>9</xdr:row>
      <xdr:rowOff>122465</xdr:rowOff>
    </xdr:from>
    <xdr:ext cx="608053" cy="609653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968" y="8352065"/>
          <a:ext cx="608053" cy="609653"/>
        </a:xfrm>
        <a:prstGeom prst="rect">
          <a:avLst/>
        </a:prstGeom>
      </xdr:spPr>
    </xdr:pic>
    <xdr:clientData/>
  </xdr:oneCellAnchor>
  <xdr:oneCellAnchor>
    <xdr:from>
      <xdr:col>5</xdr:col>
      <xdr:colOff>574101</xdr:colOff>
      <xdr:row>9</xdr:row>
      <xdr:rowOff>122465</xdr:rowOff>
    </xdr:from>
    <xdr:ext cx="608052" cy="609653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7351" y="8352065"/>
          <a:ext cx="608052" cy="609653"/>
        </a:xfrm>
        <a:prstGeom prst="rect">
          <a:avLst/>
        </a:prstGeom>
      </xdr:spPr>
    </xdr:pic>
    <xdr:clientData/>
  </xdr:oneCellAnchor>
  <xdr:twoCellAnchor editAs="oneCell">
    <xdr:from>
      <xdr:col>7</xdr:col>
      <xdr:colOff>84244</xdr:colOff>
      <xdr:row>9</xdr:row>
      <xdr:rowOff>122465</xdr:rowOff>
    </xdr:from>
    <xdr:to>
      <xdr:col>8</xdr:col>
      <xdr:colOff>66367</xdr:colOff>
      <xdr:row>9</xdr:row>
      <xdr:rowOff>732118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794" y="8352065"/>
          <a:ext cx="610773" cy="6096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6</xdr:row>
      <xdr:rowOff>14731</xdr:rowOff>
    </xdr:from>
    <xdr:to>
      <xdr:col>1</xdr:col>
      <xdr:colOff>238648</xdr:colOff>
      <xdr:row>6</xdr:row>
      <xdr:rowOff>349597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16483" y="2900806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511557</xdr:colOff>
      <xdr:row>4</xdr:row>
      <xdr:rowOff>103826</xdr:rowOff>
    </xdr:from>
    <xdr:to>
      <xdr:col>2</xdr:col>
      <xdr:colOff>154596</xdr:colOff>
      <xdr:row>4</xdr:row>
      <xdr:rowOff>292618</xdr:rowOff>
    </xdr:to>
    <xdr:grpSp>
      <xdr:nvGrpSpPr>
        <xdr:cNvPr id="4" name="Группа 3"/>
        <xdr:cNvGrpSpPr/>
      </xdr:nvGrpSpPr>
      <xdr:grpSpPr>
        <a:xfrm>
          <a:off x="511557" y="3247076"/>
          <a:ext cx="862239" cy="188792"/>
          <a:chOff x="482982" y="3887156"/>
          <a:chExt cx="862239" cy="188792"/>
        </a:xfrm>
      </xdr:grpSpPr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912304" y="3494227"/>
            <a:ext cx="0" cy="8586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914102" y="3608438"/>
            <a:ext cx="0" cy="86223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131218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126052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120885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115719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110553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105386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002205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950542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898879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847216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795553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74389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69222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64056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58890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53723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88400</xdr:colOff>
      <xdr:row>15</xdr:row>
      <xdr:rowOff>67580</xdr:rowOff>
    </xdr:from>
    <xdr:to>
      <xdr:col>0</xdr:col>
      <xdr:colOff>341268</xdr:colOff>
      <xdr:row>15</xdr:row>
      <xdr:rowOff>321647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88400" y="6743363"/>
          <a:ext cx="252868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445794</xdr:colOff>
      <xdr:row>15</xdr:row>
      <xdr:rowOff>72092</xdr:rowOff>
    </xdr:from>
    <xdr:to>
      <xdr:col>1</xdr:col>
      <xdr:colOff>85749</xdr:colOff>
      <xdr:row>15</xdr:row>
      <xdr:rowOff>321647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445794" y="6747875"/>
          <a:ext cx="252868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190275</xdr:colOff>
      <xdr:row>15</xdr:row>
      <xdr:rowOff>72092</xdr:rowOff>
    </xdr:from>
    <xdr:to>
      <xdr:col>1</xdr:col>
      <xdr:colOff>442848</xdr:colOff>
      <xdr:row>15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803188" y="6747875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16</xdr:row>
      <xdr:rowOff>58183</xdr:rowOff>
    </xdr:from>
    <xdr:to>
      <xdr:col>2</xdr:col>
      <xdr:colOff>144782</xdr:colOff>
      <xdr:row>16</xdr:row>
      <xdr:rowOff>333077</xdr:rowOff>
    </xdr:to>
    <xdr:sp macro="" textlink="">
      <xdr:nvSpPr>
        <xdr:cNvPr id="34" name="Полилиния 33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24893" y="7106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17</xdr:row>
      <xdr:rowOff>75169</xdr:rowOff>
    </xdr:from>
    <xdr:to>
      <xdr:col>1</xdr:col>
      <xdr:colOff>380406</xdr:colOff>
      <xdr:row>17</xdr:row>
      <xdr:rowOff>262152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/>
      </xdr:nvCxnSpPr>
      <xdr:spPr>
        <a:xfrm>
          <a:off x="915271" y="7504669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18</xdr:row>
      <xdr:rowOff>173057</xdr:rowOff>
    </xdr:from>
    <xdr:to>
      <xdr:col>1</xdr:col>
      <xdr:colOff>155323</xdr:colOff>
      <xdr:row>18</xdr:row>
      <xdr:rowOff>237827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734443" y="7983557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18</xdr:row>
      <xdr:rowOff>173057</xdr:rowOff>
    </xdr:from>
    <xdr:to>
      <xdr:col>1</xdr:col>
      <xdr:colOff>520291</xdr:colOff>
      <xdr:row>18</xdr:row>
      <xdr:rowOff>226397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61113" y="7983557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20</xdr:row>
      <xdr:rowOff>58183</xdr:rowOff>
    </xdr:from>
    <xdr:to>
      <xdr:col>2</xdr:col>
      <xdr:colOff>144782</xdr:colOff>
      <xdr:row>20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524893" y="8630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20</xdr:row>
      <xdr:rowOff>123698</xdr:rowOff>
    </xdr:from>
    <xdr:to>
      <xdr:col>1</xdr:col>
      <xdr:colOff>414454</xdr:colOff>
      <xdr:row>20</xdr:row>
      <xdr:rowOff>152889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>
          <a:off x="1011763" y="8696198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20</xdr:row>
      <xdr:rowOff>53600</xdr:rowOff>
    </xdr:from>
    <xdr:to>
      <xdr:col>1</xdr:col>
      <xdr:colOff>563578</xdr:colOff>
      <xdr:row>20</xdr:row>
      <xdr:rowOff>86169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 flipV="1">
          <a:off x="1172563" y="8626100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19</xdr:row>
      <xdr:rowOff>58183</xdr:rowOff>
    </xdr:from>
    <xdr:to>
      <xdr:col>2</xdr:col>
      <xdr:colOff>144782</xdr:colOff>
      <xdr:row>19</xdr:row>
      <xdr:rowOff>333077</xdr:rowOff>
    </xdr:to>
    <xdr:sp macro="" textlink="">
      <xdr:nvSpPr>
        <xdr:cNvPr id="41" name="Полилиния 40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524893" y="8249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19</xdr:row>
      <xdr:rowOff>132001</xdr:rowOff>
    </xdr:from>
    <xdr:to>
      <xdr:col>2</xdr:col>
      <xdr:colOff>75571</xdr:colOff>
      <xdr:row>19</xdr:row>
      <xdr:rowOff>204001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222771" y="832350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20</xdr:row>
      <xdr:rowOff>205680</xdr:rowOff>
    </xdr:from>
    <xdr:to>
      <xdr:col>1</xdr:col>
      <xdr:colOff>170121</xdr:colOff>
      <xdr:row>20</xdr:row>
      <xdr:rowOff>305854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 flipH="1" flipV="1">
          <a:off x="738967" y="8778180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547374</xdr:colOff>
      <xdr:row>15</xdr:row>
      <xdr:rowOff>73997</xdr:rowOff>
    </xdr:from>
    <xdr:to>
      <xdr:col>2</xdr:col>
      <xdr:colOff>187329</xdr:colOff>
      <xdr:row>15</xdr:row>
      <xdr:rowOff>323552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1160287" y="6749780"/>
          <a:ext cx="252868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291856</xdr:colOff>
      <xdr:row>15</xdr:row>
      <xdr:rowOff>69485</xdr:rowOff>
    </xdr:from>
    <xdr:to>
      <xdr:col>2</xdr:col>
      <xdr:colOff>546405</xdr:colOff>
      <xdr:row>15</xdr:row>
      <xdr:rowOff>323552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1517682" y="6745268"/>
          <a:ext cx="254549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6</xdr:row>
      <xdr:rowOff>19377</xdr:rowOff>
    </xdr:from>
    <xdr:to>
      <xdr:col>2</xdr:col>
      <xdr:colOff>205247</xdr:colOff>
      <xdr:row>6</xdr:row>
      <xdr:rowOff>354243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990999" y="2905452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17</xdr:row>
      <xdr:rowOff>60381</xdr:rowOff>
    </xdr:from>
    <xdr:to>
      <xdr:col>2</xdr:col>
      <xdr:colOff>122801</xdr:colOff>
      <xdr:row>17</xdr:row>
      <xdr:rowOff>335275</xdr:rowOff>
    </xdr:to>
    <xdr:sp macro="" textlink="">
      <xdr:nvSpPr>
        <xdr:cNvPr id="47" name="Полилиния 46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>
          <a:off x="502912" y="7489881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179616</xdr:colOff>
      <xdr:row>9</xdr:row>
      <xdr:rowOff>47391</xdr:rowOff>
    </xdr:from>
    <xdr:to>
      <xdr:col>1</xdr:col>
      <xdr:colOff>342571</xdr:colOff>
      <xdr:row>9</xdr:row>
      <xdr:rowOff>208950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/>
      </xdr:nvSpPr>
      <xdr:spPr>
        <a:xfrm>
          <a:off x="789216" y="5600466"/>
          <a:ext cx="162955" cy="16155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20878</xdr:colOff>
      <xdr:row>19</xdr:row>
      <xdr:rowOff>250243</xdr:rowOff>
    </xdr:from>
    <xdr:to>
      <xdr:col>1</xdr:col>
      <xdr:colOff>92878</xdr:colOff>
      <xdr:row>19</xdr:row>
      <xdr:rowOff>322243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/>
      </xdr:nvSpPr>
      <xdr:spPr>
        <a:xfrm>
          <a:off x="630478" y="84417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12</xdr:row>
      <xdr:rowOff>44055</xdr:rowOff>
    </xdr:from>
    <xdr:to>
      <xdr:col>2</xdr:col>
      <xdr:colOff>120601</xdr:colOff>
      <xdr:row>12</xdr:row>
      <xdr:rowOff>315651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/>
      </xdr:nvGrpSpPr>
      <xdr:grpSpPr>
        <a:xfrm>
          <a:off x="1145265" y="6235305"/>
          <a:ext cx="194536" cy="271596"/>
          <a:chOff x="831586" y="6064374"/>
          <a:chExt cx="194536" cy="271596"/>
        </a:xfrm>
      </xdr:grpSpPr>
      <xdr:sp macro="" textlink="">
        <xdr:nvSpPr>
          <xdr:cNvPr id="51" name="Овал 50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2" name="Прямая со стрелкой 51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130098</xdr:colOff>
      <xdr:row>5</xdr:row>
      <xdr:rowOff>68906</xdr:rowOff>
    </xdr:from>
    <xdr:to>
      <xdr:col>2</xdr:col>
      <xdr:colOff>408879</xdr:colOff>
      <xdr:row>5</xdr:row>
      <xdr:rowOff>287661</xdr:rowOff>
    </xdr:to>
    <xdr:grpSp>
      <xdr:nvGrpSpPr>
        <xdr:cNvPr id="55" name="Группа 54"/>
        <xdr:cNvGrpSpPr/>
      </xdr:nvGrpSpPr>
      <xdr:grpSpPr>
        <a:xfrm>
          <a:off x="130098" y="3593156"/>
          <a:ext cx="1497981" cy="218755"/>
          <a:chOff x="130098" y="5621285"/>
          <a:chExt cx="1496122" cy="218755"/>
        </a:xfrm>
      </xdr:grpSpPr>
      <xdr:grpSp>
        <xdr:nvGrpSpPr>
          <xdr:cNvPr id="56" name="Группа 55"/>
          <xdr:cNvGrpSpPr/>
        </xdr:nvGrpSpPr>
        <xdr:grpSpPr>
          <a:xfrm>
            <a:off x="1102745" y="5621285"/>
            <a:ext cx="231070" cy="150655"/>
            <a:chOff x="1074869" y="5621285"/>
            <a:chExt cx="231070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id="{00000000-0008-0000-0600-000043000000}"/>
                </a:ext>
              </a:extLst>
            </xdr:cNvPr>
            <xdr:cNvSpPr/>
          </xdr:nvSpPr>
          <xdr:spPr>
            <a:xfrm flipH="1">
              <a:off x="1074869" y="5723579"/>
              <a:ext cx="46800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id="{00000000-0008-0000-0600-000044000000}"/>
                </a:ext>
              </a:extLst>
            </xdr:cNvPr>
            <xdr:cNvCxnSpPr/>
          </xdr:nvCxnSpPr>
          <xdr:spPr>
            <a:xfrm flipV="1">
              <a:off x="1125939" y="5621285"/>
              <a:ext cx="180000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7" name="Группа 56"/>
          <xdr:cNvGrpSpPr/>
        </xdr:nvGrpSpPr>
        <xdr:grpSpPr>
          <a:xfrm>
            <a:off x="401602" y="5721074"/>
            <a:ext cx="364368" cy="118966"/>
            <a:chOff x="760945" y="5714381"/>
            <a:chExt cx="364368" cy="118966"/>
          </a:xfrm>
        </xdr:grpSpPr>
        <xdr:grpSp>
          <xdr:nvGrpSpPr>
            <xdr:cNvPr id="61" name="Группа 60"/>
            <xdr:cNvGrpSpPr/>
          </xdr:nvGrpSpPr>
          <xdr:grpSpPr>
            <a:xfrm>
              <a:off x="100633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5" name="Овал 64">
                <a:extLst>
                  <a:ext uri="{FF2B5EF4-FFF2-40B4-BE49-F238E27FC236}">
                    <a16:creationId xmlns:a16="http://schemas.microsoft.com/office/drawing/2014/main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6" name="Прямая со стрелкой 65">
                <a:extLst>
                  <a:ext uri="{FF2B5EF4-FFF2-40B4-BE49-F238E27FC236}">
                    <a16:creationId xmlns:a16="http://schemas.microsoft.com/office/drawing/2014/main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2" name="Группа 61"/>
            <xdr:cNvGrpSpPr/>
          </xdr:nvGrpSpPr>
          <xdr:grpSpPr>
            <a:xfrm flipH="1">
              <a:off x="760945" y="5714381"/>
              <a:ext cx="118978" cy="118966"/>
              <a:chOff x="1006335" y="5714381"/>
              <a:chExt cx="118978" cy="118966"/>
            </a:xfrm>
          </xdr:grpSpPr>
          <xdr:sp macro="" textlink="">
            <xdr:nvSpPr>
              <xdr:cNvPr id="63" name="Овал 62">
                <a:extLst>
                  <a:ext uri="{FF2B5EF4-FFF2-40B4-BE49-F238E27FC236}">
                    <a16:creationId xmlns:a16="http://schemas.microsoft.com/office/drawing/2014/main" id="{00000000-0008-0000-0600-000040000000}"/>
                  </a:ext>
                </a:extLst>
              </xdr:cNvPr>
              <xdr:cNvSpPr/>
            </xdr:nvSpPr>
            <xdr:spPr>
              <a:xfrm>
                <a:off x="1078513" y="5714381"/>
                <a:ext cx="46800" cy="51379"/>
              </a:xfrm>
              <a:prstGeom prst="ellipse">
                <a:avLst/>
              </a:prstGeom>
              <a:solidFill>
                <a:schemeClr val="bg1"/>
              </a:solidFill>
              <a:ln w="19050">
                <a:solidFill>
                  <a:schemeClr val="tx1"/>
                </a:solidFill>
                <a:prstDash val="solid"/>
                <a:tailEnd type="none" w="med" len="lg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clip" horzOverflow="clip" vert="horz" wrap="square" lIns="0" tIns="0" rIns="0" bIns="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ru-RU" sz="1000" b="1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endParaRPr>
              </a:p>
            </xdr:txBody>
          </xdr:sp>
          <xdr:cxnSp macro="">
            <xdr:nvCxnSpPr>
              <xdr:cNvPr id="64" name="Прямая со стрелкой 63">
                <a:extLst>
                  <a:ext uri="{FF2B5EF4-FFF2-40B4-BE49-F238E27FC236}">
                    <a16:creationId xmlns:a16="http://schemas.microsoft.com/office/drawing/2014/main" id="{00000000-0008-0000-0600-000041000000}"/>
                  </a:ext>
                </a:extLst>
              </xdr:cNvPr>
              <xdr:cNvCxnSpPr/>
            </xdr:nvCxnSpPr>
            <xdr:spPr>
              <a:xfrm flipH="1">
                <a:off x="1006335" y="5761347"/>
                <a:ext cx="72000" cy="72000"/>
              </a:xfrm>
              <a:prstGeom prst="straightConnector1">
                <a:avLst/>
              </a:prstGeom>
              <a:ln w="19050">
                <a:tailEnd type="none" w="med" len="lg"/>
              </a:ln>
            </xdr:spPr>
            <xdr:style>
              <a:lnRef idx="1">
                <a:schemeClr val="dk1"/>
              </a:lnRef>
              <a:fillRef idx="0">
                <a:schemeClr val="dk1"/>
              </a:fillRef>
              <a:effectRef idx="0">
                <a:schemeClr val="dk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098" y="5747524"/>
            <a:ext cx="258654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775939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5623" y="5747524"/>
            <a:ext cx="320597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221754</xdr:colOff>
      <xdr:row>11</xdr:row>
      <xdr:rowOff>42612</xdr:rowOff>
    </xdr:from>
    <xdr:to>
      <xdr:col>1</xdr:col>
      <xdr:colOff>327087</xdr:colOff>
      <xdr:row>11</xdr:row>
      <xdr:rowOff>340269</xdr:rowOff>
    </xdr:to>
    <xdr:grpSp>
      <xdr:nvGrpSpPr>
        <xdr:cNvPr id="81" name="Группа 80"/>
        <xdr:cNvGrpSpPr/>
      </xdr:nvGrpSpPr>
      <xdr:grpSpPr>
        <a:xfrm>
          <a:off x="831354" y="5852862"/>
          <a:ext cx="105333" cy="297657"/>
          <a:chOff x="718673" y="6738687"/>
          <a:chExt cx="102554" cy="297657"/>
        </a:xfrm>
      </xdr:grpSpPr>
      <xdr:sp macro="" textlink="">
        <xdr:nvSpPr>
          <xdr:cNvPr id="82" name="Прямоугольник 81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718673" y="6738687"/>
            <a:ext cx="102554" cy="297657"/>
          </a:xfrm>
          <a:prstGeom prst="rect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3" name="Овал 82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733346" y="6754984"/>
            <a:ext cx="73208" cy="73208"/>
          </a:xfrm>
          <a:prstGeom prst="ellipse">
            <a:avLst/>
          </a:prstGeom>
          <a:solidFill>
            <a:srgbClr val="FF00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4" name="Овал 83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733346" y="6850912"/>
            <a:ext cx="73208" cy="73208"/>
          </a:xfrm>
          <a:prstGeom prst="ellipse">
            <a:avLst/>
          </a:prstGeom>
          <a:solidFill>
            <a:srgbClr val="FFFF0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85" name="Овал 84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733346" y="6946840"/>
            <a:ext cx="73208" cy="73208"/>
          </a:xfrm>
          <a:prstGeom prst="ellipse">
            <a:avLst/>
          </a:prstGeom>
          <a:solidFill>
            <a:srgbClr val="00B050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342900</xdr:colOff>
      <xdr:row>13</xdr:row>
      <xdr:rowOff>45646</xdr:rowOff>
    </xdr:from>
    <xdr:to>
      <xdr:col>1</xdr:col>
      <xdr:colOff>17116</xdr:colOff>
      <xdr:row>13</xdr:row>
      <xdr:rowOff>325737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42900" y="5979721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13</xdr:row>
      <xdr:rowOff>59794</xdr:rowOff>
    </xdr:from>
    <xdr:to>
      <xdr:col>2</xdr:col>
      <xdr:colOff>439911</xdr:colOff>
      <xdr:row>13</xdr:row>
      <xdr:rowOff>315343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749774" y="5993869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600" b="1">
              <a:solidFill>
                <a:sysClr val="windowText" lastClr="000000"/>
              </a:solidFill>
            </a:rPr>
            <a:t>НАСЕЛЕННЫЙ</a:t>
          </a:r>
          <a:r>
            <a:rPr lang="ru-RU" sz="600" b="1" baseline="0">
              <a:solidFill>
                <a:sysClr val="windowText" lastClr="000000"/>
              </a:solidFill>
            </a:rPr>
            <a:t> ПУНКТ</a:t>
          </a:r>
          <a:endParaRPr lang="ru-RU" sz="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492013</xdr:colOff>
      <xdr:row>12</xdr:row>
      <xdr:rowOff>69819</xdr:rowOff>
    </xdr:from>
    <xdr:to>
      <xdr:col>1</xdr:col>
      <xdr:colOff>100398</xdr:colOff>
      <xdr:row>12</xdr:row>
      <xdr:rowOff>294412</xdr:rowOff>
    </xdr:to>
    <xdr:grpSp>
      <xdr:nvGrpSpPr>
        <xdr:cNvPr id="88" name="Группа 87"/>
        <xdr:cNvGrpSpPr/>
      </xdr:nvGrpSpPr>
      <xdr:grpSpPr>
        <a:xfrm>
          <a:off x="492013" y="6261069"/>
          <a:ext cx="217985" cy="224593"/>
          <a:chOff x="432109" y="5929430"/>
          <a:chExt cx="216520" cy="224593"/>
        </a:xfrm>
      </xdr:grpSpPr>
      <xdr:sp macro="" textlink="">
        <xdr:nvSpPr>
          <xdr:cNvPr id="89" name="Равнобедренный треугольник 88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" name="Прямоугольник 89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192881</xdr:colOff>
      <xdr:row>9</xdr:row>
      <xdr:rowOff>237120</xdr:rowOff>
    </xdr:from>
    <xdr:to>
      <xdr:col>1</xdr:col>
      <xdr:colOff>328614</xdr:colOff>
      <xdr:row>9</xdr:row>
      <xdr:rowOff>291150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802481" y="5790195"/>
          <a:ext cx="135733" cy="540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261522</xdr:colOff>
      <xdr:row>9</xdr:row>
      <xdr:rowOff>133135</xdr:rowOff>
    </xdr:from>
    <xdr:to>
      <xdr:col>1</xdr:col>
      <xdr:colOff>261522</xdr:colOff>
      <xdr:row>9</xdr:row>
      <xdr:rowOff>324654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CxnSpPr/>
      </xdr:nvCxnSpPr>
      <xdr:spPr>
        <a:xfrm flipV="1">
          <a:off x="871122" y="5686210"/>
          <a:ext cx="0" cy="191519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506741</xdr:colOff>
      <xdr:row>1</xdr:row>
      <xdr:rowOff>721540</xdr:rowOff>
    </xdr:from>
    <xdr:to>
      <xdr:col>0</xdr:col>
      <xdr:colOff>579984</xdr:colOff>
      <xdr:row>1</xdr:row>
      <xdr:rowOff>793540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506741" y="170261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237149</xdr:colOff>
      <xdr:row>1</xdr:row>
      <xdr:rowOff>477482</xdr:rowOff>
    </xdr:from>
    <xdr:to>
      <xdr:col>1</xdr:col>
      <xdr:colOff>237953</xdr:colOff>
      <xdr:row>1</xdr:row>
      <xdr:rowOff>477482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542351" y="1153355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596354</xdr:colOff>
      <xdr:row>1</xdr:row>
      <xdr:rowOff>729823</xdr:rowOff>
    </xdr:from>
    <xdr:to>
      <xdr:col>2</xdr:col>
      <xdr:colOff>56684</xdr:colOff>
      <xdr:row>1</xdr:row>
      <xdr:rowOff>801823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205954" y="1710898"/>
          <a:ext cx="6993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24600</xdr:colOff>
      <xdr:row>1</xdr:row>
      <xdr:rowOff>134179</xdr:rowOff>
    </xdr:from>
    <xdr:to>
      <xdr:col>2</xdr:col>
      <xdr:colOff>223638</xdr:colOff>
      <xdr:row>1</xdr:row>
      <xdr:rowOff>766405</xdr:rowOff>
    </xdr:to>
    <xdr:sp macro="" textlink="">
      <xdr:nvSpPr>
        <xdr:cNvPr id="122" name="Полилиния 121"/>
        <xdr:cNvSpPr/>
      </xdr:nvSpPr>
      <xdr:spPr>
        <a:xfrm>
          <a:off x="1243800" y="1115254"/>
          <a:ext cx="199038" cy="63222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523179</xdr:colOff>
      <xdr:row>1</xdr:row>
      <xdr:rowOff>327012</xdr:rowOff>
    </xdr:from>
    <xdr:to>
      <xdr:col>2</xdr:col>
      <xdr:colOff>37266</xdr:colOff>
      <xdr:row>1</xdr:row>
      <xdr:rowOff>455042</xdr:rowOff>
    </xdr:to>
    <xdr:grpSp>
      <xdr:nvGrpSpPr>
        <xdr:cNvPr id="5" name="Группа 4"/>
        <xdr:cNvGrpSpPr/>
      </xdr:nvGrpSpPr>
      <xdr:grpSpPr>
        <a:xfrm>
          <a:off x="1132779" y="641337"/>
          <a:ext cx="123687" cy="128030"/>
          <a:chOff x="1132242" y="1306343"/>
          <a:chExt cx="123151" cy="128030"/>
        </a:xfrm>
      </xdr:grpSpPr>
      <xdr:cxnSp macro="">
        <xdr:nvCxnSpPr>
          <xdr:cNvPr id="125" name="Прямая соединительная линия 12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Прямоугольник 12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54932</xdr:colOff>
      <xdr:row>1</xdr:row>
      <xdr:rowOff>477483</xdr:rowOff>
    </xdr:from>
    <xdr:to>
      <xdr:col>2</xdr:col>
      <xdr:colOff>414137</xdr:colOff>
      <xdr:row>1</xdr:row>
      <xdr:rowOff>477483</xdr:rowOff>
    </xdr:to>
    <xdr:cxnSp macro="">
      <xdr:nvCxnSpPr>
        <xdr:cNvPr id="127" name="Прямая со стрелкой 1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274132" y="1458558"/>
          <a:ext cx="359205" cy="0"/>
        </a:xfrm>
        <a:prstGeom prst="straightConnector1">
          <a:avLst/>
        </a:prstGeom>
        <a:ln w="19050">
          <a:prstDash val="sysDash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224818</xdr:colOff>
      <xdr:row>3</xdr:row>
      <xdr:rowOff>380295</xdr:rowOff>
    </xdr:from>
    <xdr:to>
      <xdr:col>0</xdr:col>
      <xdr:colOff>278818</xdr:colOff>
      <xdr:row>3</xdr:row>
      <xdr:rowOff>434295</xdr:rowOff>
    </xdr:to>
    <xdr:sp macro="" textlink="">
      <xdr:nvSpPr>
        <xdr:cNvPr id="147" name="5-конечная звезда 146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224818" y="3248681"/>
          <a:ext cx="54000" cy="54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346581</xdr:colOff>
      <xdr:row>3</xdr:row>
      <xdr:rowOff>363537</xdr:rowOff>
    </xdr:from>
    <xdr:to>
      <xdr:col>2</xdr:col>
      <xdr:colOff>400581</xdr:colOff>
      <xdr:row>3</xdr:row>
      <xdr:rowOff>417537</xdr:rowOff>
    </xdr:to>
    <xdr:sp macro="" textlink="">
      <xdr:nvSpPr>
        <xdr:cNvPr id="148" name="5-конечная звезда 147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1565781" y="3231923"/>
          <a:ext cx="54000" cy="54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364434</xdr:colOff>
      <xdr:row>7</xdr:row>
      <xdr:rowOff>81613</xdr:rowOff>
    </xdr:from>
    <xdr:to>
      <xdr:col>2</xdr:col>
      <xdr:colOff>3521</xdr:colOff>
      <xdr:row>7</xdr:row>
      <xdr:rowOff>333613</xdr:rowOff>
    </xdr:to>
    <xdr:grpSp>
      <xdr:nvGrpSpPr>
        <xdr:cNvPr id="160" name="Группа 159"/>
        <xdr:cNvGrpSpPr>
          <a:grpSpLocks noChangeAspect="1"/>
        </xdr:cNvGrpSpPr>
      </xdr:nvGrpSpPr>
      <xdr:grpSpPr>
        <a:xfrm>
          <a:off x="974034" y="4367863"/>
          <a:ext cx="248687" cy="252000"/>
          <a:chOff x="2849880" y="7536180"/>
          <a:chExt cx="278130" cy="262890"/>
        </a:xfrm>
      </xdr:grpSpPr>
      <xdr:sp macro="" textlink="">
        <xdr:nvSpPr>
          <xdr:cNvPr id="162" name="Прямоугольник 16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63" name="Рисунок 16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596851</xdr:colOff>
      <xdr:row>7</xdr:row>
      <xdr:rowOff>71409</xdr:rowOff>
    </xdr:from>
    <xdr:to>
      <xdr:col>1</xdr:col>
      <xdr:colOff>235938</xdr:colOff>
      <xdr:row>7</xdr:row>
      <xdr:rowOff>323409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51" y="4867039"/>
          <a:ext cx="252000" cy="252000"/>
        </a:xfrm>
        <a:prstGeom prst="rect">
          <a:avLst/>
        </a:prstGeom>
      </xdr:spPr>
    </xdr:pic>
    <xdr:clientData/>
  </xdr:twoCellAnchor>
  <xdr:twoCellAnchor>
    <xdr:from>
      <xdr:col>1</xdr:col>
      <xdr:colOff>191574</xdr:colOff>
      <xdr:row>8</xdr:row>
      <xdr:rowOff>24849</xdr:rowOff>
    </xdr:from>
    <xdr:to>
      <xdr:col>1</xdr:col>
      <xdr:colOff>349876</xdr:colOff>
      <xdr:row>8</xdr:row>
      <xdr:rowOff>373855</xdr:rowOff>
    </xdr:to>
    <xdr:grpSp>
      <xdr:nvGrpSpPr>
        <xdr:cNvPr id="164" name="Группа 163"/>
        <xdr:cNvGrpSpPr/>
      </xdr:nvGrpSpPr>
      <xdr:grpSpPr>
        <a:xfrm>
          <a:off x="801174" y="4692099"/>
          <a:ext cx="158302" cy="349006"/>
          <a:chOff x="1258303" y="3880184"/>
          <a:chExt cx="158302" cy="349006"/>
        </a:xfrm>
      </xdr:grpSpPr>
      <xdr:cxnSp macro="">
        <xdr:nvCxnSpPr>
          <xdr:cNvPr id="165" name="Прямая со стрелкой 164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1334205" y="3880184"/>
            <a:ext cx="0" cy="349006"/>
          </a:xfrm>
          <a:prstGeom prst="straightConnector1">
            <a:avLst/>
          </a:prstGeom>
          <a:ln w="15875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grpSp>
        <xdr:nvGrpSpPr>
          <xdr:cNvPr id="166" name="Группа 165"/>
          <xdr:cNvGrpSpPr/>
        </xdr:nvGrpSpPr>
        <xdr:grpSpPr>
          <a:xfrm>
            <a:off x="1258303" y="4061376"/>
            <a:ext cx="158302" cy="149105"/>
            <a:chOff x="2849880" y="7536180"/>
            <a:chExt cx="278130" cy="262890"/>
          </a:xfrm>
        </xdr:grpSpPr>
        <xdr:sp macro="" textlink="">
          <xdr:nvSpPr>
            <xdr:cNvPr id="168" name="Прямоугольник 167"/>
            <xdr:cNvSpPr/>
          </xdr:nvSpPr>
          <xdr:spPr>
            <a:xfrm>
              <a:off x="2849880" y="7536180"/>
              <a:ext cx="278130" cy="262890"/>
            </a:xfrm>
            <a:prstGeom prst="rect">
              <a:avLst/>
            </a:prstGeom>
            <a:solidFill>
              <a:srgbClr val="FFFF0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pic>
          <xdr:nvPicPr>
            <xdr:cNvPr id="169" name="Рисунок 168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2875416" y="7562329"/>
              <a:ext cx="209672" cy="210592"/>
            </a:xfrm>
            <a:prstGeom prst="rect">
              <a:avLst/>
            </a:prstGeom>
          </xdr:spPr>
        </xdr:pic>
      </xdr:grpSp>
      <xdr:pic>
        <xdr:nvPicPr>
          <xdr:cNvPr id="167" name="Рисунок 16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7093" y="3893802"/>
            <a:ext cx="134155" cy="13415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107674</xdr:colOff>
      <xdr:row>18</xdr:row>
      <xdr:rowOff>82826</xdr:rowOff>
    </xdr:from>
    <xdr:to>
      <xdr:col>2</xdr:col>
      <xdr:colOff>214829</xdr:colOff>
      <xdr:row>18</xdr:row>
      <xdr:rowOff>320950</xdr:rowOff>
    </xdr:to>
    <xdr:cxnSp macro="">
      <xdr:nvCxnSpPr>
        <xdr:cNvPr id="170" name="Прямая со стрелкой 169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H="1">
          <a:off x="1333500" y="7901609"/>
          <a:ext cx="107155" cy="238124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248619</xdr:colOff>
      <xdr:row>3</xdr:row>
      <xdr:rowOff>257140</xdr:rowOff>
    </xdr:from>
    <xdr:to>
      <xdr:col>1</xdr:col>
      <xdr:colOff>449805</xdr:colOff>
      <xdr:row>3</xdr:row>
      <xdr:rowOff>437140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532" y="3131205"/>
          <a:ext cx="201186" cy="180000"/>
        </a:xfrm>
        <a:prstGeom prst="rect">
          <a:avLst/>
        </a:prstGeom>
      </xdr:spPr>
    </xdr:pic>
    <xdr:clientData/>
  </xdr:twoCellAnchor>
  <xdr:twoCellAnchor>
    <xdr:from>
      <xdr:col>2</xdr:col>
      <xdr:colOff>270303</xdr:colOff>
      <xdr:row>3</xdr:row>
      <xdr:rowOff>546678</xdr:rowOff>
    </xdr:from>
    <xdr:to>
      <xdr:col>2</xdr:col>
      <xdr:colOff>324303</xdr:colOff>
      <xdr:row>3</xdr:row>
      <xdr:rowOff>600678</xdr:rowOff>
    </xdr:to>
    <xdr:sp macro="" textlink="">
      <xdr:nvSpPr>
        <xdr:cNvPr id="175" name="5-конечная звезда 174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1489503" y="3415064"/>
          <a:ext cx="54000" cy="54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354624</xdr:colOff>
      <xdr:row>2</xdr:row>
      <xdr:rowOff>413250</xdr:rowOff>
    </xdr:from>
    <xdr:to>
      <xdr:col>1</xdr:col>
      <xdr:colOff>135285</xdr:colOff>
      <xdr:row>2</xdr:row>
      <xdr:rowOff>474048</xdr:rowOff>
    </xdr:to>
    <xdr:grpSp>
      <xdr:nvGrpSpPr>
        <xdr:cNvPr id="3" name="Группа 2"/>
        <xdr:cNvGrpSpPr/>
      </xdr:nvGrpSpPr>
      <xdr:grpSpPr>
        <a:xfrm>
          <a:off x="354624" y="1670550"/>
          <a:ext cx="390261" cy="60798"/>
          <a:chOff x="3505200" y="4066890"/>
          <a:chExt cx="388796" cy="60798"/>
        </a:xfrm>
      </xdr:grpSpPr>
      <xdr:cxnSp macro="">
        <xdr:nvCxnSpPr>
          <xdr:cNvPr id="176" name="Прямая соединительная линия 175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7" name="Прямая соединительная линия 176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8" name="Прямая соединительная линия 177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196049</xdr:colOff>
      <xdr:row>2</xdr:row>
      <xdr:rowOff>134179</xdr:rowOff>
    </xdr:from>
    <xdr:to>
      <xdr:col>2</xdr:col>
      <xdr:colOff>196049</xdr:colOff>
      <xdr:row>2</xdr:row>
      <xdr:rowOff>747896</xdr:rowOff>
    </xdr:to>
    <xdr:cxnSp macro="">
      <xdr:nvCxnSpPr>
        <xdr:cNvPr id="194" name="Прямая со стрелкой 19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418124" y="1388604"/>
          <a:ext cx="0" cy="61371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162376</xdr:colOff>
      <xdr:row>2</xdr:row>
      <xdr:rowOff>706886</xdr:rowOff>
    </xdr:from>
    <xdr:to>
      <xdr:col>2</xdr:col>
      <xdr:colOff>235619</xdr:colOff>
      <xdr:row>2</xdr:row>
      <xdr:rowOff>778886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378645" y="263386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354624</xdr:colOff>
      <xdr:row>2</xdr:row>
      <xdr:rowOff>518827</xdr:rowOff>
    </xdr:from>
    <xdr:to>
      <xdr:col>1</xdr:col>
      <xdr:colOff>135285</xdr:colOff>
      <xdr:row>2</xdr:row>
      <xdr:rowOff>579625</xdr:rowOff>
    </xdr:to>
    <xdr:grpSp>
      <xdr:nvGrpSpPr>
        <xdr:cNvPr id="196" name="Группа 195"/>
        <xdr:cNvGrpSpPr/>
      </xdr:nvGrpSpPr>
      <xdr:grpSpPr>
        <a:xfrm flipV="1">
          <a:off x="354624" y="1776127"/>
          <a:ext cx="390261" cy="60798"/>
          <a:chOff x="3505200" y="4066890"/>
          <a:chExt cx="388796" cy="60798"/>
        </a:xfrm>
      </xdr:grpSpPr>
      <xdr:cxnSp macro="">
        <xdr:nvCxnSpPr>
          <xdr:cNvPr id="197" name="Прямая соединительная линия 196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8" name="Прямая соединительная линия 197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9" name="Прямая соединительная линия 198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82742</xdr:colOff>
      <xdr:row>2</xdr:row>
      <xdr:rowOff>291132</xdr:rowOff>
    </xdr:from>
    <xdr:to>
      <xdr:col>2</xdr:col>
      <xdr:colOff>143540</xdr:colOff>
      <xdr:row>2</xdr:row>
      <xdr:rowOff>679928</xdr:rowOff>
    </xdr:to>
    <xdr:grpSp>
      <xdr:nvGrpSpPr>
        <xdr:cNvPr id="200" name="Группа 199"/>
        <xdr:cNvGrpSpPr/>
      </xdr:nvGrpSpPr>
      <xdr:grpSpPr>
        <a:xfrm rot="16200000">
          <a:off x="1137943" y="1712431"/>
          <a:ext cx="388796" cy="60798"/>
          <a:chOff x="3505200" y="4066890"/>
          <a:chExt cx="388796" cy="60798"/>
        </a:xfrm>
      </xdr:grpSpPr>
      <xdr:cxnSp macro="">
        <xdr:nvCxnSpPr>
          <xdr:cNvPr id="201" name="Прямая соединительная линия 200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2" name="Прямая соединительная линия 201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3" name="Прямая соединительная линия 202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258584</xdr:colOff>
      <xdr:row>2</xdr:row>
      <xdr:rowOff>291132</xdr:rowOff>
    </xdr:from>
    <xdr:to>
      <xdr:col>2</xdr:col>
      <xdr:colOff>319382</xdr:colOff>
      <xdr:row>2</xdr:row>
      <xdr:rowOff>679928</xdr:rowOff>
    </xdr:to>
    <xdr:grpSp>
      <xdr:nvGrpSpPr>
        <xdr:cNvPr id="204" name="Группа 203"/>
        <xdr:cNvGrpSpPr/>
      </xdr:nvGrpSpPr>
      <xdr:grpSpPr>
        <a:xfrm rot="5400000">
          <a:off x="1313785" y="1712431"/>
          <a:ext cx="388796" cy="60798"/>
          <a:chOff x="3505200" y="4066890"/>
          <a:chExt cx="388796" cy="60798"/>
        </a:xfrm>
      </xdr:grpSpPr>
      <xdr:cxnSp macro="">
        <xdr:nvCxnSpPr>
          <xdr:cNvPr id="205" name="Прямая соединительная линия 204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62203" y="4124887"/>
            <a:ext cx="278177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6" name="Прямая соединительная линия 205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505200" y="4066890"/>
            <a:ext cx="61272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7" name="Прямая соединительная линия 206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36037" y="4066890"/>
            <a:ext cx="57959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549140</xdr:colOff>
      <xdr:row>2</xdr:row>
      <xdr:rowOff>177202</xdr:rowOff>
    </xdr:from>
    <xdr:to>
      <xdr:col>0</xdr:col>
      <xdr:colOff>549140</xdr:colOff>
      <xdr:row>2</xdr:row>
      <xdr:rowOff>451675</xdr:rowOff>
    </xdr:to>
    <xdr:cxnSp macro="">
      <xdr:nvCxnSpPr>
        <xdr:cNvPr id="208" name="Прямая со стрелкой 20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9140" y="2097565"/>
          <a:ext cx="0" cy="27447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512519</xdr:colOff>
      <xdr:row>2</xdr:row>
      <xdr:rowOff>706886</xdr:rowOff>
    </xdr:from>
    <xdr:to>
      <xdr:col>0</xdr:col>
      <xdr:colOff>585762</xdr:colOff>
      <xdr:row>2</xdr:row>
      <xdr:rowOff>778886</xdr:rowOff>
    </xdr:to>
    <xdr:sp macro="" textlink="">
      <xdr:nvSpPr>
        <xdr:cNvPr id="209" name="Овал 20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512519" y="2627249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549140</xdr:colOff>
      <xdr:row>2</xdr:row>
      <xdr:rowOff>549992</xdr:rowOff>
    </xdr:from>
    <xdr:to>
      <xdr:col>0</xdr:col>
      <xdr:colOff>549140</xdr:colOff>
      <xdr:row>2</xdr:row>
      <xdr:rowOff>754674</xdr:rowOff>
    </xdr:to>
    <xdr:cxnSp macro="">
      <xdr:nvCxnSpPr>
        <xdr:cNvPr id="210" name="Прямая со стрелкой 20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9140" y="2470355"/>
          <a:ext cx="0" cy="20468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342624</xdr:colOff>
      <xdr:row>3</xdr:row>
      <xdr:rowOff>150508</xdr:rowOff>
    </xdr:from>
    <xdr:to>
      <xdr:col>0</xdr:col>
      <xdr:colOff>342624</xdr:colOff>
      <xdr:row>3</xdr:row>
      <xdr:rowOff>764225</xdr:rowOff>
    </xdr:to>
    <xdr:cxnSp macro="">
      <xdr:nvCxnSpPr>
        <xdr:cNvPr id="212" name="Прямая со стрелкой 2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42624" y="3013961"/>
          <a:ext cx="0" cy="61371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305356</xdr:colOff>
      <xdr:row>3</xdr:row>
      <xdr:rowOff>737869</xdr:rowOff>
    </xdr:from>
    <xdr:to>
      <xdr:col>0</xdr:col>
      <xdr:colOff>378599</xdr:colOff>
      <xdr:row>3</xdr:row>
      <xdr:rowOff>809869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305356" y="360625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3</xdr:row>
      <xdr:rowOff>493811</xdr:rowOff>
    </xdr:from>
    <xdr:to>
      <xdr:col>1</xdr:col>
      <xdr:colOff>38904</xdr:colOff>
      <xdr:row>3</xdr:row>
      <xdr:rowOff>493811</xdr:rowOff>
    </xdr:to>
    <xdr:cxnSp macro="">
      <xdr:nvCxnSpPr>
        <xdr:cNvPr id="214" name="Прямая со стрелкой 21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343302" y="3056995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171811</xdr:colOff>
      <xdr:row>3</xdr:row>
      <xdr:rowOff>746152</xdr:rowOff>
    </xdr:from>
    <xdr:to>
      <xdr:col>2</xdr:col>
      <xdr:colOff>241741</xdr:colOff>
      <xdr:row>3</xdr:row>
      <xdr:rowOff>818152</xdr:rowOff>
    </xdr:to>
    <xdr:sp macro="" textlink="">
      <xdr:nvSpPr>
        <xdr:cNvPr id="217" name="Овал 21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391011" y="3614538"/>
          <a:ext cx="6993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209657</xdr:colOff>
      <xdr:row>3</xdr:row>
      <xdr:rowOff>150508</xdr:rowOff>
    </xdr:from>
    <xdr:to>
      <xdr:col>2</xdr:col>
      <xdr:colOff>408695</xdr:colOff>
      <xdr:row>3</xdr:row>
      <xdr:rowOff>782734</xdr:rowOff>
    </xdr:to>
    <xdr:sp macro="" textlink="">
      <xdr:nvSpPr>
        <xdr:cNvPr id="218" name="Полилиния 217"/>
        <xdr:cNvSpPr/>
      </xdr:nvSpPr>
      <xdr:spPr>
        <a:xfrm>
          <a:off x="1428857" y="3018894"/>
          <a:ext cx="199038" cy="63222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239989</xdr:colOff>
      <xdr:row>3</xdr:row>
      <xdr:rowOff>493812</xdr:rowOff>
    </xdr:from>
    <xdr:to>
      <xdr:col>2</xdr:col>
      <xdr:colOff>599194</xdr:colOff>
      <xdr:row>3</xdr:row>
      <xdr:rowOff>493812</xdr:rowOff>
    </xdr:to>
    <xdr:cxnSp macro="">
      <xdr:nvCxnSpPr>
        <xdr:cNvPr id="223" name="Прямая со стрелкой 22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459189" y="3362198"/>
          <a:ext cx="359205" cy="0"/>
        </a:xfrm>
        <a:prstGeom prst="straightConnector1">
          <a:avLst/>
        </a:prstGeom>
        <a:ln w="19050">
          <a:prstDash val="sysDash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476804</xdr:colOff>
      <xdr:row>3</xdr:row>
      <xdr:rowOff>150508</xdr:rowOff>
    </xdr:from>
    <xdr:to>
      <xdr:col>1</xdr:col>
      <xdr:colOff>476804</xdr:colOff>
      <xdr:row>3</xdr:row>
      <xdr:rowOff>764225</xdr:rowOff>
    </xdr:to>
    <xdr:cxnSp macro="">
      <xdr:nvCxnSpPr>
        <xdr:cNvPr id="225" name="Прямая со стрелкой 22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84023" y="3013961"/>
          <a:ext cx="0" cy="61371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439537</xdr:colOff>
      <xdr:row>3</xdr:row>
      <xdr:rowOff>737869</xdr:rowOff>
    </xdr:from>
    <xdr:to>
      <xdr:col>1</xdr:col>
      <xdr:colOff>512780</xdr:colOff>
      <xdr:row>3</xdr:row>
      <xdr:rowOff>809869</xdr:rowOff>
    </xdr:to>
    <xdr:sp macro="" textlink="">
      <xdr:nvSpPr>
        <xdr:cNvPr id="226" name="Овал 22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1052450" y="3611934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172281</xdr:colOff>
      <xdr:row>3</xdr:row>
      <xdr:rowOff>493811</xdr:rowOff>
    </xdr:from>
    <xdr:to>
      <xdr:col>1</xdr:col>
      <xdr:colOff>480397</xdr:colOff>
      <xdr:row>3</xdr:row>
      <xdr:rowOff>493811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779500" y="3357264"/>
          <a:ext cx="308116" cy="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541986</xdr:colOff>
      <xdr:row>1</xdr:row>
      <xdr:rowOff>142204</xdr:rowOff>
    </xdr:from>
    <xdr:to>
      <xdr:col>0</xdr:col>
      <xdr:colOff>541986</xdr:colOff>
      <xdr:row>1</xdr:row>
      <xdr:rowOff>755921</xdr:rowOff>
    </xdr:to>
    <xdr:cxnSp macro="">
      <xdr:nvCxnSpPr>
        <xdr:cNvPr id="149" name="Прямая со стрелкой 1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41986" y="1121535"/>
          <a:ext cx="0" cy="61371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108438</xdr:colOff>
      <xdr:row>3</xdr:row>
      <xdr:rowOff>351692</xdr:rowOff>
    </xdr:from>
    <xdr:to>
      <xdr:col>2</xdr:col>
      <xdr:colOff>224703</xdr:colOff>
      <xdr:row>3</xdr:row>
      <xdr:rowOff>477248</xdr:rowOff>
    </xdr:to>
    <xdr:grpSp>
      <xdr:nvGrpSpPr>
        <xdr:cNvPr id="6" name="Группа 5"/>
        <xdr:cNvGrpSpPr/>
      </xdr:nvGrpSpPr>
      <xdr:grpSpPr>
        <a:xfrm>
          <a:off x="1327638" y="2551967"/>
          <a:ext cx="116265" cy="125556"/>
          <a:chOff x="1327638" y="3217984"/>
          <a:chExt cx="116265" cy="125556"/>
        </a:xfrm>
      </xdr:grpSpPr>
      <xdr:cxnSp macro="">
        <xdr:nvCxnSpPr>
          <xdr:cNvPr id="150" name="Прямая соединительная линия 149"/>
          <xdr:cNvCxnSpPr/>
        </xdr:nvCxnSpPr>
        <xdr:spPr>
          <a:xfrm flipH="1" flipV="1">
            <a:off x="1373802" y="3272719"/>
            <a:ext cx="70101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1" name="Прямоугольник 150"/>
          <xdr:cNvSpPr/>
        </xdr:nvSpPr>
        <xdr:spPr>
          <a:xfrm flipH="1">
            <a:off x="1327638" y="3217984"/>
            <a:ext cx="58357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501657</xdr:colOff>
      <xdr:row>19</xdr:row>
      <xdr:rowOff>29766</xdr:rowOff>
    </xdr:from>
    <xdr:to>
      <xdr:col>3</xdr:col>
      <xdr:colOff>145664</xdr:colOff>
      <xdr:row>20</xdr:row>
      <xdr:rowOff>625077</xdr:rowOff>
    </xdr:to>
    <xdr:sp macro="" textlink="">
      <xdr:nvSpPr>
        <xdr:cNvPr id="37" name="Полилиния 36"/>
        <xdr:cNvSpPr/>
      </xdr:nvSpPr>
      <xdr:spPr>
        <a:xfrm>
          <a:off x="1944014" y="6928587"/>
          <a:ext cx="229114" cy="1289276"/>
        </a:xfrm>
        <a:custGeom>
          <a:avLst/>
          <a:gdLst>
            <a:gd name="connsiteX0" fmla="*/ 224166 w 224166"/>
            <a:gd name="connsiteY0" fmla="*/ 1150327 h 1150327"/>
            <a:gd name="connsiteX1" fmla="*/ 158223 w 224166"/>
            <a:gd name="connsiteY1" fmla="*/ 725365 h 1150327"/>
            <a:gd name="connsiteX2" fmla="*/ 19012 w 224166"/>
            <a:gd name="connsiteY2" fmla="*/ 439615 h 1150327"/>
            <a:gd name="connsiteX3" fmla="*/ 4358 w 224166"/>
            <a:gd name="connsiteY3" fmla="*/ 0 h 11503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4166" h="1150327">
              <a:moveTo>
                <a:pt x="224166" y="1150327"/>
              </a:moveTo>
              <a:cubicBezTo>
                <a:pt x="208290" y="997072"/>
                <a:pt x="192415" y="843817"/>
                <a:pt x="158223" y="725365"/>
              </a:cubicBezTo>
              <a:cubicBezTo>
                <a:pt x="124031" y="606913"/>
                <a:pt x="44656" y="560509"/>
                <a:pt x="19012" y="439615"/>
              </a:cubicBezTo>
              <a:cubicBezTo>
                <a:pt x="-6632" y="318721"/>
                <a:pt x="-527" y="70827"/>
                <a:pt x="435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73060</xdr:colOff>
      <xdr:row>20</xdr:row>
      <xdr:rowOff>103909</xdr:rowOff>
    </xdr:from>
    <xdr:to>
      <xdr:col>3</xdr:col>
      <xdr:colOff>527662</xdr:colOff>
      <xdr:row>20</xdr:row>
      <xdr:rowOff>103909</xdr:rowOff>
    </xdr:to>
    <xdr:cxnSp macro="">
      <xdr:nvCxnSpPr>
        <xdr:cNvPr id="38" name="Прямая соединительная линия 37"/>
        <xdr:cNvCxnSpPr/>
      </xdr:nvCxnSpPr>
      <xdr:spPr>
        <a:xfrm flipH="1">
          <a:off x="2100524" y="7696695"/>
          <a:ext cx="45460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70958</xdr:colOff>
      <xdr:row>20</xdr:row>
      <xdr:rowOff>21648</xdr:rowOff>
    </xdr:from>
    <xdr:to>
      <xdr:col>3</xdr:col>
      <xdr:colOff>20086</xdr:colOff>
      <xdr:row>20</xdr:row>
      <xdr:rowOff>21648</xdr:rowOff>
    </xdr:to>
    <xdr:cxnSp macro="">
      <xdr:nvCxnSpPr>
        <xdr:cNvPr id="39" name="Прямая соединительная линия 38"/>
        <xdr:cNvCxnSpPr/>
      </xdr:nvCxnSpPr>
      <xdr:spPr>
        <a:xfrm flipH="1">
          <a:off x="1496987" y="7630762"/>
          <a:ext cx="53151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65514</xdr:colOff>
      <xdr:row>19</xdr:row>
      <xdr:rowOff>545522</xdr:rowOff>
    </xdr:from>
    <xdr:to>
      <xdr:col>2</xdr:col>
      <xdr:colOff>520116</xdr:colOff>
      <xdr:row>19</xdr:row>
      <xdr:rowOff>545522</xdr:rowOff>
    </xdr:to>
    <xdr:cxnSp macro="">
      <xdr:nvCxnSpPr>
        <xdr:cNvPr id="40" name="Прямая соединительная линия 39"/>
        <xdr:cNvCxnSpPr/>
      </xdr:nvCxnSpPr>
      <xdr:spPr>
        <a:xfrm flipH="1">
          <a:off x="1491543" y="7457951"/>
          <a:ext cx="45460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85044</xdr:colOff>
      <xdr:row>20</xdr:row>
      <xdr:rowOff>535637</xdr:rowOff>
    </xdr:from>
    <xdr:to>
      <xdr:col>3</xdr:col>
      <xdr:colOff>195425</xdr:colOff>
      <xdr:row>20</xdr:row>
      <xdr:rowOff>643637</xdr:rowOff>
    </xdr:to>
    <xdr:sp macro="" textlink="">
      <xdr:nvSpPr>
        <xdr:cNvPr id="41" name="Овал 40"/>
        <xdr:cNvSpPr/>
      </xdr:nvSpPr>
      <xdr:spPr>
        <a:xfrm>
          <a:off x="2112508" y="8128423"/>
          <a:ext cx="1103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128246</xdr:colOff>
      <xdr:row>19</xdr:row>
      <xdr:rowOff>385052</xdr:rowOff>
    </xdr:from>
    <xdr:to>
      <xdr:col>4</xdr:col>
      <xdr:colOff>590550</xdr:colOff>
      <xdr:row>20</xdr:row>
      <xdr:rowOff>343816</xdr:rowOff>
    </xdr:to>
    <xdr:grpSp>
      <xdr:nvGrpSpPr>
        <xdr:cNvPr id="42" name="Группа 41"/>
        <xdr:cNvGrpSpPr/>
      </xdr:nvGrpSpPr>
      <xdr:grpSpPr>
        <a:xfrm flipH="1">
          <a:off x="2719046" y="7290677"/>
          <a:ext cx="462304" cy="654089"/>
          <a:chOff x="2614271" y="8502585"/>
          <a:chExt cx="716548" cy="1013807"/>
        </a:xfrm>
      </xdr:grpSpPr>
      <xdr:grpSp>
        <xdr:nvGrpSpPr>
          <xdr:cNvPr id="43" name="Группа 42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48" name="Прямоугольник 47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9" name="Овал 48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0" name="Овал 49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" name="Овал 50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44" name="Группа 43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45" name="Прямоугольник 44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Стрелка вправо 45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7" name="Овал 46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180661</xdr:colOff>
      <xdr:row>12</xdr:row>
      <xdr:rowOff>226941</xdr:rowOff>
    </xdr:from>
    <xdr:to>
      <xdr:col>3</xdr:col>
      <xdr:colOff>324661</xdr:colOff>
      <xdr:row>12</xdr:row>
      <xdr:rowOff>371355</xdr:rowOff>
    </xdr:to>
    <xdr:sp macro="" textlink="">
      <xdr:nvSpPr>
        <xdr:cNvPr id="53" name="Овал 52"/>
        <xdr:cNvSpPr/>
      </xdr:nvSpPr>
      <xdr:spPr>
        <a:xfrm>
          <a:off x="2190436" y="226529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524735</xdr:colOff>
      <xdr:row>12</xdr:row>
      <xdr:rowOff>521456</xdr:rowOff>
    </xdr:from>
    <xdr:to>
      <xdr:col>3</xdr:col>
      <xdr:colOff>51710</xdr:colOff>
      <xdr:row>12</xdr:row>
      <xdr:rowOff>629456</xdr:rowOff>
    </xdr:to>
    <xdr:sp macro="" textlink="">
      <xdr:nvSpPr>
        <xdr:cNvPr id="446" name="Овал 445"/>
        <xdr:cNvSpPr/>
      </xdr:nvSpPr>
      <xdr:spPr>
        <a:xfrm>
          <a:off x="1959088" y="2594544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570169</xdr:colOff>
      <xdr:row>11</xdr:row>
      <xdr:rowOff>66675</xdr:rowOff>
    </xdr:from>
    <xdr:to>
      <xdr:col>2</xdr:col>
      <xdr:colOff>570169</xdr:colOff>
      <xdr:row>12</xdr:row>
      <xdr:rowOff>587605</xdr:rowOff>
    </xdr:to>
    <xdr:cxnSp macro="">
      <xdr:nvCxnSpPr>
        <xdr:cNvPr id="447" name="Прямая соединительная линия 446"/>
        <xdr:cNvCxnSpPr/>
      </xdr:nvCxnSpPr>
      <xdr:spPr>
        <a:xfrm flipV="1">
          <a:off x="1998919" y="1409700"/>
          <a:ext cx="0" cy="121625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202410</xdr:colOff>
      <xdr:row>11</xdr:row>
      <xdr:rowOff>160267</xdr:rowOff>
    </xdr:from>
    <xdr:to>
      <xdr:col>3</xdr:col>
      <xdr:colOff>321376</xdr:colOff>
      <xdr:row>12</xdr:row>
      <xdr:rowOff>5502</xdr:rowOff>
    </xdr:to>
    <xdr:grpSp>
      <xdr:nvGrpSpPr>
        <xdr:cNvPr id="448" name="Группа 447"/>
        <xdr:cNvGrpSpPr/>
      </xdr:nvGrpSpPr>
      <xdr:grpSpPr>
        <a:xfrm rot="5400000" flipH="1">
          <a:off x="2001388" y="1714089"/>
          <a:ext cx="540560" cy="118966"/>
          <a:chOff x="760945" y="5714381"/>
          <a:chExt cx="364368" cy="118966"/>
        </a:xfrm>
      </xdr:grpSpPr>
      <xdr:grpSp>
        <xdr:nvGrpSpPr>
          <xdr:cNvPr id="449" name="Группа 448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453" name="Овал 452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454" name="Прямая со стрелкой 453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450" name="Группа 449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451" name="Овал 450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452" name="Прямая со стрелкой 451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38100</xdr:colOff>
      <xdr:row>11</xdr:row>
      <xdr:rowOff>446711</xdr:rowOff>
    </xdr:from>
    <xdr:to>
      <xdr:col>3</xdr:col>
      <xdr:colOff>489277</xdr:colOff>
      <xdr:row>11</xdr:row>
      <xdr:rowOff>446711</xdr:rowOff>
    </xdr:to>
    <xdr:cxnSp macro="">
      <xdr:nvCxnSpPr>
        <xdr:cNvPr id="455" name="Прямая соединительная линия 454"/>
        <xdr:cNvCxnSpPr/>
      </xdr:nvCxnSpPr>
      <xdr:spPr>
        <a:xfrm flipH="1">
          <a:off x="2065564" y="1793818"/>
          <a:ext cx="451177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571542</xdr:colOff>
      <xdr:row>12</xdr:row>
      <xdr:rowOff>151662</xdr:rowOff>
    </xdr:from>
    <xdr:to>
      <xdr:col>3</xdr:col>
      <xdr:colOff>118783</xdr:colOff>
      <xdr:row>12</xdr:row>
      <xdr:rowOff>277973</xdr:rowOff>
    </xdr:to>
    <xdr:grpSp>
      <xdr:nvGrpSpPr>
        <xdr:cNvPr id="456" name="Группа 455"/>
        <xdr:cNvGrpSpPr/>
      </xdr:nvGrpSpPr>
      <xdr:grpSpPr>
        <a:xfrm flipH="1">
          <a:off x="2000292" y="2190012"/>
          <a:ext cx="128266" cy="126311"/>
          <a:chOff x="1132242" y="1306343"/>
          <a:chExt cx="123151" cy="128030"/>
        </a:xfrm>
      </xdr:grpSpPr>
      <xdr:cxnSp macro="">
        <xdr:nvCxnSpPr>
          <xdr:cNvPr id="457" name="Прямая соединительная линия 45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8" name="Прямоугольник 45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104775</xdr:colOff>
      <xdr:row>11</xdr:row>
      <xdr:rowOff>381000</xdr:rowOff>
    </xdr:from>
    <xdr:to>
      <xdr:col>4</xdr:col>
      <xdr:colOff>513208</xdr:colOff>
      <xdr:row>12</xdr:row>
      <xdr:rowOff>295276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724025"/>
          <a:ext cx="408433" cy="609601"/>
        </a:xfrm>
        <a:prstGeom prst="rect">
          <a:avLst/>
        </a:prstGeom>
      </xdr:spPr>
    </xdr:pic>
    <xdr:clientData/>
  </xdr:twoCellAnchor>
  <xdr:twoCellAnchor>
    <xdr:from>
      <xdr:col>2</xdr:col>
      <xdr:colOff>496137</xdr:colOff>
      <xdr:row>14</xdr:row>
      <xdr:rowOff>501788</xdr:rowOff>
    </xdr:from>
    <xdr:to>
      <xdr:col>3</xdr:col>
      <xdr:colOff>23112</xdr:colOff>
      <xdr:row>14</xdr:row>
      <xdr:rowOff>609788</xdr:rowOff>
    </xdr:to>
    <xdr:sp macro="" textlink="">
      <xdr:nvSpPr>
        <xdr:cNvPr id="460" name="Овал 459"/>
        <xdr:cNvSpPr/>
      </xdr:nvSpPr>
      <xdr:spPr>
        <a:xfrm>
          <a:off x="1932214" y="3930788"/>
          <a:ext cx="10580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555171</xdr:colOff>
      <xdr:row>13</xdr:row>
      <xdr:rowOff>91166</xdr:rowOff>
    </xdr:from>
    <xdr:to>
      <xdr:col>3</xdr:col>
      <xdr:colOff>329711</xdr:colOff>
      <xdr:row>14</xdr:row>
      <xdr:rowOff>529316</xdr:rowOff>
    </xdr:to>
    <xdr:sp macro="" textlink="">
      <xdr:nvSpPr>
        <xdr:cNvPr id="465" name="Полилиния 464"/>
        <xdr:cNvSpPr/>
      </xdr:nvSpPr>
      <xdr:spPr>
        <a:xfrm>
          <a:off x="1991248" y="2824108"/>
          <a:ext cx="353367" cy="1134208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446942</xdr:colOff>
      <xdr:row>13</xdr:row>
      <xdr:rowOff>87923</xdr:rowOff>
    </xdr:from>
    <xdr:to>
      <xdr:col>2</xdr:col>
      <xdr:colOff>544284</xdr:colOff>
      <xdr:row>14</xdr:row>
      <xdr:rowOff>545645</xdr:rowOff>
    </xdr:to>
    <xdr:sp macro="" textlink="">
      <xdr:nvSpPr>
        <xdr:cNvPr id="466" name="Полилиния 465"/>
        <xdr:cNvSpPr/>
      </xdr:nvSpPr>
      <xdr:spPr>
        <a:xfrm flipH="1">
          <a:off x="1883019" y="2820865"/>
          <a:ext cx="97342" cy="1153780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329710</xdr:colOff>
      <xdr:row>13</xdr:row>
      <xdr:rowOff>87923</xdr:rowOff>
    </xdr:from>
    <xdr:to>
      <xdr:col>2</xdr:col>
      <xdr:colOff>544283</xdr:colOff>
      <xdr:row>14</xdr:row>
      <xdr:rowOff>589188</xdr:rowOff>
    </xdr:to>
    <xdr:sp macro="" textlink="">
      <xdr:nvSpPr>
        <xdr:cNvPr id="467" name="Полилиния 466"/>
        <xdr:cNvSpPr/>
      </xdr:nvSpPr>
      <xdr:spPr>
        <a:xfrm flipH="1">
          <a:off x="1765787" y="2820865"/>
          <a:ext cx="214573" cy="1197323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534239</xdr:colOff>
      <xdr:row>14</xdr:row>
      <xdr:rowOff>410308</xdr:rowOff>
    </xdr:from>
    <xdr:to>
      <xdr:col>3</xdr:col>
      <xdr:colOff>512884</xdr:colOff>
      <xdr:row>14</xdr:row>
      <xdr:rowOff>549287</xdr:rowOff>
    </xdr:to>
    <xdr:cxnSp macro="">
      <xdr:nvCxnSpPr>
        <xdr:cNvPr id="468" name="Прямая соединительная линия 467"/>
        <xdr:cNvCxnSpPr/>
      </xdr:nvCxnSpPr>
      <xdr:spPr>
        <a:xfrm flipH="1">
          <a:off x="1970316" y="3839308"/>
          <a:ext cx="557472" cy="138979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212481</xdr:colOff>
      <xdr:row>13</xdr:row>
      <xdr:rowOff>241789</xdr:rowOff>
    </xdr:from>
    <xdr:to>
      <xdr:col>2</xdr:col>
      <xdr:colOff>535916</xdr:colOff>
      <xdr:row>14</xdr:row>
      <xdr:rowOff>544286</xdr:rowOff>
    </xdr:to>
    <xdr:cxnSp macro="">
      <xdr:nvCxnSpPr>
        <xdr:cNvPr id="469" name="Прямая соединительная линия 468"/>
        <xdr:cNvCxnSpPr/>
      </xdr:nvCxnSpPr>
      <xdr:spPr>
        <a:xfrm flipH="1" flipV="1">
          <a:off x="1648558" y="2974731"/>
          <a:ext cx="323435" cy="998555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550985</xdr:colOff>
      <xdr:row>14</xdr:row>
      <xdr:rowOff>561848</xdr:rowOff>
    </xdr:from>
    <xdr:to>
      <xdr:col>3</xdr:col>
      <xdr:colOff>483577</xdr:colOff>
      <xdr:row>14</xdr:row>
      <xdr:rowOff>630115</xdr:rowOff>
    </xdr:to>
    <xdr:cxnSp macro="">
      <xdr:nvCxnSpPr>
        <xdr:cNvPr id="471" name="Прямая соединительная линия 470"/>
        <xdr:cNvCxnSpPr/>
      </xdr:nvCxnSpPr>
      <xdr:spPr>
        <a:xfrm flipH="1" flipV="1">
          <a:off x="1987062" y="3990848"/>
          <a:ext cx="511419" cy="68267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223698</xdr:colOff>
      <xdr:row>15</xdr:row>
      <xdr:rowOff>605376</xdr:rowOff>
    </xdr:from>
    <xdr:to>
      <xdr:col>4</xdr:col>
      <xdr:colOff>488602</xdr:colOff>
      <xdr:row>17</xdr:row>
      <xdr:rowOff>543694</xdr:rowOff>
    </xdr:to>
    <xdr:grpSp>
      <xdr:nvGrpSpPr>
        <xdr:cNvPr id="476" name="Группа 475"/>
        <xdr:cNvGrpSpPr/>
      </xdr:nvGrpSpPr>
      <xdr:grpSpPr>
        <a:xfrm>
          <a:off x="938073" y="4729701"/>
          <a:ext cx="2141329" cy="1328968"/>
          <a:chOff x="8415198" y="42188805"/>
          <a:chExt cx="2156296" cy="1326246"/>
        </a:xfrm>
      </xdr:grpSpPr>
      <xdr:sp macro="" textlink="">
        <xdr:nvSpPr>
          <xdr:cNvPr id="477" name="Дуга 476"/>
          <xdr:cNvSpPr/>
        </xdr:nvSpPr>
        <xdr:spPr>
          <a:xfrm flipH="1">
            <a:off x="9489787" y="42251933"/>
            <a:ext cx="1081707" cy="1263118"/>
          </a:xfrm>
          <a:prstGeom prst="arc">
            <a:avLst>
              <a:gd name="adj1" fmla="val 16175007"/>
              <a:gd name="adj2" fmla="val 0"/>
            </a:avLst>
          </a:prstGeom>
          <a:ln w="50800">
            <a:solidFill>
              <a:schemeClr val="tx1"/>
            </a:solidFill>
            <a:headEnd type="triangl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78" name="Дуга 477"/>
          <xdr:cNvSpPr/>
        </xdr:nvSpPr>
        <xdr:spPr>
          <a:xfrm>
            <a:off x="8415198" y="42233539"/>
            <a:ext cx="1072792" cy="1263118"/>
          </a:xfrm>
          <a:prstGeom prst="arc">
            <a:avLst>
              <a:gd name="adj1" fmla="val 16602765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79" name="Овал 478"/>
          <xdr:cNvSpPr/>
        </xdr:nvSpPr>
        <xdr:spPr>
          <a:xfrm>
            <a:off x="9332134" y="42190318"/>
            <a:ext cx="332631" cy="324310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80" name="Овал 479"/>
          <xdr:cNvSpPr/>
        </xdr:nvSpPr>
        <xdr:spPr>
          <a:xfrm>
            <a:off x="9446245" y="42797828"/>
            <a:ext cx="112082" cy="108000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grpSp>
        <xdr:nvGrpSpPr>
          <xdr:cNvPr id="481" name="Группа 480"/>
          <xdr:cNvGrpSpPr/>
        </xdr:nvGrpSpPr>
        <xdr:grpSpPr>
          <a:xfrm flipH="1">
            <a:off x="9491298" y="42712046"/>
            <a:ext cx="129967" cy="127297"/>
            <a:chOff x="1132242" y="1306343"/>
            <a:chExt cx="123151" cy="128030"/>
          </a:xfrm>
        </xdr:grpSpPr>
        <xdr:cxnSp macro="">
          <xdr:nvCxnSpPr>
            <xdr:cNvPr id="483" name="Прямая соединительная линия 482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84" name="Прямоугольник 483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cxnSp macro="">
        <xdr:nvCxnSpPr>
          <xdr:cNvPr id="482" name="Прямая соединительная линия 481"/>
          <xdr:cNvCxnSpPr/>
        </xdr:nvCxnSpPr>
        <xdr:spPr>
          <a:xfrm>
            <a:off x="9017394" y="42188805"/>
            <a:ext cx="1048934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539382</xdr:colOff>
      <xdr:row>18</xdr:row>
      <xdr:rowOff>495602</xdr:rowOff>
    </xdr:from>
    <xdr:to>
      <xdr:col>3</xdr:col>
      <xdr:colOff>66357</xdr:colOff>
      <xdr:row>18</xdr:row>
      <xdr:rowOff>603602</xdr:rowOff>
    </xdr:to>
    <xdr:sp macro="" textlink="">
      <xdr:nvSpPr>
        <xdr:cNvPr id="503" name="Овал 502"/>
        <xdr:cNvSpPr/>
      </xdr:nvSpPr>
      <xdr:spPr>
        <a:xfrm>
          <a:off x="1971416" y="6690136"/>
          <a:ext cx="10504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578069</xdr:colOff>
      <xdr:row>17</xdr:row>
      <xdr:rowOff>40821</xdr:rowOff>
    </xdr:from>
    <xdr:to>
      <xdr:col>3</xdr:col>
      <xdr:colOff>1391</xdr:colOff>
      <xdr:row>17</xdr:row>
      <xdr:rowOff>687456</xdr:rowOff>
    </xdr:to>
    <xdr:cxnSp macro="">
      <xdr:nvCxnSpPr>
        <xdr:cNvPr id="504" name="Прямая соединительная линия 503"/>
        <xdr:cNvCxnSpPr>
          <a:stCxn id="522" idx="1"/>
        </xdr:cNvCxnSpPr>
      </xdr:nvCxnSpPr>
      <xdr:spPr>
        <a:xfrm flipV="1">
          <a:off x="2010103" y="5539045"/>
          <a:ext cx="1391" cy="64663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54428</xdr:colOff>
      <xdr:row>17</xdr:row>
      <xdr:rowOff>691401</xdr:rowOff>
    </xdr:from>
    <xdr:to>
      <xdr:col>3</xdr:col>
      <xdr:colOff>521153</xdr:colOff>
      <xdr:row>17</xdr:row>
      <xdr:rowOff>691401</xdr:rowOff>
    </xdr:to>
    <xdr:cxnSp macro="">
      <xdr:nvCxnSpPr>
        <xdr:cNvPr id="505" name="Прямая соединительная линия 504"/>
        <xdr:cNvCxnSpPr/>
      </xdr:nvCxnSpPr>
      <xdr:spPr>
        <a:xfrm>
          <a:off x="1496785" y="6202294"/>
          <a:ext cx="1051832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140049</xdr:colOff>
      <xdr:row>18</xdr:row>
      <xdr:rowOff>76200</xdr:rowOff>
    </xdr:from>
    <xdr:to>
      <xdr:col>3</xdr:col>
      <xdr:colOff>284049</xdr:colOff>
      <xdr:row>18</xdr:row>
      <xdr:rowOff>220200</xdr:rowOff>
    </xdr:to>
    <xdr:sp macro="" textlink="">
      <xdr:nvSpPr>
        <xdr:cNvPr id="509" name="Овал 508"/>
        <xdr:cNvSpPr/>
      </xdr:nvSpPr>
      <xdr:spPr>
        <a:xfrm>
          <a:off x="2167513" y="6281057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206828</xdr:colOff>
      <xdr:row>17</xdr:row>
      <xdr:rowOff>345621</xdr:rowOff>
    </xdr:from>
    <xdr:to>
      <xdr:col>4</xdr:col>
      <xdr:colOff>669132</xdr:colOff>
      <xdr:row>18</xdr:row>
      <xdr:rowOff>304386</xdr:rowOff>
    </xdr:to>
    <xdr:grpSp>
      <xdr:nvGrpSpPr>
        <xdr:cNvPr id="510" name="Группа 509"/>
        <xdr:cNvGrpSpPr/>
      </xdr:nvGrpSpPr>
      <xdr:grpSpPr>
        <a:xfrm flipH="1">
          <a:off x="2797628" y="5860596"/>
          <a:ext cx="462304" cy="654090"/>
          <a:chOff x="2614271" y="8502585"/>
          <a:chExt cx="716548" cy="1013807"/>
        </a:xfrm>
      </xdr:grpSpPr>
      <xdr:grpSp>
        <xdr:nvGrpSpPr>
          <xdr:cNvPr id="511" name="Группа 510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516" name="Прямоугольник 515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7" name="Овал 516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8" name="Овал 517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9" name="Овал 518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512" name="Группа 511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513" name="Прямоугольник 512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4" name="Стрелка вправо 513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15" name="Овал 514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0</xdr:colOff>
      <xdr:row>17</xdr:row>
      <xdr:rowOff>687456</xdr:rowOff>
    </xdr:from>
    <xdr:to>
      <xdr:col>3</xdr:col>
      <xdr:colOff>530087</xdr:colOff>
      <xdr:row>18</xdr:row>
      <xdr:rowOff>538369</xdr:rowOff>
    </xdr:to>
    <xdr:sp macro="" textlink="">
      <xdr:nvSpPr>
        <xdr:cNvPr id="522" name="Полилиния 521"/>
        <xdr:cNvSpPr/>
      </xdr:nvSpPr>
      <xdr:spPr>
        <a:xfrm>
          <a:off x="2004391" y="6178826"/>
          <a:ext cx="530087" cy="546652"/>
        </a:xfrm>
        <a:custGeom>
          <a:avLst/>
          <a:gdLst>
            <a:gd name="connsiteX0" fmla="*/ 0 w 530087"/>
            <a:gd name="connsiteY0" fmla="*/ 546652 h 546652"/>
            <a:gd name="connsiteX1" fmla="*/ 0 w 530087"/>
            <a:gd name="connsiteY1" fmla="*/ 0 h 546652"/>
            <a:gd name="connsiteX2" fmla="*/ 530087 w 530087"/>
            <a:gd name="connsiteY2" fmla="*/ 0 h 5466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546652">
              <a:moveTo>
                <a:pt x="0" y="546652"/>
              </a:moveTo>
              <a:lnTo>
                <a:pt x="0" y="0"/>
              </a:lnTo>
              <a:lnTo>
                <a:pt x="530087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65315</xdr:colOff>
      <xdr:row>20</xdr:row>
      <xdr:rowOff>97972</xdr:rowOff>
    </xdr:from>
    <xdr:to>
      <xdr:col>3</xdr:col>
      <xdr:colOff>544286</xdr:colOff>
      <xdr:row>20</xdr:row>
      <xdr:rowOff>587829</xdr:rowOff>
    </xdr:to>
    <xdr:sp macro="" textlink="">
      <xdr:nvSpPr>
        <xdr:cNvPr id="531" name="Полилиния 530"/>
        <xdr:cNvSpPr/>
      </xdr:nvSpPr>
      <xdr:spPr>
        <a:xfrm>
          <a:off x="2073729" y="7707086"/>
          <a:ext cx="478971" cy="489857"/>
        </a:xfrm>
        <a:custGeom>
          <a:avLst/>
          <a:gdLst>
            <a:gd name="connsiteX0" fmla="*/ 70757 w 478971"/>
            <a:gd name="connsiteY0" fmla="*/ 484414 h 484414"/>
            <a:gd name="connsiteX1" fmla="*/ 54428 w 478971"/>
            <a:gd name="connsiteY1" fmla="*/ 255814 h 484414"/>
            <a:gd name="connsiteX2" fmla="*/ 0 w 478971"/>
            <a:gd name="connsiteY2" fmla="*/ 0 h 484414"/>
            <a:gd name="connsiteX3" fmla="*/ 478971 w 478971"/>
            <a:gd name="connsiteY3" fmla="*/ 0 h 4844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78971" h="484414">
              <a:moveTo>
                <a:pt x="70757" y="484414"/>
              </a:moveTo>
              <a:lnTo>
                <a:pt x="54428" y="255814"/>
              </a:lnTo>
              <a:lnTo>
                <a:pt x="0" y="0"/>
              </a:lnTo>
              <a:lnTo>
                <a:pt x="478971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187674</xdr:colOff>
      <xdr:row>20</xdr:row>
      <xdr:rowOff>238125</xdr:rowOff>
    </xdr:from>
    <xdr:to>
      <xdr:col>3</xdr:col>
      <xdr:colOff>331674</xdr:colOff>
      <xdr:row>20</xdr:row>
      <xdr:rowOff>382125</xdr:rowOff>
    </xdr:to>
    <xdr:sp macro="" textlink="">
      <xdr:nvSpPr>
        <xdr:cNvPr id="532" name="Овал 531"/>
        <xdr:cNvSpPr/>
      </xdr:nvSpPr>
      <xdr:spPr>
        <a:xfrm>
          <a:off x="2197449" y="7839075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180661</xdr:colOff>
      <xdr:row>22</xdr:row>
      <xdr:rowOff>226941</xdr:rowOff>
    </xdr:from>
    <xdr:to>
      <xdr:col>3</xdr:col>
      <xdr:colOff>324661</xdr:colOff>
      <xdr:row>22</xdr:row>
      <xdr:rowOff>371355</xdr:rowOff>
    </xdr:to>
    <xdr:sp macro="" textlink="">
      <xdr:nvSpPr>
        <xdr:cNvPr id="533" name="Овал 532"/>
        <xdr:cNvSpPr/>
      </xdr:nvSpPr>
      <xdr:spPr>
        <a:xfrm>
          <a:off x="2189570" y="232244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524735</xdr:colOff>
      <xdr:row>22</xdr:row>
      <xdr:rowOff>521456</xdr:rowOff>
    </xdr:from>
    <xdr:to>
      <xdr:col>3</xdr:col>
      <xdr:colOff>51710</xdr:colOff>
      <xdr:row>22</xdr:row>
      <xdr:rowOff>629456</xdr:rowOff>
    </xdr:to>
    <xdr:sp macro="" textlink="">
      <xdr:nvSpPr>
        <xdr:cNvPr id="534" name="Овал 533"/>
        <xdr:cNvSpPr/>
      </xdr:nvSpPr>
      <xdr:spPr>
        <a:xfrm>
          <a:off x="1959088" y="9542191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570169</xdr:colOff>
      <xdr:row>21</xdr:row>
      <xdr:rowOff>66675</xdr:rowOff>
    </xdr:from>
    <xdr:to>
      <xdr:col>2</xdr:col>
      <xdr:colOff>570169</xdr:colOff>
      <xdr:row>22</xdr:row>
      <xdr:rowOff>587605</xdr:rowOff>
    </xdr:to>
    <xdr:cxnSp macro="">
      <xdr:nvCxnSpPr>
        <xdr:cNvPr id="535" name="Прямая соединительная линия 534"/>
        <xdr:cNvCxnSpPr/>
      </xdr:nvCxnSpPr>
      <xdr:spPr>
        <a:xfrm flipV="1">
          <a:off x="1990260" y="1469448"/>
          <a:ext cx="0" cy="1213657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202410</xdr:colOff>
      <xdr:row>21</xdr:row>
      <xdr:rowOff>160267</xdr:rowOff>
    </xdr:from>
    <xdr:to>
      <xdr:col>3</xdr:col>
      <xdr:colOff>321376</xdr:colOff>
      <xdr:row>22</xdr:row>
      <xdr:rowOff>5502</xdr:rowOff>
    </xdr:to>
    <xdr:grpSp>
      <xdr:nvGrpSpPr>
        <xdr:cNvPr id="536" name="Группа 535"/>
        <xdr:cNvGrpSpPr/>
      </xdr:nvGrpSpPr>
      <xdr:grpSpPr>
        <a:xfrm rot="5400000" flipH="1">
          <a:off x="2001388" y="8667339"/>
          <a:ext cx="540560" cy="118966"/>
          <a:chOff x="760945" y="5714381"/>
          <a:chExt cx="364368" cy="118966"/>
        </a:xfrm>
      </xdr:grpSpPr>
      <xdr:grpSp>
        <xdr:nvGrpSpPr>
          <xdr:cNvPr id="537" name="Группа 536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541" name="Овал 540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542" name="Прямая со стрелкой 541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538" name="Группа 537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539" name="Овал 538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540" name="Прямая со стрелкой 539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38100</xdr:colOff>
      <xdr:row>21</xdr:row>
      <xdr:rowOff>446711</xdr:rowOff>
    </xdr:from>
    <xdr:to>
      <xdr:col>3</xdr:col>
      <xdr:colOff>489277</xdr:colOff>
      <xdr:row>21</xdr:row>
      <xdr:rowOff>446711</xdr:rowOff>
    </xdr:to>
    <xdr:cxnSp macro="">
      <xdr:nvCxnSpPr>
        <xdr:cNvPr id="543" name="Прямая соединительная линия 542"/>
        <xdr:cNvCxnSpPr/>
      </xdr:nvCxnSpPr>
      <xdr:spPr>
        <a:xfrm flipH="1">
          <a:off x="2047009" y="1849484"/>
          <a:ext cx="451177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571542</xdr:colOff>
      <xdr:row>22</xdr:row>
      <xdr:rowOff>151662</xdr:rowOff>
    </xdr:from>
    <xdr:to>
      <xdr:col>3</xdr:col>
      <xdr:colOff>118783</xdr:colOff>
      <xdr:row>22</xdr:row>
      <xdr:rowOff>277973</xdr:rowOff>
    </xdr:to>
    <xdr:grpSp>
      <xdr:nvGrpSpPr>
        <xdr:cNvPr id="544" name="Группа 543"/>
        <xdr:cNvGrpSpPr/>
      </xdr:nvGrpSpPr>
      <xdr:grpSpPr>
        <a:xfrm flipH="1">
          <a:off x="2000292" y="9143262"/>
          <a:ext cx="128266" cy="126311"/>
          <a:chOff x="1132242" y="1306343"/>
          <a:chExt cx="123151" cy="128030"/>
        </a:xfrm>
      </xdr:grpSpPr>
      <xdr:cxnSp macro="">
        <xdr:nvCxnSpPr>
          <xdr:cNvPr id="545" name="Прямая соединительная линия 54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46" name="Прямоугольник 54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oneCellAnchor>
    <xdr:from>
      <xdr:col>4</xdr:col>
      <xdr:colOff>104775</xdr:colOff>
      <xdr:row>21</xdr:row>
      <xdr:rowOff>381000</xdr:rowOff>
    </xdr:from>
    <xdr:ext cx="408433" cy="607003"/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502" y="1783773"/>
          <a:ext cx="408433" cy="607003"/>
        </a:xfrm>
        <a:prstGeom prst="rect">
          <a:avLst/>
        </a:prstGeom>
      </xdr:spPr>
    </xdr:pic>
    <xdr:clientData/>
  </xdr:oneCellAnchor>
  <xdr:twoCellAnchor editAs="oneCell">
    <xdr:from>
      <xdr:col>4</xdr:col>
      <xdr:colOff>89647</xdr:colOff>
      <xdr:row>13</xdr:row>
      <xdr:rowOff>526675</xdr:rowOff>
    </xdr:from>
    <xdr:to>
      <xdr:col>4</xdr:col>
      <xdr:colOff>699300</xdr:colOff>
      <xdr:row>14</xdr:row>
      <xdr:rowOff>441563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2" y="3294528"/>
          <a:ext cx="609653" cy="609653"/>
        </a:xfrm>
        <a:prstGeom prst="rect">
          <a:avLst/>
        </a:prstGeom>
      </xdr:spPr>
    </xdr:pic>
    <xdr:clientData/>
  </xdr:twoCellAnchor>
  <xdr:twoCellAnchor>
    <xdr:from>
      <xdr:col>2</xdr:col>
      <xdr:colOff>528044</xdr:colOff>
      <xdr:row>13</xdr:row>
      <xdr:rowOff>361412</xdr:rowOff>
    </xdr:from>
    <xdr:to>
      <xdr:col>3</xdr:col>
      <xdr:colOff>89338</xdr:colOff>
      <xdr:row>13</xdr:row>
      <xdr:rowOff>505826</xdr:rowOff>
    </xdr:to>
    <xdr:sp macro="" textlink="">
      <xdr:nvSpPr>
        <xdr:cNvPr id="549" name="Овал 548"/>
        <xdr:cNvSpPr/>
      </xdr:nvSpPr>
      <xdr:spPr>
        <a:xfrm>
          <a:off x="1962397" y="3129265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574732</xdr:colOff>
      <xdr:row>17</xdr:row>
      <xdr:rowOff>569097</xdr:rowOff>
    </xdr:from>
    <xdr:to>
      <xdr:col>3</xdr:col>
      <xdr:colOff>124929</xdr:colOff>
      <xdr:row>17</xdr:row>
      <xdr:rowOff>695408</xdr:rowOff>
    </xdr:to>
    <xdr:grpSp>
      <xdr:nvGrpSpPr>
        <xdr:cNvPr id="506" name="Группа 505"/>
        <xdr:cNvGrpSpPr/>
      </xdr:nvGrpSpPr>
      <xdr:grpSpPr>
        <a:xfrm rot="10800000" flipV="1">
          <a:off x="2003482" y="6084072"/>
          <a:ext cx="131222" cy="126311"/>
          <a:chOff x="1132242" y="1306343"/>
          <a:chExt cx="123151" cy="128030"/>
        </a:xfrm>
      </xdr:grpSpPr>
      <xdr:cxnSp macro="">
        <xdr:nvCxnSpPr>
          <xdr:cNvPr id="507" name="Прямая соединительная линия 50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8" name="Прямоугольник 50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562897</xdr:colOff>
      <xdr:row>14</xdr:row>
      <xdr:rowOff>404026</xdr:rowOff>
    </xdr:from>
    <xdr:to>
      <xdr:col>3</xdr:col>
      <xdr:colOff>105356</xdr:colOff>
      <xdr:row>14</xdr:row>
      <xdr:rowOff>531323</xdr:rowOff>
    </xdr:to>
    <xdr:grpSp>
      <xdr:nvGrpSpPr>
        <xdr:cNvPr id="462" name="Группа 461"/>
        <xdr:cNvGrpSpPr/>
      </xdr:nvGrpSpPr>
      <xdr:grpSpPr>
        <a:xfrm flipH="1">
          <a:off x="1991647" y="3833026"/>
          <a:ext cx="123484" cy="127297"/>
          <a:chOff x="1132242" y="1306343"/>
          <a:chExt cx="123151" cy="128030"/>
        </a:xfrm>
      </xdr:grpSpPr>
      <xdr:cxnSp macro="">
        <xdr:nvCxnSpPr>
          <xdr:cNvPr id="463" name="Прямая соединительная линия 46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4" name="Прямоугольник 46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550251</xdr:colOff>
      <xdr:row>20</xdr:row>
      <xdr:rowOff>174381</xdr:rowOff>
    </xdr:from>
    <xdr:to>
      <xdr:col>3</xdr:col>
      <xdr:colOff>95111</xdr:colOff>
      <xdr:row>20</xdr:row>
      <xdr:rowOff>301678</xdr:rowOff>
    </xdr:to>
    <xdr:grpSp>
      <xdr:nvGrpSpPr>
        <xdr:cNvPr id="86" name="Группа 85"/>
        <xdr:cNvGrpSpPr/>
      </xdr:nvGrpSpPr>
      <xdr:grpSpPr>
        <a:xfrm>
          <a:off x="1979001" y="7775331"/>
          <a:ext cx="125885" cy="127297"/>
          <a:chOff x="1132242" y="1306343"/>
          <a:chExt cx="123151" cy="128030"/>
        </a:xfrm>
      </xdr:grpSpPr>
      <xdr:cxnSp macro="">
        <xdr:nvCxnSpPr>
          <xdr:cNvPr id="87" name="Прямая соединительная линия 8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8" name="Прямоугольник 8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528176</xdr:colOff>
      <xdr:row>4</xdr:row>
      <xdr:rowOff>495602</xdr:rowOff>
    </xdr:from>
    <xdr:to>
      <xdr:col>3</xdr:col>
      <xdr:colOff>55151</xdr:colOff>
      <xdr:row>4</xdr:row>
      <xdr:rowOff>603602</xdr:rowOff>
    </xdr:to>
    <xdr:sp macro="" textlink="">
      <xdr:nvSpPr>
        <xdr:cNvPr id="273" name="Овал 272"/>
        <xdr:cNvSpPr/>
      </xdr:nvSpPr>
      <xdr:spPr>
        <a:xfrm>
          <a:off x="1956926" y="809655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1391</xdr:colOff>
      <xdr:row>3</xdr:row>
      <xdr:rowOff>40822</xdr:rowOff>
    </xdr:from>
    <xdr:to>
      <xdr:col>3</xdr:col>
      <xdr:colOff>1391</xdr:colOff>
      <xdr:row>4</xdr:row>
      <xdr:rowOff>582706</xdr:rowOff>
    </xdr:to>
    <xdr:cxnSp macro="">
      <xdr:nvCxnSpPr>
        <xdr:cNvPr id="274" name="Прямая соединительная линия 273"/>
        <xdr:cNvCxnSpPr/>
      </xdr:nvCxnSpPr>
      <xdr:spPr>
        <a:xfrm flipV="1">
          <a:off x="2011166" y="6946447"/>
          <a:ext cx="0" cy="123720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54428</xdr:colOff>
      <xdr:row>3</xdr:row>
      <xdr:rowOff>691401</xdr:rowOff>
    </xdr:from>
    <xdr:to>
      <xdr:col>3</xdr:col>
      <xdr:colOff>521153</xdr:colOff>
      <xdr:row>3</xdr:row>
      <xdr:rowOff>691401</xdr:rowOff>
    </xdr:to>
    <xdr:cxnSp macro="">
      <xdr:nvCxnSpPr>
        <xdr:cNvPr id="275" name="Прямая соединительная линия 274"/>
        <xdr:cNvCxnSpPr/>
      </xdr:nvCxnSpPr>
      <xdr:spPr>
        <a:xfrm>
          <a:off x="1483178" y="7597026"/>
          <a:ext cx="10477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574732</xdr:colOff>
      <xdr:row>3</xdr:row>
      <xdr:rowOff>569097</xdr:rowOff>
    </xdr:from>
    <xdr:to>
      <xdr:col>3</xdr:col>
      <xdr:colOff>124929</xdr:colOff>
      <xdr:row>4</xdr:row>
      <xdr:rowOff>83</xdr:rowOff>
    </xdr:to>
    <xdr:grpSp>
      <xdr:nvGrpSpPr>
        <xdr:cNvPr id="277" name="Группа 276"/>
        <xdr:cNvGrpSpPr/>
      </xdr:nvGrpSpPr>
      <xdr:grpSpPr>
        <a:xfrm rot="10800000" flipV="1">
          <a:off x="2017089" y="2650990"/>
          <a:ext cx="135304" cy="124950"/>
          <a:chOff x="1132242" y="1306343"/>
          <a:chExt cx="123151" cy="128030"/>
        </a:xfrm>
      </xdr:grpSpPr>
      <xdr:cxnSp macro="">
        <xdr:nvCxnSpPr>
          <xdr:cNvPr id="278" name="Прямая соединительная линия 27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9" name="Прямоугольник 27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577354</xdr:colOff>
      <xdr:row>4</xdr:row>
      <xdr:rowOff>0</xdr:rowOff>
    </xdr:from>
    <xdr:to>
      <xdr:col>3</xdr:col>
      <xdr:colOff>554942</xdr:colOff>
      <xdr:row>4</xdr:row>
      <xdr:rowOff>537883</xdr:rowOff>
    </xdr:to>
    <xdr:sp macro="" textlink="">
      <xdr:nvSpPr>
        <xdr:cNvPr id="280" name="Полилиния 279"/>
        <xdr:cNvSpPr/>
      </xdr:nvSpPr>
      <xdr:spPr>
        <a:xfrm flipH="1">
          <a:off x="2001963" y="7578587"/>
          <a:ext cx="557370" cy="537883"/>
        </a:xfrm>
        <a:custGeom>
          <a:avLst/>
          <a:gdLst>
            <a:gd name="connsiteX0" fmla="*/ 526677 w 526677"/>
            <a:gd name="connsiteY0" fmla="*/ 537883 h 537883"/>
            <a:gd name="connsiteX1" fmla="*/ 526677 w 526677"/>
            <a:gd name="connsiteY1" fmla="*/ 0 h 537883"/>
            <a:gd name="connsiteX2" fmla="*/ 0 w 526677"/>
            <a:gd name="connsiteY2" fmla="*/ 0 h 537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7" h="537883">
              <a:moveTo>
                <a:pt x="526677" y="537883"/>
              </a:moveTo>
              <a:lnTo>
                <a:pt x="526677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1440</xdr:colOff>
      <xdr:row>0</xdr:row>
      <xdr:rowOff>89646</xdr:rowOff>
    </xdr:from>
    <xdr:to>
      <xdr:col>3</xdr:col>
      <xdr:colOff>1440</xdr:colOff>
      <xdr:row>1</xdr:row>
      <xdr:rowOff>579100</xdr:rowOff>
    </xdr:to>
    <xdr:cxnSp macro="">
      <xdr:nvCxnSpPr>
        <xdr:cNvPr id="471" name="Прямая соединительная линия 470"/>
        <xdr:cNvCxnSpPr/>
      </xdr:nvCxnSpPr>
      <xdr:spPr>
        <a:xfrm flipV="1">
          <a:off x="2005831" y="5581016"/>
          <a:ext cx="0" cy="118519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526472</xdr:colOff>
      <xdr:row>1</xdr:row>
      <xdr:rowOff>505621</xdr:rowOff>
    </xdr:from>
    <xdr:to>
      <xdr:col>3</xdr:col>
      <xdr:colOff>53447</xdr:colOff>
      <xdr:row>1</xdr:row>
      <xdr:rowOff>613621</xdr:rowOff>
    </xdr:to>
    <xdr:sp macro="" textlink="">
      <xdr:nvSpPr>
        <xdr:cNvPr id="472" name="Овал 471"/>
        <xdr:cNvSpPr/>
      </xdr:nvSpPr>
      <xdr:spPr>
        <a:xfrm>
          <a:off x="1951081" y="6692730"/>
          <a:ext cx="10675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577341</xdr:colOff>
      <xdr:row>0</xdr:row>
      <xdr:rowOff>536590</xdr:rowOff>
    </xdr:from>
    <xdr:to>
      <xdr:col>3</xdr:col>
      <xdr:colOff>122201</xdr:colOff>
      <xdr:row>0</xdr:row>
      <xdr:rowOff>664620</xdr:rowOff>
    </xdr:to>
    <xdr:grpSp>
      <xdr:nvGrpSpPr>
        <xdr:cNvPr id="475" name="Группа 474"/>
        <xdr:cNvGrpSpPr/>
      </xdr:nvGrpSpPr>
      <xdr:grpSpPr>
        <a:xfrm flipH="1">
          <a:off x="2019698" y="536590"/>
          <a:ext cx="129967" cy="128030"/>
          <a:chOff x="1132242" y="1306343"/>
          <a:chExt cx="123151" cy="128030"/>
        </a:xfrm>
      </xdr:grpSpPr>
      <xdr:cxnSp macro="">
        <xdr:nvCxnSpPr>
          <xdr:cNvPr id="476" name="Прямая соединительная линия 47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7" name="Прямоугольник 47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41413</xdr:colOff>
      <xdr:row>0</xdr:row>
      <xdr:rowOff>530087</xdr:rowOff>
    </xdr:from>
    <xdr:to>
      <xdr:col>3</xdr:col>
      <xdr:colOff>422413</xdr:colOff>
      <xdr:row>1</xdr:row>
      <xdr:rowOff>149087</xdr:rowOff>
    </xdr:to>
    <xdr:cxnSp macro="">
      <xdr:nvCxnSpPr>
        <xdr:cNvPr id="479" name="Прямая соединительная линия 478"/>
        <xdr:cNvCxnSpPr/>
      </xdr:nvCxnSpPr>
      <xdr:spPr>
        <a:xfrm>
          <a:off x="1466022" y="6021457"/>
          <a:ext cx="960782" cy="314739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</xdr:row>
      <xdr:rowOff>8282</xdr:rowOff>
    </xdr:from>
    <xdr:to>
      <xdr:col>3</xdr:col>
      <xdr:colOff>546652</xdr:colOff>
      <xdr:row>1</xdr:row>
      <xdr:rowOff>563217</xdr:rowOff>
    </xdr:to>
    <xdr:sp macro="" textlink="">
      <xdr:nvSpPr>
        <xdr:cNvPr id="482" name="Полилиния 481"/>
        <xdr:cNvSpPr/>
      </xdr:nvSpPr>
      <xdr:spPr>
        <a:xfrm>
          <a:off x="2004391" y="6195391"/>
          <a:ext cx="546652" cy="554935"/>
        </a:xfrm>
        <a:custGeom>
          <a:avLst/>
          <a:gdLst>
            <a:gd name="connsiteX0" fmla="*/ 0 w 546652"/>
            <a:gd name="connsiteY0" fmla="*/ 554935 h 554935"/>
            <a:gd name="connsiteX1" fmla="*/ 0 w 546652"/>
            <a:gd name="connsiteY1" fmla="*/ 0 h 554935"/>
            <a:gd name="connsiteX2" fmla="*/ 546652 w 546652"/>
            <a:gd name="connsiteY2" fmla="*/ 173935 h 5549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554935">
              <a:moveTo>
                <a:pt x="0" y="554935"/>
              </a:moveTo>
              <a:lnTo>
                <a:pt x="0" y="0"/>
              </a:lnTo>
              <a:lnTo>
                <a:pt x="546652" y="173935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12</xdr:row>
      <xdr:rowOff>689646</xdr:rowOff>
    </xdr:from>
    <xdr:to>
      <xdr:col>3</xdr:col>
      <xdr:colOff>1439</xdr:colOff>
      <xdr:row>13</xdr:row>
      <xdr:rowOff>558154</xdr:rowOff>
    </xdr:to>
    <xdr:cxnSp macro="">
      <xdr:nvCxnSpPr>
        <xdr:cNvPr id="485" name="Прямая соединительная линия 484"/>
        <xdr:cNvCxnSpPr>
          <a:endCxn id="501" idx="1"/>
        </xdr:cNvCxnSpPr>
      </xdr:nvCxnSpPr>
      <xdr:spPr>
        <a:xfrm flipH="1" flipV="1">
          <a:off x="2017059" y="10416352"/>
          <a:ext cx="1439" cy="56327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526472</xdr:colOff>
      <xdr:row>13</xdr:row>
      <xdr:rowOff>484672</xdr:rowOff>
    </xdr:from>
    <xdr:to>
      <xdr:col>3</xdr:col>
      <xdr:colOff>53447</xdr:colOff>
      <xdr:row>13</xdr:row>
      <xdr:rowOff>592672</xdr:rowOff>
    </xdr:to>
    <xdr:sp macro="" textlink="">
      <xdr:nvSpPr>
        <xdr:cNvPr id="486" name="Овал 485"/>
        <xdr:cNvSpPr/>
      </xdr:nvSpPr>
      <xdr:spPr>
        <a:xfrm>
          <a:off x="1960825" y="10906143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112799</xdr:colOff>
      <xdr:row>12</xdr:row>
      <xdr:rowOff>532523</xdr:rowOff>
    </xdr:from>
    <xdr:to>
      <xdr:col>3</xdr:col>
      <xdr:colOff>538370</xdr:colOff>
      <xdr:row>13</xdr:row>
      <xdr:rowOff>166124</xdr:rowOff>
    </xdr:to>
    <xdr:cxnSp macro="">
      <xdr:nvCxnSpPr>
        <xdr:cNvPr id="490" name="Прямая соединительная линия 489"/>
        <xdr:cNvCxnSpPr/>
      </xdr:nvCxnSpPr>
      <xdr:spPr>
        <a:xfrm>
          <a:off x="1547152" y="10259229"/>
          <a:ext cx="1008277" cy="32836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67235</xdr:colOff>
      <xdr:row>12</xdr:row>
      <xdr:rowOff>285750</xdr:rowOff>
    </xdr:from>
    <xdr:to>
      <xdr:col>3</xdr:col>
      <xdr:colOff>67235</xdr:colOff>
      <xdr:row>13</xdr:row>
      <xdr:rowOff>6089</xdr:rowOff>
    </xdr:to>
    <xdr:cxnSp macro="">
      <xdr:nvCxnSpPr>
        <xdr:cNvPr id="496" name="Прямая соединительная линия 495"/>
        <xdr:cNvCxnSpPr/>
      </xdr:nvCxnSpPr>
      <xdr:spPr>
        <a:xfrm flipV="1">
          <a:off x="2094699" y="8613321"/>
          <a:ext cx="0" cy="414304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49695</xdr:colOff>
      <xdr:row>12</xdr:row>
      <xdr:rowOff>507675</xdr:rowOff>
    </xdr:from>
    <xdr:to>
      <xdr:col>3</xdr:col>
      <xdr:colOff>0</xdr:colOff>
      <xdr:row>13</xdr:row>
      <xdr:rowOff>532523</xdr:rowOff>
    </xdr:to>
    <xdr:sp macro="" textlink="">
      <xdr:nvSpPr>
        <xdr:cNvPr id="501" name="Полилиния 500"/>
        <xdr:cNvSpPr/>
      </xdr:nvSpPr>
      <xdr:spPr>
        <a:xfrm>
          <a:off x="1484048" y="10234381"/>
          <a:ext cx="533011" cy="719613"/>
        </a:xfrm>
        <a:custGeom>
          <a:avLst/>
          <a:gdLst>
            <a:gd name="connsiteX0" fmla="*/ 530087 w 530087"/>
            <a:gd name="connsiteY0" fmla="*/ 720587 h 720587"/>
            <a:gd name="connsiteX1" fmla="*/ 530087 w 530087"/>
            <a:gd name="connsiteY1" fmla="*/ 182217 h 720587"/>
            <a:gd name="connsiteX2" fmla="*/ 0 w 530087"/>
            <a:gd name="connsiteY2" fmla="*/ 0 h 7205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720587">
              <a:moveTo>
                <a:pt x="530087" y="720587"/>
              </a:moveTo>
              <a:lnTo>
                <a:pt x="530087" y="182217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1439</xdr:colOff>
      <xdr:row>6</xdr:row>
      <xdr:rowOff>411207</xdr:rowOff>
    </xdr:from>
    <xdr:to>
      <xdr:col>3</xdr:col>
      <xdr:colOff>1439</xdr:colOff>
      <xdr:row>7</xdr:row>
      <xdr:rowOff>569359</xdr:rowOff>
    </xdr:to>
    <xdr:cxnSp macro="">
      <xdr:nvCxnSpPr>
        <xdr:cNvPr id="502" name="Прямая соединительная линия 501"/>
        <xdr:cNvCxnSpPr/>
      </xdr:nvCxnSpPr>
      <xdr:spPr>
        <a:xfrm flipV="1">
          <a:off x="2018498" y="4579795"/>
          <a:ext cx="0" cy="85291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526472</xdr:colOff>
      <xdr:row>7</xdr:row>
      <xdr:rowOff>495878</xdr:rowOff>
    </xdr:from>
    <xdr:to>
      <xdr:col>3</xdr:col>
      <xdr:colOff>53447</xdr:colOff>
      <xdr:row>7</xdr:row>
      <xdr:rowOff>603878</xdr:rowOff>
    </xdr:to>
    <xdr:sp macro="" textlink="">
      <xdr:nvSpPr>
        <xdr:cNvPr id="503" name="Овал 502"/>
        <xdr:cNvSpPr/>
      </xdr:nvSpPr>
      <xdr:spPr>
        <a:xfrm>
          <a:off x="1960825" y="5359231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577341</xdr:colOff>
      <xdr:row>6</xdr:row>
      <xdr:rowOff>526847</xdr:rowOff>
    </xdr:from>
    <xdr:to>
      <xdr:col>3</xdr:col>
      <xdr:colOff>122201</xdr:colOff>
      <xdr:row>6</xdr:row>
      <xdr:rowOff>654877</xdr:rowOff>
    </xdr:to>
    <xdr:grpSp>
      <xdr:nvGrpSpPr>
        <xdr:cNvPr id="504" name="Группа 503"/>
        <xdr:cNvGrpSpPr/>
      </xdr:nvGrpSpPr>
      <xdr:grpSpPr>
        <a:xfrm flipH="1">
          <a:off x="2019698" y="4690633"/>
          <a:ext cx="129967" cy="128030"/>
          <a:chOff x="1132242" y="1306343"/>
          <a:chExt cx="123151" cy="128030"/>
        </a:xfrm>
      </xdr:grpSpPr>
      <xdr:cxnSp macro="">
        <xdr:nvCxnSpPr>
          <xdr:cNvPr id="505" name="Прямая соединительная линия 50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06" name="Прямоугольник 50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112799</xdr:colOff>
      <xdr:row>6</xdr:row>
      <xdr:rowOff>543729</xdr:rowOff>
    </xdr:from>
    <xdr:to>
      <xdr:col>3</xdr:col>
      <xdr:colOff>538370</xdr:colOff>
      <xdr:row>7</xdr:row>
      <xdr:rowOff>177330</xdr:rowOff>
    </xdr:to>
    <xdr:cxnSp macro="">
      <xdr:nvCxnSpPr>
        <xdr:cNvPr id="507" name="Прямая соединительная линия 506"/>
        <xdr:cNvCxnSpPr/>
      </xdr:nvCxnSpPr>
      <xdr:spPr>
        <a:xfrm>
          <a:off x="1547152" y="4712317"/>
          <a:ext cx="1008277" cy="32836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49695</xdr:colOff>
      <xdr:row>6</xdr:row>
      <xdr:rowOff>518881</xdr:rowOff>
    </xdr:from>
    <xdr:to>
      <xdr:col>3</xdr:col>
      <xdr:colOff>0</xdr:colOff>
      <xdr:row>7</xdr:row>
      <xdr:rowOff>543729</xdr:rowOff>
    </xdr:to>
    <xdr:sp macro="" textlink="">
      <xdr:nvSpPr>
        <xdr:cNvPr id="509" name="Полилиния 508"/>
        <xdr:cNvSpPr/>
      </xdr:nvSpPr>
      <xdr:spPr>
        <a:xfrm>
          <a:off x="1484048" y="4687469"/>
          <a:ext cx="533011" cy="719613"/>
        </a:xfrm>
        <a:custGeom>
          <a:avLst/>
          <a:gdLst>
            <a:gd name="connsiteX0" fmla="*/ 530087 w 530087"/>
            <a:gd name="connsiteY0" fmla="*/ 720587 h 720587"/>
            <a:gd name="connsiteX1" fmla="*/ 530087 w 530087"/>
            <a:gd name="connsiteY1" fmla="*/ 182217 h 720587"/>
            <a:gd name="connsiteX2" fmla="*/ 0 w 530087"/>
            <a:gd name="connsiteY2" fmla="*/ 0 h 7205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720587">
              <a:moveTo>
                <a:pt x="530087" y="720587"/>
              </a:moveTo>
              <a:lnTo>
                <a:pt x="530087" y="182217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10</xdr:row>
      <xdr:rowOff>6087</xdr:rowOff>
    </xdr:from>
    <xdr:to>
      <xdr:col>3</xdr:col>
      <xdr:colOff>1439</xdr:colOff>
      <xdr:row>10</xdr:row>
      <xdr:rowOff>569359</xdr:rowOff>
    </xdr:to>
    <xdr:cxnSp macro="">
      <xdr:nvCxnSpPr>
        <xdr:cNvPr id="530" name="Прямая соединительная линия 529"/>
        <xdr:cNvCxnSpPr>
          <a:endCxn id="537" idx="1"/>
        </xdr:cNvCxnSpPr>
      </xdr:nvCxnSpPr>
      <xdr:spPr>
        <a:xfrm flipH="1" flipV="1">
          <a:off x="2017059" y="5564205"/>
          <a:ext cx="1439" cy="56327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526472</xdr:colOff>
      <xdr:row>10</xdr:row>
      <xdr:rowOff>495877</xdr:rowOff>
    </xdr:from>
    <xdr:to>
      <xdr:col>3</xdr:col>
      <xdr:colOff>53447</xdr:colOff>
      <xdr:row>10</xdr:row>
      <xdr:rowOff>603877</xdr:rowOff>
    </xdr:to>
    <xdr:sp macro="" textlink="">
      <xdr:nvSpPr>
        <xdr:cNvPr id="531" name="Овал 530"/>
        <xdr:cNvSpPr/>
      </xdr:nvSpPr>
      <xdr:spPr>
        <a:xfrm>
          <a:off x="1960825" y="6053995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112799</xdr:colOff>
      <xdr:row>9</xdr:row>
      <xdr:rowOff>543729</xdr:rowOff>
    </xdr:from>
    <xdr:to>
      <xdr:col>3</xdr:col>
      <xdr:colOff>538370</xdr:colOff>
      <xdr:row>10</xdr:row>
      <xdr:rowOff>177329</xdr:rowOff>
    </xdr:to>
    <xdr:cxnSp macro="">
      <xdr:nvCxnSpPr>
        <xdr:cNvPr id="535" name="Прямая соединительная линия 534"/>
        <xdr:cNvCxnSpPr/>
      </xdr:nvCxnSpPr>
      <xdr:spPr>
        <a:xfrm>
          <a:off x="1547152" y="5407082"/>
          <a:ext cx="1008277" cy="32836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67235</xdr:colOff>
      <xdr:row>9</xdr:row>
      <xdr:rowOff>326571</xdr:rowOff>
    </xdr:from>
    <xdr:to>
      <xdr:col>3</xdr:col>
      <xdr:colOff>67235</xdr:colOff>
      <xdr:row>10</xdr:row>
      <xdr:rowOff>17293</xdr:rowOff>
    </xdr:to>
    <xdr:cxnSp macro="">
      <xdr:nvCxnSpPr>
        <xdr:cNvPr id="536" name="Прямая соединительная линия 535"/>
        <xdr:cNvCxnSpPr/>
      </xdr:nvCxnSpPr>
      <xdr:spPr>
        <a:xfrm flipV="1">
          <a:off x="2094699" y="6572250"/>
          <a:ext cx="0" cy="384686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49695</xdr:colOff>
      <xdr:row>9</xdr:row>
      <xdr:rowOff>518881</xdr:rowOff>
    </xdr:from>
    <xdr:to>
      <xdr:col>3</xdr:col>
      <xdr:colOff>0</xdr:colOff>
      <xdr:row>10</xdr:row>
      <xdr:rowOff>543728</xdr:rowOff>
    </xdr:to>
    <xdr:sp macro="" textlink="">
      <xdr:nvSpPr>
        <xdr:cNvPr id="537" name="Полилиния 536"/>
        <xdr:cNvSpPr/>
      </xdr:nvSpPr>
      <xdr:spPr>
        <a:xfrm>
          <a:off x="1484048" y="5382234"/>
          <a:ext cx="533011" cy="719612"/>
        </a:xfrm>
        <a:custGeom>
          <a:avLst/>
          <a:gdLst>
            <a:gd name="connsiteX0" fmla="*/ 530087 w 530087"/>
            <a:gd name="connsiteY0" fmla="*/ 720587 h 720587"/>
            <a:gd name="connsiteX1" fmla="*/ 530087 w 530087"/>
            <a:gd name="connsiteY1" fmla="*/ 182217 h 720587"/>
            <a:gd name="connsiteX2" fmla="*/ 0 w 530087"/>
            <a:gd name="connsiteY2" fmla="*/ 0 h 7205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720587">
              <a:moveTo>
                <a:pt x="530087" y="720587"/>
              </a:moveTo>
              <a:lnTo>
                <a:pt x="530087" y="182217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421821</xdr:colOff>
      <xdr:row>12</xdr:row>
      <xdr:rowOff>421823</xdr:rowOff>
    </xdr:from>
    <xdr:to>
      <xdr:col>2</xdr:col>
      <xdr:colOff>565821</xdr:colOff>
      <xdr:row>12</xdr:row>
      <xdr:rowOff>565262</xdr:rowOff>
    </xdr:to>
    <xdr:sp macro="" textlink="">
      <xdr:nvSpPr>
        <xdr:cNvPr id="60" name="Овал 59"/>
        <xdr:cNvSpPr/>
      </xdr:nvSpPr>
      <xdr:spPr>
        <a:xfrm>
          <a:off x="1864178" y="8749394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421821</xdr:colOff>
      <xdr:row>9</xdr:row>
      <xdr:rowOff>435429</xdr:rowOff>
    </xdr:from>
    <xdr:to>
      <xdr:col>2</xdr:col>
      <xdr:colOff>565821</xdr:colOff>
      <xdr:row>9</xdr:row>
      <xdr:rowOff>578868</xdr:rowOff>
    </xdr:to>
    <xdr:sp macro="" textlink="">
      <xdr:nvSpPr>
        <xdr:cNvPr id="65" name="Овал 64"/>
        <xdr:cNvSpPr/>
      </xdr:nvSpPr>
      <xdr:spPr>
        <a:xfrm>
          <a:off x="1864178" y="6681108"/>
          <a:ext cx="144000" cy="1434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20</xdr:row>
      <xdr:rowOff>95250</xdr:rowOff>
    </xdr:from>
    <xdr:to>
      <xdr:col>0</xdr:col>
      <xdr:colOff>6048720</xdr:colOff>
      <xdr:row>34</xdr:row>
      <xdr:rowOff>28204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5314950"/>
          <a:ext cx="5924895" cy="2599954"/>
        </a:xfrm>
        <a:prstGeom prst="rect">
          <a:avLst/>
        </a:prstGeom>
      </xdr:spPr>
    </xdr:pic>
    <xdr:clientData/>
  </xdr:twoCellAnchor>
  <xdr:twoCellAnchor>
    <xdr:from>
      <xdr:col>0</xdr:col>
      <xdr:colOff>1473188</xdr:colOff>
      <xdr:row>22</xdr:row>
      <xdr:rowOff>184194</xdr:rowOff>
    </xdr:from>
    <xdr:to>
      <xdr:col>0</xdr:col>
      <xdr:colOff>1631878</xdr:colOff>
      <xdr:row>24</xdr:row>
      <xdr:rowOff>83329</xdr:rowOff>
    </xdr:to>
    <xdr:sp macro="" textlink="">
      <xdr:nvSpPr>
        <xdr:cNvPr id="6" name="Прямоугольник 5"/>
        <xdr:cNvSpPr/>
      </xdr:nvSpPr>
      <xdr:spPr>
        <a:xfrm rot="-1800000">
          <a:off x="1473188" y="5975394"/>
          <a:ext cx="158690" cy="28013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1523079</xdr:colOff>
      <xdr:row>24</xdr:row>
      <xdr:rowOff>11905</xdr:rowOff>
    </xdr:from>
    <xdr:to>
      <xdr:col>0</xdr:col>
      <xdr:colOff>1854286</xdr:colOff>
      <xdr:row>25</xdr:row>
      <xdr:rowOff>150898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79" y="6184105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1470422</xdr:colOff>
      <xdr:row>24</xdr:row>
      <xdr:rowOff>41672</xdr:rowOff>
    </xdr:from>
    <xdr:to>
      <xdr:col>0</xdr:col>
      <xdr:colOff>3237309</xdr:colOff>
      <xdr:row>31</xdr:row>
      <xdr:rowOff>128587</xdr:rowOff>
    </xdr:to>
    <xdr:sp macro="" textlink="">
      <xdr:nvSpPr>
        <xdr:cNvPr id="7" name="Полилиния 6"/>
        <xdr:cNvSpPr/>
      </xdr:nvSpPr>
      <xdr:spPr>
        <a:xfrm>
          <a:off x="1470422" y="6024563"/>
          <a:ext cx="1766887" cy="1420415"/>
        </a:xfrm>
        <a:custGeom>
          <a:avLst/>
          <a:gdLst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504825 w 1981200"/>
            <a:gd name="connsiteY2" fmla="*/ 676275 h 2171700"/>
            <a:gd name="connsiteX3" fmla="*/ 0 w 1981200"/>
            <a:gd name="connsiteY3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0 w 1981200"/>
            <a:gd name="connsiteY3" fmla="*/ 0 h 2171700"/>
            <a:gd name="connsiteX0" fmla="*/ 2449427 w 2449427"/>
            <a:gd name="connsiteY0" fmla="*/ 2171700 h 2171700"/>
            <a:gd name="connsiteX1" fmla="*/ 1354052 w 2449427"/>
            <a:gd name="connsiteY1" fmla="*/ 1152525 h 2171700"/>
            <a:gd name="connsiteX2" fmla="*/ 1312380 w 2449427"/>
            <a:gd name="connsiteY2" fmla="*/ 1872853 h 2171700"/>
            <a:gd name="connsiteX3" fmla="*/ 21742 w 2449427"/>
            <a:gd name="connsiteY3" fmla="*/ 1238249 h 2171700"/>
            <a:gd name="connsiteX4" fmla="*/ 468227 w 2449427"/>
            <a:gd name="connsiteY4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309562 w 1981200"/>
            <a:gd name="connsiteY3" fmla="*/ 988217 h 2171700"/>
            <a:gd name="connsiteX4" fmla="*/ 0 w 1981200"/>
            <a:gd name="connsiteY4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0 w 1981200"/>
            <a:gd name="connsiteY3" fmla="*/ 0 h 2171700"/>
            <a:gd name="connsiteX0" fmla="*/ 1981200 w 1981200"/>
            <a:gd name="connsiteY0" fmla="*/ 1153716 h 1153716"/>
            <a:gd name="connsiteX1" fmla="*/ 885825 w 1981200"/>
            <a:gd name="connsiteY1" fmla="*/ 134541 h 1153716"/>
            <a:gd name="connsiteX2" fmla="*/ 844153 w 1981200"/>
            <a:gd name="connsiteY2" fmla="*/ 854869 h 1153716"/>
            <a:gd name="connsiteX3" fmla="*/ 0 w 1981200"/>
            <a:gd name="connsiteY3" fmla="*/ 0 h 1153716"/>
            <a:gd name="connsiteX0" fmla="*/ 1897856 w 1897856"/>
            <a:gd name="connsiteY0" fmla="*/ 1719262 h 1719262"/>
            <a:gd name="connsiteX1" fmla="*/ 802481 w 1897856"/>
            <a:gd name="connsiteY1" fmla="*/ 700087 h 1719262"/>
            <a:gd name="connsiteX2" fmla="*/ 760809 w 1897856"/>
            <a:gd name="connsiteY2" fmla="*/ 1420415 h 1719262"/>
            <a:gd name="connsiteX3" fmla="*/ 0 w 1897856"/>
            <a:gd name="connsiteY3" fmla="*/ 0 h 1719262"/>
            <a:gd name="connsiteX0" fmla="*/ 1897856 w 1897856"/>
            <a:gd name="connsiteY0" fmla="*/ 1719262 h 1719262"/>
            <a:gd name="connsiteX1" fmla="*/ 760809 w 1897856"/>
            <a:gd name="connsiteY1" fmla="*/ 1420415 h 1719262"/>
            <a:gd name="connsiteX2" fmla="*/ 0 w 1897856"/>
            <a:gd name="connsiteY2" fmla="*/ 0 h 1719262"/>
            <a:gd name="connsiteX0" fmla="*/ 1766887 w 1766887"/>
            <a:gd name="connsiteY0" fmla="*/ 969168 h 1420415"/>
            <a:gd name="connsiteX1" fmla="*/ 760809 w 1766887"/>
            <a:gd name="connsiteY1" fmla="*/ 1420415 h 1420415"/>
            <a:gd name="connsiteX2" fmla="*/ 0 w 1766887"/>
            <a:gd name="connsiteY2" fmla="*/ 0 h 14204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66887" h="1420415">
              <a:moveTo>
                <a:pt x="1766887" y="969168"/>
              </a:moveTo>
              <a:lnTo>
                <a:pt x="760809" y="1420415"/>
              </a:lnTo>
              <a:cubicBezTo>
                <a:pt x="613172" y="1228328"/>
                <a:pt x="175865" y="390178"/>
                <a:pt x="0" y="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18</xdr:row>
      <xdr:rowOff>104775</xdr:rowOff>
    </xdr:from>
    <xdr:to>
      <xdr:col>0</xdr:col>
      <xdr:colOff>5878151</xdr:colOff>
      <xdr:row>45</xdr:row>
      <xdr:rowOff>161009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322818"/>
          <a:ext cx="5821001" cy="5199734"/>
        </a:xfrm>
        <a:prstGeom prst="rect">
          <a:avLst/>
        </a:prstGeom>
      </xdr:spPr>
    </xdr:pic>
    <xdr:clientData/>
  </xdr:twoCellAnchor>
  <xdr:twoCellAnchor>
    <xdr:from>
      <xdr:col>0</xdr:col>
      <xdr:colOff>285972</xdr:colOff>
      <xdr:row>37</xdr:row>
      <xdr:rowOff>28914</xdr:rowOff>
    </xdr:from>
    <xdr:to>
      <xdr:col>0</xdr:col>
      <xdr:colOff>465240</xdr:colOff>
      <xdr:row>38</xdr:row>
      <xdr:rowOff>130896</xdr:rowOff>
    </xdr:to>
    <xdr:sp macro="" textlink="">
      <xdr:nvSpPr>
        <xdr:cNvPr id="4" name="Прямоугольник 3"/>
        <xdr:cNvSpPr/>
      </xdr:nvSpPr>
      <xdr:spPr>
        <a:xfrm rot="600000">
          <a:off x="285972" y="8565695"/>
          <a:ext cx="179268" cy="292482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433552</xdr:colOff>
      <xdr:row>35</xdr:row>
      <xdr:rowOff>118241</xdr:rowOff>
    </xdr:from>
    <xdr:to>
      <xdr:col>0</xdr:col>
      <xdr:colOff>764759</xdr:colOff>
      <xdr:row>37</xdr:row>
      <xdr:rowOff>66734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52" y="8007569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510886</xdr:colOff>
      <xdr:row>18</xdr:row>
      <xdr:rowOff>136579</xdr:rowOff>
    </xdr:from>
    <xdr:to>
      <xdr:col>0</xdr:col>
      <xdr:colOff>5663045</xdr:colOff>
      <xdr:row>45</xdr:row>
      <xdr:rowOff>132104</xdr:rowOff>
    </xdr:to>
    <xdr:sp macro="" textlink="">
      <xdr:nvSpPr>
        <xdr:cNvPr id="8" name="Полилиния 7"/>
        <xdr:cNvSpPr/>
      </xdr:nvSpPr>
      <xdr:spPr>
        <a:xfrm>
          <a:off x="510886" y="4786511"/>
          <a:ext cx="5152159" cy="5139025"/>
        </a:xfrm>
        <a:custGeom>
          <a:avLst/>
          <a:gdLst>
            <a:gd name="connsiteX0" fmla="*/ 5152159 w 5152159"/>
            <a:gd name="connsiteY0" fmla="*/ 4825080 h 5139025"/>
            <a:gd name="connsiteX1" fmla="*/ 4996296 w 5152159"/>
            <a:gd name="connsiteY1" fmla="*/ 4937648 h 5139025"/>
            <a:gd name="connsiteX2" fmla="*/ 4537364 w 5152159"/>
            <a:gd name="connsiteY2" fmla="*/ 5128148 h 5139025"/>
            <a:gd name="connsiteX3" fmla="*/ 4242955 w 5152159"/>
            <a:gd name="connsiteY3" fmla="*/ 4582625 h 5139025"/>
            <a:gd name="connsiteX4" fmla="*/ 3991841 w 5152159"/>
            <a:gd name="connsiteY4" fmla="*/ 4132353 h 5139025"/>
            <a:gd name="connsiteX5" fmla="*/ 3697432 w 5152159"/>
            <a:gd name="connsiteY5" fmla="*/ 3214489 h 5139025"/>
            <a:gd name="connsiteX6" fmla="*/ 3861955 w 5152159"/>
            <a:gd name="connsiteY6" fmla="*/ 2365898 h 5139025"/>
            <a:gd name="connsiteX7" fmla="*/ 3905250 w 5152159"/>
            <a:gd name="connsiteY7" fmla="*/ 2313944 h 5139025"/>
            <a:gd name="connsiteX8" fmla="*/ 3602182 w 5152159"/>
            <a:gd name="connsiteY8" fmla="*/ 2010875 h 5139025"/>
            <a:gd name="connsiteX9" fmla="*/ 2822864 w 5152159"/>
            <a:gd name="connsiteY9" fmla="*/ 1534625 h 5139025"/>
            <a:gd name="connsiteX10" fmla="*/ 1827069 w 5152159"/>
            <a:gd name="connsiteY10" fmla="*/ 1006421 h 5139025"/>
            <a:gd name="connsiteX11" fmla="*/ 779319 w 5152159"/>
            <a:gd name="connsiteY11" fmla="*/ 1966 h 5139025"/>
            <a:gd name="connsiteX12" fmla="*/ 606137 w 5152159"/>
            <a:gd name="connsiteY12" fmla="*/ 841898 h 5139025"/>
            <a:gd name="connsiteX13" fmla="*/ 0 w 5152159"/>
            <a:gd name="connsiteY13" fmla="*/ 3656103 h 51390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5152159" h="5139025">
              <a:moveTo>
                <a:pt x="5152159" y="4825080"/>
              </a:moveTo>
              <a:cubicBezTo>
                <a:pt x="5125460" y="4856108"/>
                <a:pt x="5098762" y="4887137"/>
                <a:pt x="4996296" y="4937648"/>
              </a:cubicBezTo>
              <a:cubicBezTo>
                <a:pt x="4893830" y="4988159"/>
                <a:pt x="4662921" y="5187319"/>
                <a:pt x="4537364" y="5128148"/>
              </a:cubicBezTo>
              <a:cubicBezTo>
                <a:pt x="4411807" y="5068978"/>
                <a:pt x="4333875" y="4748591"/>
                <a:pt x="4242955" y="4582625"/>
              </a:cubicBezTo>
              <a:cubicBezTo>
                <a:pt x="4152035" y="4416659"/>
                <a:pt x="4082761" y="4360376"/>
                <a:pt x="3991841" y="4132353"/>
              </a:cubicBezTo>
              <a:cubicBezTo>
                <a:pt x="3900920" y="3904330"/>
                <a:pt x="3719080" y="3508898"/>
                <a:pt x="3697432" y="3214489"/>
              </a:cubicBezTo>
              <a:cubicBezTo>
                <a:pt x="3675784" y="2920080"/>
                <a:pt x="3827319" y="2515989"/>
                <a:pt x="3861955" y="2365898"/>
              </a:cubicBezTo>
              <a:cubicBezTo>
                <a:pt x="3896591" y="2215807"/>
                <a:pt x="3948545" y="2373114"/>
                <a:pt x="3905250" y="2313944"/>
              </a:cubicBezTo>
              <a:cubicBezTo>
                <a:pt x="3861954" y="2254773"/>
                <a:pt x="3782580" y="2140761"/>
                <a:pt x="3602182" y="2010875"/>
              </a:cubicBezTo>
              <a:cubicBezTo>
                <a:pt x="3421784" y="1880989"/>
                <a:pt x="3118716" y="1702034"/>
                <a:pt x="2822864" y="1534625"/>
              </a:cubicBezTo>
              <a:cubicBezTo>
                <a:pt x="2527012" y="1367216"/>
                <a:pt x="2167660" y="1261864"/>
                <a:pt x="1827069" y="1006421"/>
              </a:cubicBezTo>
              <a:cubicBezTo>
                <a:pt x="1486478" y="750978"/>
                <a:pt x="982808" y="29386"/>
                <a:pt x="779319" y="1966"/>
              </a:cubicBezTo>
              <a:cubicBezTo>
                <a:pt x="575830" y="-25454"/>
                <a:pt x="736023" y="232875"/>
                <a:pt x="606137" y="841898"/>
              </a:cubicBezTo>
              <a:cubicBezTo>
                <a:pt x="476251" y="1450921"/>
                <a:pt x="134216" y="3107694"/>
                <a:pt x="0" y="3656103"/>
              </a:cubicBez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118241</xdr:colOff>
      <xdr:row>35</xdr:row>
      <xdr:rowOff>59760</xdr:rowOff>
    </xdr:from>
    <xdr:to>
      <xdr:col>0</xdr:col>
      <xdr:colOff>449441</xdr:colOff>
      <xdr:row>37</xdr:row>
      <xdr:rowOff>10875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1" y="8215541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505375</xdr:colOff>
      <xdr:row>8</xdr:row>
      <xdr:rowOff>290146</xdr:rowOff>
    </xdr:from>
    <xdr:to>
      <xdr:col>10</xdr:col>
      <xdr:colOff>51289</xdr:colOff>
      <xdr:row>19</xdr:row>
      <xdr:rowOff>256443</xdr:rowOff>
    </xdr:to>
    <xdr:sp macro="" textlink="">
      <xdr:nvSpPr>
        <xdr:cNvPr id="2" name="Полилиния 1"/>
        <xdr:cNvSpPr/>
      </xdr:nvSpPr>
      <xdr:spPr>
        <a:xfrm>
          <a:off x="1686475" y="1547446"/>
          <a:ext cx="1174689" cy="1756997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1283</xdr:colOff>
      <xdr:row>8</xdr:row>
      <xdr:rowOff>290146</xdr:rowOff>
    </xdr:from>
    <xdr:to>
      <xdr:col>23</xdr:col>
      <xdr:colOff>51289</xdr:colOff>
      <xdr:row>19</xdr:row>
      <xdr:rowOff>256443</xdr:rowOff>
    </xdr:to>
    <xdr:sp macro="" textlink="">
      <xdr:nvSpPr>
        <xdr:cNvPr id="3" name="Полилиния 2"/>
        <xdr:cNvSpPr/>
      </xdr:nvSpPr>
      <xdr:spPr>
        <a:xfrm>
          <a:off x="5049533" y="1547446"/>
          <a:ext cx="1173956" cy="1756997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1283</xdr:colOff>
      <xdr:row>19</xdr:row>
      <xdr:rowOff>326780</xdr:rowOff>
    </xdr:from>
    <xdr:to>
      <xdr:col>10</xdr:col>
      <xdr:colOff>51289</xdr:colOff>
      <xdr:row>40</xdr:row>
      <xdr:rowOff>278423</xdr:rowOff>
    </xdr:to>
    <xdr:sp macro="" textlink="">
      <xdr:nvSpPr>
        <xdr:cNvPr id="4" name="Полилиния 3"/>
        <xdr:cNvSpPr/>
      </xdr:nvSpPr>
      <xdr:spPr>
        <a:xfrm>
          <a:off x="1693802" y="3360126"/>
          <a:ext cx="1178352" cy="3908182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505375</xdr:colOff>
      <xdr:row>8</xdr:row>
      <xdr:rowOff>290146</xdr:rowOff>
    </xdr:from>
    <xdr:to>
      <xdr:col>23</xdr:col>
      <xdr:colOff>51289</xdr:colOff>
      <xdr:row>19</xdr:row>
      <xdr:rowOff>256443</xdr:rowOff>
    </xdr:to>
    <xdr:sp macro="" textlink="">
      <xdr:nvSpPr>
        <xdr:cNvPr id="6" name="Полилиния 5"/>
        <xdr:cNvSpPr/>
      </xdr:nvSpPr>
      <xdr:spPr>
        <a:xfrm>
          <a:off x="1686475" y="1547446"/>
          <a:ext cx="1174689" cy="1756997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1283</xdr:colOff>
      <xdr:row>19</xdr:row>
      <xdr:rowOff>326780</xdr:rowOff>
    </xdr:from>
    <xdr:to>
      <xdr:col>23</xdr:col>
      <xdr:colOff>51289</xdr:colOff>
      <xdr:row>40</xdr:row>
      <xdr:rowOff>278423</xdr:rowOff>
    </xdr:to>
    <xdr:sp macro="" textlink="">
      <xdr:nvSpPr>
        <xdr:cNvPr id="7" name="Полилиния 6"/>
        <xdr:cNvSpPr/>
      </xdr:nvSpPr>
      <xdr:spPr>
        <a:xfrm>
          <a:off x="1687208" y="3374780"/>
          <a:ext cx="1173956" cy="3923568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400050</xdr:colOff>
      <xdr:row>3</xdr:row>
      <xdr:rowOff>28575</xdr:rowOff>
    </xdr:from>
    <xdr:to>
      <xdr:col>5</xdr:col>
      <xdr:colOff>156121</xdr:colOff>
      <xdr:row>3</xdr:row>
      <xdr:rowOff>463153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66700"/>
          <a:ext cx="880021" cy="434578"/>
        </a:xfrm>
        <a:prstGeom prst="rect">
          <a:avLst/>
        </a:prstGeom>
      </xdr:spPr>
    </xdr:pic>
    <xdr:clientData/>
  </xdr:twoCellAnchor>
  <xdr:twoCellAnchor editAs="oneCell">
    <xdr:from>
      <xdr:col>14</xdr:col>
      <xdr:colOff>419100</xdr:colOff>
      <xdr:row>3</xdr:row>
      <xdr:rowOff>28575</xdr:rowOff>
    </xdr:from>
    <xdr:to>
      <xdr:col>18</xdr:col>
      <xdr:colOff>175171</xdr:colOff>
      <xdr:row>3</xdr:row>
      <xdr:rowOff>463153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725" y="266700"/>
          <a:ext cx="880021" cy="43457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17</xdr:row>
      <xdr:rowOff>304799</xdr:rowOff>
    </xdr:from>
    <xdr:to>
      <xdr:col>0</xdr:col>
      <xdr:colOff>4800600</xdr:colOff>
      <xdr:row>40</xdr:row>
      <xdr:rowOff>168995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4838699"/>
          <a:ext cx="3924300" cy="4369521"/>
        </a:xfrm>
        <a:prstGeom prst="rect">
          <a:avLst/>
        </a:prstGeom>
      </xdr:spPr>
    </xdr:pic>
    <xdr:clientData/>
  </xdr:twoCellAnchor>
  <xdr:twoCellAnchor>
    <xdr:from>
      <xdr:col>0</xdr:col>
      <xdr:colOff>2510882</xdr:colOff>
      <xdr:row>34</xdr:row>
      <xdr:rowOff>85924</xdr:rowOff>
    </xdr:from>
    <xdr:to>
      <xdr:col>0</xdr:col>
      <xdr:colOff>2705998</xdr:colOff>
      <xdr:row>36</xdr:row>
      <xdr:rowOff>14999</xdr:rowOff>
    </xdr:to>
    <xdr:sp macro="" textlink="">
      <xdr:nvSpPr>
        <xdr:cNvPr id="3" name="Прямоугольник 2"/>
        <xdr:cNvSpPr/>
      </xdr:nvSpPr>
      <xdr:spPr>
        <a:xfrm rot="1800000">
          <a:off x="2510882" y="7982149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2267992</xdr:colOff>
      <xdr:row>35</xdr:row>
      <xdr:rowOff>82452</xdr:rowOff>
    </xdr:from>
    <xdr:to>
      <xdr:col>0</xdr:col>
      <xdr:colOff>2599192</xdr:colOff>
      <xdr:row>37</xdr:row>
      <xdr:rowOff>33567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992" y="8169177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1066800</xdr:colOff>
      <xdr:row>32</xdr:row>
      <xdr:rowOff>47625</xdr:rowOff>
    </xdr:from>
    <xdr:to>
      <xdr:col>0</xdr:col>
      <xdr:colOff>2038350</xdr:colOff>
      <xdr:row>34</xdr:row>
      <xdr:rowOff>0</xdr:rowOff>
    </xdr:to>
    <xdr:sp macro="" textlink="">
      <xdr:nvSpPr>
        <xdr:cNvPr id="7" name="TextBox 6"/>
        <xdr:cNvSpPr txBox="1"/>
      </xdr:nvSpPr>
      <xdr:spPr>
        <a:xfrm>
          <a:off x="1066800" y="7562850"/>
          <a:ext cx="97155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1 проезд</a:t>
          </a:r>
        </a:p>
      </xdr:txBody>
    </xdr:sp>
    <xdr:clientData/>
  </xdr:twoCellAnchor>
  <xdr:twoCellAnchor>
    <xdr:from>
      <xdr:col>0</xdr:col>
      <xdr:colOff>2667000</xdr:colOff>
      <xdr:row>36</xdr:row>
      <xdr:rowOff>104775</xdr:rowOff>
    </xdr:from>
    <xdr:to>
      <xdr:col>0</xdr:col>
      <xdr:colOff>3638550</xdr:colOff>
      <xdr:row>40</xdr:row>
      <xdr:rowOff>47625</xdr:rowOff>
    </xdr:to>
    <xdr:sp macro="" textlink="">
      <xdr:nvSpPr>
        <xdr:cNvPr id="8" name="TextBox 7"/>
        <xdr:cNvSpPr txBox="1"/>
      </xdr:nvSpPr>
      <xdr:spPr>
        <a:xfrm>
          <a:off x="2667000" y="8382000"/>
          <a:ext cx="9715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2 проезд (через 15 мин)</a:t>
          </a:r>
        </a:p>
      </xdr:txBody>
    </xdr:sp>
    <xdr:clientData/>
  </xdr:twoCellAnchor>
  <xdr:twoCellAnchor>
    <xdr:from>
      <xdr:col>0</xdr:col>
      <xdr:colOff>1847850</xdr:colOff>
      <xdr:row>30</xdr:row>
      <xdr:rowOff>19050</xdr:rowOff>
    </xdr:from>
    <xdr:to>
      <xdr:col>0</xdr:col>
      <xdr:colOff>2257425</xdr:colOff>
      <xdr:row>38</xdr:row>
      <xdr:rowOff>152400</xdr:rowOff>
    </xdr:to>
    <xdr:sp macro="" textlink="">
      <xdr:nvSpPr>
        <xdr:cNvPr id="10" name="Полилиния 9"/>
        <xdr:cNvSpPr/>
      </xdr:nvSpPr>
      <xdr:spPr>
        <a:xfrm>
          <a:off x="1847850" y="7334250"/>
          <a:ext cx="409575" cy="1657350"/>
        </a:xfrm>
        <a:custGeom>
          <a:avLst/>
          <a:gdLst>
            <a:gd name="connsiteX0" fmla="*/ 0 w 409575"/>
            <a:gd name="connsiteY0" fmla="*/ 1657350 h 1657350"/>
            <a:gd name="connsiteX1" fmla="*/ 209550 w 409575"/>
            <a:gd name="connsiteY1" fmla="*/ 1276350 h 1657350"/>
            <a:gd name="connsiteX2" fmla="*/ 409575 w 409575"/>
            <a:gd name="connsiteY2" fmla="*/ 0 h 1657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9575" h="1657350">
              <a:moveTo>
                <a:pt x="0" y="1657350"/>
              </a:moveTo>
              <a:cubicBezTo>
                <a:pt x="70643" y="1604962"/>
                <a:pt x="141287" y="1552575"/>
                <a:pt x="209550" y="1276350"/>
              </a:cubicBezTo>
              <a:cubicBezTo>
                <a:pt x="277813" y="1000125"/>
                <a:pt x="343694" y="500062"/>
                <a:pt x="409575" y="0"/>
              </a:cubicBezTo>
            </a:path>
          </a:pathLst>
        </a:custGeom>
        <a:noFill/>
        <a:ln w="31750">
          <a:solidFill>
            <a:srgbClr val="FFFF00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1990725</xdr:colOff>
      <xdr:row>31</xdr:row>
      <xdr:rowOff>9525</xdr:rowOff>
    </xdr:from>
    <xdr:to>
      <xdr:col>0</xdr:col>
      <xdr:colOff>2914650</xdr:colOff>
      <xdr:row>38</xdr:row>
      <xdr:rowOff>180975</xdr:rowOff>
    </xdr:to>
    <xdr:sp macro="" textlink="">
      <xdr:nvSpPr>
        <xdr:cNvPr id="11" name="Полилиния 10"/>
        <xdr:cNvSpPr/>
      </xdr:nvSpPr>
      <xdr:spPr>
        <a:xfrm>
          <a:off x="1990725" y="7515225"/>
          <a:ext cx="923925" cy="1504950"/>
        </a:xfrm>
        <a:custGeom>
          <a:avLst/>
          <a:gdLst>
            <a:gd name="connsiteX0" fmla="*/ 0 w 923925"/>
            <a:gd name="connsiteY0" fmla="*/ 1504950 h 1504950"/>
            <a:gd name="connsiteX1" fmla="*/ 352425 w 923925"/>
            <a:gd name="connsiteY1" fmla="*/ 904875 h 1504950"/>
            <a:gd name="connsiteX2" fmla="*/ 923925 w 923925"/>
            <a:gd name="connsiteY2" fmla="*/ 0 h 1504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23925" h="1504950">
              <a:moveTo>
                <a:pt x="0" y="1504950"/>
              </a:moveTo>
              <a:cubicBezTo>
                <a:pt x="99218" y="1330325"/>
                <a:pt x="198437" y="1155700"/>
                <a:pt x="352425" y="904875"/>
              </a:cubicBezTo>
              <a:cubicBezTo>
                <a:pt x="506413" y="654050"/>
                <a:pt x="715169" y="327025"/>
                <a:pt x="923925" y="0"/>
              </a:cubicBezTo>
            </a:path>
          </a:pathLst>
        </a:custGeom>
        <a:noFill/>
        <a:ln w="31750">
          <a:solidFill>
            <a:srgbClr val="FFFF00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17</xdr:row>
      <xdr:rowOff>161925</xdr:rowOff>
    </xdr:from>
    <xdr:to>
      <xdr:col>0</xdr:col>
      <xdr:colOff>5228660</xdr:colOff>
      <xdr:row>35</xdr:row>
      <xdr:rowOff>161497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4219575"/>
          <a:ext cx="4523810" cy="34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3095625</xdr:colOff>
      <xdr:row>20</xdr:row>
      <xdr:rowOff>95250</xdr:rowOff>
    </xdr:from>
    <xdr:to>
      <xdr:col>0</xdr:col>
      <xdr:colOff>3452694</xdr:colOff>
      <xdr:row>22</xdr:row>
      <xdr:rowOff>74250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724400"/>
          <a:ext cx="35706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3571875</xdr:colOff>
      <xdr:row>23</xdr:row>
      <xdr:rowOff>66675</xdr:rowOff>
    </xdr:from>
    <xdr:to>
      <xdr:col>0</xdr:col>
      <xdr:colOff>3928944</xdr:colOff>
      <xdr:row>25</xdr:row>
      <xdr:rowOff>45675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5267325"/>
          <a:ext cx="357069" cy="360000"/>
        </a:xfrm>
        <a:prstGeom prst="rect">
          <a:avLst/>
        </a:prstGeom>
      </xdr:spPr>
    </xdr:pic>
    <xdr:clientData/>
  </xdr:twoCellAnchor>
  <xdr:twoCellAnchor>
    <xdr:from>
      <xdr:col>0</xdr:col>
      <xdr:colOff>3095625</xdr:colOff>
      <xdr:row>19</xdr:row>
      <xdr:rowOff>95250</xdr:rowOff>
    </xdr:from>
    <xdr:to>
      <xdr:col>0</xdr:col>
      <xdr:colOff>4048125</xdr:colOff>
      <xdr:row>24</xdr:row>
      <xdr:rowOff>47625</xdr:rowOff>
    </xdr:to>
    <xdr:cxnSp macro="">
      <xdr:nvCxnSpPr>
        <xdr:cNvPr id="7" name="Прямая со стрелкой 6"/>
        <xdr:cNvCxnSpPr/>
      </xdr:nvCxnSpPr>
      <xdr:spPr>
        <a:xfrm flipH="1">
          <a:off x="3095625" y="4533900"/>
          <a:ext cx="952500" cy="904875"/>
        </a:xfrm>
        <a:prstGeom prst="straightConnector1">
          <a:avLst/>
        </a:prstGeom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3228975</xdr:colOff>
      <xdr:row>20</xdr:row>
      <xdr:rowOff>38100</xdr:rowOff>
    </xdr:from>
    <xdr:to>
      <xdr:col>0</xdr:col>
      <xdr:colOff>4181475</xdr:colOff>
      <xdr:row>24</xdr:row>
      <xdr:rowOff>180975</xdr:rowOff>
    </xdr:to>
    <xdr:cxnSp macro="">
      <xdr:nvCxnSpPr>
        <xdr:cNvPr id="8" name="Прямая со стрелкой 7"/>
        <xdr:cNvCxnSpPr/>
      </xdr:nvCxnSpPr>
      <xdr:spPr>
        <a:xfrm flipV="1">
          <a:off x="3228975" y="4667250"/>
          <a:ext cx="952500" cy="904875"/>
        </a:xfrm>
        <a:prstGeom prst="straightConnector1">
          <a:avLst/>
        </a:prstGeom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3505200</xdr:colOff>
      <xdr:row>19</xdr:row>
      <xdr:rowOff>28575</xdr:rowOff>
    </xdr:from>
    <xdr:to>
      <xdr:col>0</xdr:col>
      <xdr:colOff>3857625</xdr:colOff>
      <xdr:row>21</xdr:row>
      <xdr:rowOff>9525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4467225"/>
          <a:ext cx="3524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3181350</xdr:colOff>
      <xdr:row>24</xdr:row>
      <xdr:rowOff>152400</xdr:rowOff>
    </xdr:from>
    <xdr:to>
      <xdr:col>0</xdr:col>
      <xdr:colOff>3533775</xdr:colOff>
      <xdr:row>26</xdr:row>
      <xdr:rowOff>133350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543550"/>
          <a:ext cx="3524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114299</xdr:rowOff>
    </xdr:from>
    <xdr:to>
      <xdr:col>0</xdr:col>
      <xdr:colOff>5840124</xdr:colOff>
      <xdr:row>36</xdr:row>
      <xdr:rowOff>142384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499"/>
          <a:ext cx="5840124" cy="3457085"/>
        </a:xfrm>
        <a:prstGeom prst="rect">
          <a:avLst/>
        </a:prstGeom>
      </xdr:spPr>
    </xdr:pic>
    <xdr:clientData/>
  </xdr:twoCellAnchor>
  <xdr:twoCellAnchor>
    <xdr:from>
      <xdr:col>0</xdr:col>
      <xdr:colOff>2047063</xdr:colOff>
      <xdr:row>26</xdr:row>
      <xdr:rowOff>96357</xdr:rowOff>
    </xdr:from>
    <xdr:to>
      <xdr:col>0</xdr:col>
      <xdr:colOff>2391108</xdr:colOff>
      <xdr:row>27</xdr:row>
      <xdr:rowOff>69937</xdr:rowOff>
    </xdr:to>
    <xdr:sp macro="" textlink="">
      <xdr:nvSpPr>
        <xdr:cNvPr id="3" name="Прямоугольник 2"/>
        <xdr:cNvSpPr/>
      </xdr:nvSpPr>
      <xdr:spPr>
        <a:xfrm rot="-4200000">
          <a:off x="2137046" y="6559574"/>
          <a:ext cx="164080" cy="34404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1742154</xdr:colOff>
      <xdr:row>25</xdr:row>
      <xdr:rowOff>126205</xdr:rowOff>
    </xdr:from>
    <xdr:to>
      <xdr:col>0</xdr:col>
      <xdr:colOff>2073361</xdr:colOff>
      <xdr:row>27</xdr:row>
      <xdr:rowOff>74698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154" y="6488905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1113691</xdr:colOff>
      <xdr:row>24</xdr:row>
      <xdr:rowOff>87923</xdr:rowOff>
    </xdr:from>
    <xdr:to>
      <xdr:col>0</xdr:col>
      <xdr:colOff>2791557</xdr:colOff>
      <xdr:row>26</xdr:row>
      <xdr:rowOff>175846</xdr:rowOff>
    </xdr:to>
    <xdr:cxnSp macro="">
      <xdr:nvCxnSpPr>
        <xdr:cNvPr id="9" name="Прямая со стрелкой 8"/>
        <xdr:cNvCxnSpPr/>
      </xdr:nvCxnSpPr>
      <xdr:spPr>
        <a:xfrm>
          <a:off x="1113691" y="6257192"/>
          <a:ext cx="1677866" cy="468923"/>
        </a:xfrm>
        <a:prstGeom prst="straightConnector1">
          <a:avLst/>
        </a:prstGeom>
        <a:ln w="31750">
          <a:solidFill>
            <a:srgbClr val="FFFF00"/>
          </a:solidFill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770283</xdr:colOff>
      <xdr:row>18</xdr:row>
      <xdr:rowOff>22477</xdr:rowOff>
    </xdr:from>
    <xdr:to>
      <xdr:col>0</xdr:col>
      <xdr:colOff>5360760</xdr:colOff>
      <xdr:row>42</xdr:row>
      <xdr:rowOff>19481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283" y="5138763"/>
          <a:ext cx="4590477" cy="4569004"/>
        </a:xfrm>
        <a:prstGeom prst="rect">
          <a:avLst/>
        </a:prstGeom>
      </xdr:spPr>
    </xdr:pic>
    <xdr:clientData/>
  </xdr:twoCellAnchor>
  <xdr:twoCellAnchor>
    <xdr:from>
      <xdr:col>0</xdr:col>
      <xdr:colOff>3215400</xdr:colOff>
      <xdr:row>28</xdr:row>
      <xdr:rowOff>133878</xdr:rowOff>
    </xdr:from>
    <xdr:to>
      <xdr:col>0</xdr:col>
      <xdr:colOff>3525475</xdr:colOff>
      <xdr:row>29</xdr:row>
      <xdr:rowOff>138494</xdr:rowOff>
    </xdr:to>
    <xdr:sp macro="" textlink="">
      <xdr:nvSpPr>
        <xdr:cNvPr id="3" name="Прямоугольник 2"/>
        <xdr:cNvSpPr/>
      </xdr:nvSpPr>
      <xdr:spPr>
        <a:xfrm rot="2700000">
          <a:off x="3272880" y="7086798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3087142</xdr:colOff>
      <xdr:row>29</xdr:row>
      <xdr:rowOff>168177</xdr:rowOff>
    </xdr:from>
    <xdr:to>
      <xdr:col>0</xdr:col>
      <xdr:colOff>3418342</xdr:colOff>
      <xdr:row>31</xdr:row>
      <xdr:rowOff>119292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142" y="7369077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2839235</xdr:colOff>
      <xdr:row>28</xdr:row>
      <xdr:rowOff>162312</xdr:rowOff>
    </xdr:from>
    <xdr:to>
      <xdr:col>0</xdr:col>
      <xdr:colOff>3170442</xdr:colOff>
      <xdr:row>30</xdr:row>
      <xdr:rowOff>110805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9235" y="7172712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2039826</xdr:colOff>
      <xdr:row>26</xdr:row>
      <xdr:rowOff>42609</xdr:rowOff>
    </xdr:from>
    <xdr:to>
      <xdr:col>0</xdr:col>
      <xdr:colOff>5209761</xdr:colOff>
      <xdr:row>34</xdr:row>
      <xdr:rowOff>142728</xdr:rowOff>
    </xdr:to>
    <xdr:sp macro="" textlink="">
      <xdr:nvSpPr>
        <xdr:cNvPr id="8" name="Полилиния 7"/>
        <xdr:cNvSpPr/>
      </xdr:nvSpPr>
      <xdr:spPr>
        <a:xfrm>
          <a:off x="2039826" y="6682895"/>
          <a:ext cx="3169935" cy="1624119"/>
        </a:xfrm>
        <a:custGeom>
          <a:avLst/>
          <a:gdLst>
            <a:gd name="connsiteX0" fmla="*/ 3169935 w 3169935"/>
            <a:gd name="connsiteY0" fmla="*/ 202315 h 1624119"/>
            <a:gd name="connsiteX1" fmla="*/ 304152 w 3169935"/>
            <a:gd name="connsiteY1" fmla="*/ 86358 h 1624119"/>
            <a:gd name="connsiteX2" fmla="*/ 63957 w 3169935"/>
            <a:gd name="connsiteY2" fmla="*/ 1320467 h 1624119"/>
            <a:gd name="connsiteX3" fmla="*/ 130217 w 3169935"/>
            <a:gd name="connsiteY3" fmla="*/ 1602076 h 1624119"/>
            <a:gd name="connsiteX4" fmla="*/ 842522 w 3169935"/>
            <a:gd name="connsiteY4" fmla="*/ 898054 h 1624119"/>
            <a:gd name="connsiteX5" fmla="*/ 1488565 w 3169935"/>
            <a:gd name="connsiteY5" fmla="*/ 326554 h 1624119"/>
            <a:gd name="connsiteX6" fmla="*/ 3029131 w 3169935"/>
            <a:gd name="connsiteY6" fmla="*/ 359685 h 1624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169935" h="1624119">
              <a:moveTo>
                <a:pt x="3169935" y="202315"/>
              </a:moveTo>
              <a:cubicBezTo>
                <a:pt x="1995875" y="51157"/>
                <a:pt x="821815" y="-100001"/>
                <a:pt x="304152" y="86358"/>
              </a:cubicBezTo>
              <a:cubicBezTo>
                <a:pt x="-213511" y="272717"/>
                <a:pt x="92946" y="1067847"/>
                <a:pt x="63957" y="1320467"/>
              </a:cubicBezTo>
              <a:cubicBezTo>
                <a:pt x="34968" y="1573087"/>
                <a:pt x="456" y="1672478"/>
                <a:pt x="130217" y="1602076"/>
              </a:cubicBezTo>
              <a:cubicBezTo>
                <a:pt x="259978" y="1531674"/>
                <a:pt x="616131" y="1110641"/>
                <a:pt x="842522" y="898054"/>
              </a:cubicBezTo>
              <a:cubicBezTo>
                <a:pt x="1068913" y="685467"/>
                <a:pt x="1124130" y="416282"/>
                <a:pt x="1488565" y="326554"/>
              </a:cubicBezTo>
              <a:cubicBezTo>
                <a:pt x="1853000" y="236826"/>
                <a:pt x="2441065" y="298255"/>
                <a:pt x="3029131" y="359685"/>
              </a:cubicBezTo>
            </a:path>
          </a:pathLst>
        </a:custGeom>
        <a:noFill/>
        <a:ln w="317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18</xdr:row>
      <xdr:rowOff>76200</xdr:rowOff>
    </xdr:from>
    <xdr:to>
      <xdr:col>0</xdr:col>
      <xdr:colOff>5809559</xdr:colOff>
      <xdr:row>40</xdr:row>
      <xdr:rowOff>66153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362575"/>
          <a:ext cx="5533334" cy="4180953"/>
        </a:xfrm>
        <a:prstGeom prst="rect">
          <a:avLst/>
        </a:prstGeom>
      </xdr:spPr>
    </xdr:pic>
    <xdr:clientData/>
  </xdr:twoCellAnchor>
  <xdr:twoCellAnchor>
    <xdr:from>
      <xdr:col>0</xdr:col>
      <xdr:colOff>3853906</xdr:colOff>
      <xdr:row>28</xdr:row>
      <xdr:rowOff>162123</xdr:rowOff>
    </xdr:from>
    <xdr:to>
      <xdr:col>0</xdr:col>
      <xdr:colOff>4049022</xdr:colOff>
      <xdr:row>30</xdr:row>
      <xdr:rowOff>91198</xdr:rowOff>
    </xdr:to>
    <xdr:sp macro="" textlink="">
      <xdr:nvSpPr>
        <xdr:cNvPr id="3" name="Прямоугольник 2"/>
        <xdr:cNvSpPr/>
      </xdr:nvSpPr>
      <xdr:spPr>
        <a:xfrm rot="-2700000">
          <a:off x="3853906" y="7162998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3572917</xdr:colOff>
      <xdr:row>27</xdr:row>
      <xdr:rowOff>149127</xdr:rowOff>
    </xdr:from>
    <xdr:to>
      <xdr:col>0</xdr:col>
      <xdr:colOff>3904117</xdr:colOff>
      <xdr:row>29</xdr:row>
      <xdr:rowOff>100242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917" y="6959502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1914525</xdr:colOff>
      <xdr:row>19</xdr:row>
      <xdr:rowOff>133350</xdr:rowOff>
    </xdr:from>
    <xdr:to>
      <xdr:col>0</xdr:col>
      <xdr:colOff>3771900</xdr:colOff>
      <xdr:row>24</xdr:row>
      <xdr:rowOff>164919</xdr:rowOff>
    </xdr:to>
    <xdr:sp macro="" textlink="">
      <xdr:nvSpPr>
        <xdr:cNvPr id="8" name="Полилиния 7"/>
        <xdr:cNvSpPr/>
      </xdr:nvSpPr>
      <xdr:spPr>
        <a:xfrm>
          <a:off x="1914525" y="5610225"/>
          <a:ext cx="1857375" cy="984069"/>
        </a:xfrm>
        <a:custGeom>
          <a:avLst/>
          <a:gdLst>
            <a:gd name="connsiteX0" fmla="*/ 0 w 1857375"/>
            <a:gd name="connsiteY0" fmla="*/ 276225 h 984069"/>
            <a:gd name="connsiteX1" fmla="*/ 800100 w 1857375"/>
            <a:gd name="connsiteY1" fmla="*/ 866775 h 984069"/>
            <a:gd name="connsiteX2" fmla="*/ 1362075 w 1857375"/>
            <a:gd name="connsiteY2" fmla="*/ 904875 h 984069"/>
            <a:gd name="connsiteX3" fmla="*/ 1857375 w 1857375"/>
            <a:gd name="connsiteY3" fmla="*/ 0 h 9840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57375" h="984069">
              <a:moveTo>
                <a:pt x="0" y="276225"/>
              </a:moveTo>
              <a:cubicBezTo>
                <a:pt x="286544" y="519112"/>
                <a:pt x="573088" y="762000"/>
                <a:pt x="800100" y="866775"/>
              </a:cubicBezTo>
              <a:cubicBezTo>
                <a:pt x="1027112" y="971550"/>
                <a:pt x="1185863" y="1049337"/>
                <a:pt x="1362075" y="904875"/>
              </a:cubicBezTo>
              <a:cubicBezTo>
                <a:pt x="1538287" y="760413"/>
                <a:pt x="1697831" y="380206"/>
                <a:pt x="1857375" y="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1677866</xdr:colOff>
      <xdr:row>28</xdr:row>
      <xdr:rowOff>149270</xdr:rowOff>
    </xdr:from>
    <xdr:to>
      <xdr:col>0</xdr:col>
      <xdr:colOff>4200525</xdr:colOff>
      <xdr:row>34</xdr:row>
      <xdr:rowOff>53367</xdr:rowOff>
    </xdr:to>
    <xdr:sp macro="" textlink="">
      <xdr:nvSpPr>
        <xdr:cNvPr id="9" name="Полилиния 8"/>
        <xdr:cNvSpPr/>
      </xdr:nvSpPr>
      <xdr:spPr>
        <a:xfrm>
          <a:off x="1677866" y="7340645"/>
          <a:ext cx="2522659" cy="1047097"/>
        </a:xfrm>
        <a:custGeom>
          <a:avLst/>
          <a:gdLst>
            <a:gd name="connsiteX0" fmla="*/ 55684 w 2522659"/>
            <a:gd name="connsiteY0" fmla="*/ 1012780 h 1047097"/>
            <a:gd name="connsiteX1" fmla="*/ 103309 w 2522659"/>
            <a:gd name="connsiteY1" fmla="*/ 965155 h 1047097"/>
            <a:gd name="connsiteX2" fmla="*/ 998659 w 2522659"/>
            <a:gd name="connsiteY2" fmla="*/ 298405 h 1047097"/>
            <a:gd name="connsiteX3" fmla="*/ 1446334 w 2522659"/>
            <a:gd name="connsiteY3" fmla="*/ 3130 h 1047097"/>
            <a:gd name="connsiteX4" fmla="*/ 2094034 w 2522659"/>
            <a:gd name="connsiteY4" fmla="*/ 174580 h 1047097"/>
            <a:gd name="connsiteX5" fmla="*/ 2522659 w 2522659"/>
            <a:gd name="connsiteY5" fmla="*/ 650830 h 10470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522659" h="1047097">
              <a:moveTo>
                <a:pt x="55684" y="1012780"/>
              </a:moveTo>
              <a:cubicBezTo>
                <a:pt x="915" y="1048499"/>
                <a:pt x="-53854" y="1084218"/>
                <a:pt x="103309" y="965155"/>
              </a:cubicBezTo>
              <a:cubicBezTo>
                <a:pt x="260472" y="846092"/>
                <a:pt x="774822" y="458742"/>
                <a:pt x="998659" y="298405"/>
              </a:cubicBezTo>
              <a:cubicBezTo>
                <a:pt x="1222496" y="138068"/>
                <a:pt x="1263772" y="23767"/>
                <a:pt x="1446334" y="3130"/>
              </a:cubicBezTo>
              <a:cubicBezTo>
                <a:pt x="1628896" y="-17507"/>
                <a:pt x="1914647" y="66630"/>
                <a:pt x="2094034" y="174580"/>
              </a:cubicBezTo>
              <a:cubicBezTo>
                <a:pt x="2273421" y="282530"/>
                <a:pt x="2398040" y="466680"/>
                <a:pt x="2522659" y="65083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2371725</xdr:colOff>
      <xdr:row>20</xdr:row>
      <xdr:rowOff>142875</xdr:rowOff>
    </xdr:from>
    <xdr:to>
      <xdr:col>0</xdr:col>
      <xdr:colOff>3343275</xdr:colOff>
      <xdr:row>22</xdr:row>
      <xdr:rowOff>95250</xdr:rowOff>
    </xdr:to>
    <xdr:sp macro="" textlink="">
      <xdr:nvSpPr>
        <xdr:cNvPr id="10" name="TextBox 9"/>
        <xdr:cNvSpPr txBox="1"/>
      </xdr:nvSpPr>
      <xdr:spPr>
        <a:xfrm>
          <a:off x="2371725" y="5619750"/>
          <a:ext cx="97155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1 проезд</a:t>
          </a:r>
        </a:p>
      </xdr:txBody>
    </xdr:sp>
    <xdr:clientData/>
  </xdr:twoCellAnchor>
  <xdr:twoCellAnchor>
    <xdr:from>
      <xdr:col>0</xdr:col>
      <xdr:colOff>1628775</xdr:colOff>
      <xdr:row>26</xdr:row>
      <xdr:rowOff>76200</xdr:rowOff>
    </xdr:from>
    <xdr:to>
      <xdr:col>0</xdr:col>
      <xdr:colOff>2600325</xdr:colOff>
      <xdr:row>30</xdr:row>
      <xdr:rowOff>19050</xdr:rowOff>
    </xdr:to>
    <xdr:sp macro="" textlink="">
      <xdr:nvSpPr>
        <xdr:cNvPr id="11" name="TextBox 10"/>
        <xdr:cNvSpPr txBox="1"/>
      </xdr:nvSpPr>
      <xdr:spPr>
        <a:xfrm>
          <a:off x="1628775" y="6696075"/>
          <a:ext cx="9715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2 проезд (через полчаса)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114300</xdr:rowOff>
    </xdr:from>
    <xdr:to>
      <xdr:col>0</xdr:col>
      <xdr:colOff>5504827</xdr:colOff>
      <xdr:row>38</xdr:row>
      <xdr:rowOff>47205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591175"/>
          <a:ext cx="4990477" cy="3361905"/>
        </a:xfrm>
        <a:prstGeom prst="rect">
          <a:avLst/>
        </a:prstGeom>
      </xdr:spPr>
    </xdr:pic>
    <xdr:clientData/>
  </xdr:twoCellAnchor>
  <xdr:twoCellAnchor>
    <xdr:from>
      <xdr:col>0</xdr:col>
      <xdr:colOff>2642839</xdr:colOff>
      <xdr:row>30</xdr:row>
      <xdr:rowOff>180604</xdr:rowOff>
    </xdr:from>
    <xdr:to>
      <xdr:col>0</xdr:col>
      <xdr:colOff>2940221</xdr:colOff>
      <xdr:row>31</xdr:row>
      <xdr:rowOff>146300</xdr:rowOff>
    </xdr:to>
    <xdr:sp macro="" textlink="">
      <xdr:nvSpPr>
        <xdr:cNvPr id="3" name="Прямоугольник 2"/>
        <xdr:cNvSpPr/>
      </xdr:nvSpPr>
      <xdr:spPr>
        <a:xfrm rot="-3960000">
          <a:off x="2713432" y="7491886"/>
          <a:ext cx="156196" cy="297382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1752600</xdr:colOff>
      <xdr:row>29</xdr:row>
      <xdr:rowOff>47625</xdr:rowOff>
    </xdr:from>
    <xdr:to>
      <xdr:col>0</xdr:col>
      <xdr:colOff>3013428</xdr:colOff>
      <xdr:row>30</xdr:row>
      <xdr:rowOff>181977</xdr:rowOff>
    </xdr:to>
    <xdr:sp macro="" textlink="">
      <xdr:nvSpPr>
        <xdr:cNvPr id="10" name="Полилиния 9"/>
        <xdr:cNvSpPr/>
      </xdr:nvSpPr>
      <xdr:spPr>
        <a:xfrm>
          <a:off x="1752600" y="7239000"/>
          <a:ext cx="1260828" cy="324852"/>
        </a:xfrm>
        <a:custGeom>
          <a:avLst/>
          <a:gdLst>
            <a:gd name="connsiteX0" fmla="*/ 0 w 1260828"/>
            <a:gd name="connsiteY0" fmla="*/ 123825 h 324852"/>
            <a:gd name="connsiteX1" fmla="*/ 95250 w 1260828"/>
            <a:gd name="connsiteY1" fmla="*/ 142875 h 324852"/>
            <a:gd name="connsiteX2" fmla="*/ 495300 w 1260828"/>
            <a:gd name="connsiteY2" fmla="*/ 238125 h 324852"/>
            <a:gd name="connsiteX3" fmla="*/ 904875 w 1260828"/>
            <a:gd name="connsiteY3" fmla="*/ 323850 h 324852"/>
            <a:gd name="connsiteX4" fmla="*/ 1238250 w 1260828"/>
            <a:gd name="connsiteY4" fmla="*/ 266700 h 324852"/>
            <a:gd name="connsiteX5" fmla="*/ 1181100 w 1260828"/>
            <a:gd name="connsiteY5" fmla="*/ 19050 h 324852"/>
            <a:gd name="connsiteX6" fmla="*/ 781050 w 1260828"/>
            <a:gd name="connsiteY6" fmla="*/ 57150 h 324852"/>
            <a:gd name="connsiteX7" fmla="*/ 66675 w 1260828"/>
            <a:gd name="connsiteY7" fmla="*/ 0 h 3248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260828" h="324852">
              <a:moveTo>
                <a:pt x="0" y="123825"/>
              </a:moveTo>
              <a:cubicBezTo>
                <a:pt x="6350" y="123825"/>
                <a:pt x="95250" y="142875"/>
                <a:pt x="95250" y="142875"/>
              </a:cubicBezTo>
              <a:lnTo>
                <a:pt x="495300" y="238125"/>
              </a:lnTo>
              <a:cubicBezTo>
                <a:pt x="630237" y="268287"/>
                <a:pt x="781050" y="319088"/>
                <a:pt x="904875" y="323850"/>
              </a:cubicBezTo>
              <a:cubicBezTo>
                <a:pt x="1028700" y="328612"/>
                <a:pt x="1192213" y="317500"/>
                <a:pt x="1238250" y="266700"/>
              </a:cubicBezTo>
              <a:cubicBezTo>
                <a:pt x="1284288" y="215900"/>
                <a:pt x="1257300" y="53975"/>
                <a:pt x="1181100" y="19050"/>
              </a:cubicBezTo>
              <a:cubicBezTo>
                <a:pt x="1104900" y="-15875"/>
                <a:pt x="966788" y="60325"/>
                <a:pt x="781050" y="57150"/>
              </a:cubicBezTo>
              <a:cubicBezTo>
                <a:pt x="595313" y="53975"/>
                <a:pt x="330994" y="26987"/>
                <a:pt x="66675" y="0"/>
              </a:cubicBezTo>
            </a:path>
          </a:pathLst>
        </a:custGeom>
        <a:noFill/>
        <a:ln w="317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2447925</xdr:colOff>
      <xdr:row>30</xdr:row>
      <xdr:rowOff>79943</xdr:rowOff>
    </xdr:from>
    <xdr:to>
      <xdr:col>0</xdr:col>
      <xdr:colOff>2733675</xdr:colOff>
      <xdr:row>31</xdr:row>
      <xdr:rowOff>171279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47925" y="7461818"/>
          <a:ext cx="285750" cy="2818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142875</xdr:rowOff>
    </xdr:from>
    <xdr:to>
      <xdr:col>9</xdr:col>
      <xdr:colOff>479971</xdr:colOff>
      <xdr:row>0</xdr:row>
      <xdr:rowOff>577453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142875"/>
          <a:ext cx="880021" cy="434578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</xdr:row>
      <xdr:rowOff>95250</xdr:rowOff>
    </xdr:from>
    <xdr:to>
      <xdr:col>9</xdr:col>
      <xdr:colOff>479971</xdr:colOff>
      <xdr:row>21</xdr:row>
      <xdr:rowOff>529828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5448300"/>
          <a:ext cx="880021" cy="4345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414618</xdr:colOff>
      <xdr:row>0</xdr:row>
      <xdr:rowOff>134470</xdr:rowOff>
    </xdr:from>
    <xdr:to>
      <xdr:col>12</xdr:col>
      <xdr:colOff>442992</xdr:colOff>
      <xdr:row>0</xdr:row>
      <xdr:rowOff>569048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7442" y="134470"/>
          <a:ext cx="880021" cy="4345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0</xdr:row>
      <xdr:rowOff>123825</xdr:rowOff>
    </xdr:from>
    <xdr:to>
      <xdr:col>7</xdr:col>
      <xdr:colOff>327571</xdr:colOff>
      <xdr:row>0</xdr:row>
      <xdr:rowOff>558403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123825"/>
          <a:ext cx="880021" cy="4345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594168</xdr:colOff>
      <xdr:row>33</xdr:row>
      <xdr:rowOff>5220</xdr:rowOff>
    </xdr:from>
    <xdr:to>
      <xdr:col>3</xdr:col>
      <xdr:colOff>141175</xdr:colOff>
      <xdr:row>36</xdr:row>
      <xdr:rowOff>153720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768" y="7225170"/>
          <a:ext cx="766207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230029</xdr:colOff>
      <xdr:row>33</xdr:row>
      <xdr:rowOff>5220</xdr:rowOff>
    </xdr:from>
    <xdr:to>
      <xdr:col>8</xdr:col>
      <xdr:colOff>333246</xdr:colOff>
      <xdr:row>36</xdr:row>
      <xdr:rowOff>153720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7229" y="7225170"/>
          <a:ext cx="712817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564780</xdr:colOff>
      <xdr:row>33</xdr:row>
      <xdr:rowOff>5220</xdr:rowOff>
    </xdr:from>
    <xdr:to>
      <xdr:col>6</xdr:col>
      <xdr:colOff>23060</xdr:colOff>
      <xdr:row>36</xdr:row>
      <xdr:rowOff>153720</xdr:rowOff>
    </xdr:to>
    <xdr:pic>
      <xdr:nvPicPr>
        <xdr:cNvPr id="4" name="Рисунок 3" descr="https://a.d-cd.net/e3650c6s-960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80" y="7225170"/>
          <a:ext cx="67748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349780</xdr:colOff>
      <xdr:row>37</xdr:row>
      <xdr:rowOff>189252</xdr:rowOff>
    </xdr:from>
    <xdr:to>
      <xdr:col>5</xdr:col>
      <xdr:colOff>350596</xdr:colOff>
      <xdr:row>41</xdr:row>
      <xdr:rowOff>147252</xdr:rowOff>
    </xdr:to>
    <xdr:pic>
      <xdr:nvPicPr>
        <xdr:cNvPr id="5" name="Рисунок 4" descr="logo kka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180" y="8171202"/>
          <a:ext cx="61041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251930</xdr:colOff>
      <xdr:row>37</xdr:row>
      <xdr:rowOff>189252</xdr:rowOff>
    </xdr:from>
    <xdr:to>
      <xdr:col>3</xdr:col>
      <xdr:colOff>331327</xdr:colOff>
      <xdr:row>41</xdr:row>
      <xdr:rowOff>147252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530" y="8171202"/>
          <a:ext cx="1298597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248313</xdr:colOff>
      <xdr:row>37</xdr:row>
      <xdr:rowOff>189252</xdr:rowOff>
    </xdr:from>
    <xdr:to>
      <xdr:col>9</xdr:col>
      <xdr:colOff>43885</xdr:colOff>
      <xdr:row>41</xdr:row>
      <xdr:rowOff>147252</xdr:rowOff>
    </xdr:to>
    <xdr:pic>
      <xdr:nvPicPr>
        <xdr:cNvPr id="7" name="Рисунок 6" descr="856a6cds-9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913" y="8171202"/>
          <a:ext cx="1624372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369794</xdr:colOff>
      <xdr:row>6</xdr:row>
      <xdr:rowOff>89646</xdr:rowOff>
    </xdr:from>
    <xdr:to>
      <xdr:col>9</xdr:col>
      <xdr:colOff>212026</xdr:colOff>
      <xdr:row>20</xdr:row>
      <xdr:rowOff>31739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1333499"/>
          <a:ext cx="5288291" cy="2609093"/>
        </a:xfrm>
        <a:prstGeom prst="rect">
          <a:avLst/>
        </a:prstGeom>
      </xdr:spPr>
    </xdr:pic>
    <xdr:clientData/>
  </xdr:twoCellAnchor>
  <xdr:twoCellAnchor>
    <xdr:from>
      <xdr:col>9</xdr:col>
      <xdr:colOff>123264</xdr:colOff>
      <xdr:row>1</xdr:row>
      <xdr:rowOff>123266</xdr:rowOff>
    </xdr:from>
    <xdr:to>
      <xdr:col>9</xdr:col>
      <xdr:colOff>403411</xdr:colOff>
      <xdr:row>3</xdr:row>
      <xdr:rowOff>22413</xdr:rowOff>
    </xdr:to>
    <xdr:sp macro="" textlink="">
      <xdr:nvSpPr>
        <xdr:cNvPr id="10" name="Овал 9"/>
        <xdr:cNvSpPr/>
      </xdr:nvSpPr>
      <xdr:spPr>
        <a:xfrm>
          <a:off x="5569323" y="414619"/>
          <a:ext cx="280147" cy="280147"/>
        </a:xfrm>
        <a:prstGeom prst="ellipse">
          <a:avLst/>
        </a:prstGeom>
        <a:solidFill>
          <a:srgbClr val="92D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594168</xdr:colOff>
      <xdr:row>32</xdr:row>
      <xdr:rowOff>5220</xdr:rowOff>
    </xdr:from>
    <xdr:to>
      <xdr:col>3</xdr:col>
      <xdr:colOff>141175</xdr:colOff>
      <xdr:row>35</xdr:row>
      <xdr:rowOff>153720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304" y="7330811"/>
          <a:ext cx="75928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230029</xdr:colOff>
      <xdr:row>32</xdr:row>
      <xdr:rowOff>5220</xdr:rowOff>
    </xdr:from>
    <xdr:to>
      <xdr:col>8</xdr:col>
      <xdr:colOff>333246</xdr:colOff>
      <xdr:row>35</xdr:row>
      <xdr:rowOff>153720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84" y="7330811"/>
          <a:ext cx="709353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564780</xdr:colOff>
      <xdr:row>32</xdr:row>
      <xdr:rowOff>5220</xdr:rowOff>
    </xdr:from>
    <xdr:to>
      <xdr:col>6</xdr:col>
      <xdr:colOff>23060</xdr:colOff>
      <xdr:row>35</xdr:row>
      <xdr:rowOff>153720</xdr:rowOff>
    </xdr:to>
    <xdr:pic>
      <xdr:nvPicPr>
        <xdr:cNvPr id="4" name="Рисунок 3" descr="https://a.d-cd.net/e3650c6s-960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9325" y="7330811"/>
          <a:ext cx="670553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349780</xdr:colOff>
      <xdr:row>36</xdr:row>
      <xdr:rowOff>189252</xdr:rowOff>
    </xdr:from>
    <xdr:to>
      <xdr:col>5</xdr:col>
      <xdr:colOff>350596</xdr:colOff>
      <xdr:row>40</xdr:row>
      <xdr:rowOff>147252</xdr:rowOff>
    </xdr:to>
    <xdr:pic>
      <xdr:nvPicPr>
        <xdr:cNvPr id="5" name="Рисунок 4" descr="logo kka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325" y="8276843"/>
          <a:ext cx="606953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251930</xdr:colOff>
      <xdr:row>36</xdr:row>
      <xdr:rowOff>189252</xdr:rowOff>
    </xdr:from>
    <xdr:to>
      <xdr:col>3</xdr:col>
      <xdr:colOff>331327</xdr:colOff>
      <xdr:row>40</xdr:row>
      <xdr:rowOff>147252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66" y="8276843"/>
          <a:ext cx="12916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248313</xdr:colOff>
      <xdr:row>36</xdr:row>
      <xdr:rowOff>189252</xdr:rowOff>
    </xdr:from>
    <xdr:to>
      <xdr:col>9</xdr:col>
      <xdr:colOff>43885</xdr:colOff>
      <xdr:row>40</xdr:row>
      <xdr:rowOff>147252</xdr:rowOff>
    </xdr:to>
    <xdr:pic>
      <xdr:nvPicPr>
        <xdr:cNvPr id="7" name="Рисунок 6" descr="856a6cds-9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131" y="8276843"/>
          <a:ext cx="161398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392206</xdr:colOff>
      <xdr:row>5</xdr:row>
      <xdr:rowOff>89647</xdr:rowOff>
    </xdr:from>
    <xdr:to>
      <xdr:col>9</xdr:col>
      <xdr:colOff>234438</xdr:colOff>
      <xdr:row>19</xdr:row>
      <xdr:rowOff>31740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6" y="1288676"/>
          <a:ext cx="5288291" cy="2609093"/>
        </a:xfrm>
        <a:prstGeom prst="rect">
          <a:avLst/>
        </a:prstGeom>
      </xdr:spPr>
    </xdr:pic>
    <xdr:clientData/>
  </xdr:twoCellAnchor>
  <xdr:twoCellAnchor>
    <xdr:from>
      <xdr:col>9</xdr:col>
      <xdr:colOff>145676</xdr:colOff>
      <xdr:row>2</xdr:row>
      <xdr:rowOff>134471</xdr:rowOff>
    </xdr:from>
    <xdr:to>
      <xdr:col>9</xdr:col>
      <xdr:colOff>425823</xdr:colOff>
      <xdr:row>4</xdr:row>
      <xdr:rowOff>33618</xdr:rowOff>
    </xdr:to>
    <xdr:sp macro="" textlink="">
      <xdr:nvSpPr>
        <xdr:cNvPr id="10" name="Овал 9"/>
        <xdr:cNvSpPr/>
      </xdr:nvSpPr>
      <xdr:spPr>
        <a:xfrm>
          <a:off x="5591735" y="762000"/>
          <a:ext cx="280147" cy="280147"/>
        </a:xfrm>
        <a:prstGeom prst="ellipse">
          <a:avLst/>
        </a:prstGeom>
        <a:solidFill>
          <a:srgbClr val="FFC0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74625</xdr:colOff>
      <xdr:row>0</xdr:row>
      <xdr:rowOff>142876</xdr:rowOff>
    </xdr:from>
    <xdr:to>
      <xdr:col>6</xdr:col>
      <xdr:colOff>442677</xdr:colOff>
      <xdr:row>0</xdr:row>
      <xdr:rowOff>577454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500" y="142876"/>
          <a:ext cx="880021" cy="4345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319368</xdr:colOff>
      <xdr:row>3</xdr:row>
      <xdr:rowOff>123265</xdr:rowOff>
    </xdr:from>
    <xdr:to>
      <xdr:col>5</xdr:col>
      <xdr:colOff>301492</xdr:colOff>
      <xdr:row>3</xdr:row>
      <xdr:rowOff>732918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082" y="803622"/>
          <a:ext cx="608053" cy="609653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329173</xdr:colOff>
      <xdr:row>3</xdr:row>
      <xdr:rowOff>123265</xdr:rowOff>
    </xdr:from>
    <xdr:to>
      <xdr:col>7</xdr:col>
      <xdr:colOff>311296</xdr:colOff>
      <xdr:row>3</xdr:row>
      <xdr:rowOff>732918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073" y="809065"/>
          <a:ext cx="610773" cy="609653"/>
        </a:xfrm>
        <a:prstGeom prst="rect">
          <a:avLst/>
        </a:prstGeom>
      </xdr:spPr>
    </xdr:pic>
    <xdr:clientData/>
  </xdr:twoCellAnchor>
  <xdr:oneCellAnchor>
    <xdr:from>
      <xdr:col>6</xdr:col>
      <xdr:colOff>324971</xdr:colOff>
      <xdr:row>4</xdr:row>
      <xdr:rowOff>123265</xdr:rowOff>
    </xdr:from>
    <xdr:ext cx="609653" cy="609653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1" y="1742515"/>
          <a:ext cx="609653" cy="609653"/>
        </a:xfrm>
        <a:prstGeom prst="rect">
          <a:avLst/>
        </a:prstGeom>
      </xdr:spPr>
    </xdr:pic>
    <xdr:clientData/>
  </xdr:oneCellAnchor>
  <xdr:twoCellAnchor editAs="oneCell">
    <xdr:from>
      <xdr:col>4</xdr:col>
      <xdr:colOff>319368</xdr:colOff>
      <xdr:row>5</xdr:row>
      <xdr:rowOff>151279</xdr:rowOff>
    </xdr:from>
    <xdr:to>
      <xdr:col>5</xdr:col>
      <xdr:colOff>301492</xdr:colOff>
      <xdr:row>5</xdr:row>
      <xdr:rowOff>760932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082" y="2709422"/>
          <a:ext cx="608053" cy="609653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329173</xdr:colOff>
      <xdr:row>5</xdr:row>
      <xdr:rowOff>151279</xdr:rowOff>
    </xdr:from>
    <xdr:to>
      <xdr:col>7</xdr:col>
      <xdr:colOff>311296</xdr:colOff>
      <xdr:row>5</xdr:row>
      <xdr:rowOff>760932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073" y="2723029"/>
          <a:ext cx="610773" cy="609653"/>
        </a:xfrm>
        <a:prstGeom prst="rect">
          <a:avLst/>
        </a:prstGeom>
      </xdr:spPr>
    </xdr:pic>
    <xdr:clientData/>
  </xdr:twoCellAnchor>
  <xdr:oneCellAnchor>
    <xdr:from>
      <xdr:col>6</xdr:col>
      <xdr:colOff>324971</xdr:colOff>
      <xdr:row>6</xdr:row>
      <xdr:rowOff>112059</xdr:rowOff>
    </xdr:from>
    <xdr:ext cx="609653" cy="609653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1" y="3636309"/>
          <a:ext cx="609653" cy="609653"/>
        </a:xfrm>
        <a:prstGeom prst="rect">
          <a:avLst/>
        </a:prstGeom>
      </xdr:spPr>
    </xdr:pic>
    <xdr:clientData/>
  </xdr:oneCellAnchor>
  <xdr:twoCellAnchor editAs="oneCell">
    <xdr:from>
      <xdr:col>4</xdr:col>
      <xdr:colOff>319368</xdr:colOff>
      <xdr:row>7</xdr:row>
      <xdr:rowOff>162486</xdr:rowOff>
    </xdr:from>
    <xdr:to>
      <xdr:col>5</xdr:col>
      <xdr:colOff>301492</xdr:colOff>
      <xdr:row>7</xdr:row>
      <xdr:rowOff>772139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082" y="4598415"/>
          <a:ext cx="608053" cy="609653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329173</xdr:colOff>
      <xdr:row>7</xdr:row>
      <xdr:rowOff>162486</xdr:rowOff>
    </xdr:from>
    <xdr:to>
      <xdr:col>7</xdr:col>
      <xdr:colOff>311296</xdr:colOff>
      <xdr:row>7</xdr:row>
      <xdr:rowOff>772139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349" y="4611221"/>
          <a:ext cx="609653" cy="609653"/>
        </a:xfrm>
        <a:prstGeom prst="rect">
          <a:avLst/>
        </a:prstGeom>
      </xdr:spPr>
    </xdr:pic>
    <xdr:clientData/>
  </xdr:twoCellAnchor>
  <xdr:oneCellAnchor>
    <xdr:from>
      <xdr:col>7</xdr:col>
      <xdr:colOff>67235</xdr:colOff>
      <xdr:row>8</xdr:row>
      <xdr:rowOff>156883</xdr:rowOff>
    </xdr:from>
    <xdr:ext cx="609653" cy="609653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9941" y="5546912"/>
          <a:ext cx="609653" cy="609653"/>
        </a:xfrm>
        <a:prstGeom prst="rect">
          <a:avLst/>
        </a:prstGeom>
      </xdr:spPr>
    </xdr:pic>
    <xdr:clientData/>
  </xdr:oneCellAnchor>
  <xdr:twoCellAnchor editAs="oneCell">
    <xdr:from>
      <xdr:col>5</xdr:col>
      <xdr:colOff>571501</xdr:colOff>
      <xdr:row>8</xdr:row>
      <xdr:rowOff>156883</xdr:rowOff>
    </xdr:from>
    <xdr:to>
      <xdr:col>6</xdr:col>
      <xdr:colOff>553625</xdr:colOff>
      <xdr:row>8</xdr:row>
      <xdr:rowOff>766536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148" y="5546912"/>
          <a:ext cx="609653" cy="609653"/>
        </a:xfrm>
        <a:prstGeom prst="rect">
          <a:avLst/>
        </a:prstGeom>
      </xdr:spPr>
    </xdr:pic>
    <xdr:clientData/>
  </xdr:twoCellAnchor>
  <xdr:oneCellAnchor>
    <xdr:from>
      <xdr:col>6</xdr:col>
      <xdr:colOff>324971</xdr:colOff>
      <xdr:row>9</xdr:row>
      <xdr:rowOff>156883</xdr:rowOff>
    </xdr:from>
    <xdr:ext cx="609653" cy="609653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1" y="6538633"/>
          <a:ext cx="609653" cy="609653"/>
        </a:xfrm>
        <a:prstGeom prst="rect">
          <a:avLst/>
        </a:prstGeom>
      </xdr:spPr>
    </xdr:pic>
    <xdr:clientData/>
  </xdr:oneCellAnchor>
  <xdr:oneCellAnchor>
    <xdr:from>
      <xdr:col>6</xdr:col>
      <xdr:colOff>329173</xdr:colOff>
      <xdr:row>10</xdr:row>
      <xdr:rowOff>77640</xdr:rowOff>
    </xdr:from>
    <xdr:ext cx="608052" cy="609653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744" y="8269140"/>
          <a:ext cx="608052" cy="609653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id="2" name="суперМЛ" displayName="суперМЛ" ref="A9:S70" totalsRowCount="1">
  <autoFilter ref="A9:S69"/>
  <tableColumns count="19">
    <tableColumn id="1" name="Судейский пункт" totalsRowLabel="Итого по ралли:" dataDxfId="346" totalsRowDxfId="345"/>
    <tableColumn id="2" name="Дистанция дорожного сектора, км" totalsRowFunction="sum" dataDxfId="344" totalsRowDxfId="343">
      <calculatedColumnFormula>IF(AND(LEFT(A10,2)="КВ",H10&gt;0),H10,"")</calculatedColumnFormula>
    </tableColumn>
    <tableColumn id="3" name="Норма времени, чч:мм" totalsRowFunction="sum" dataDxfId="342" totalsRowDxfId="341"/>
    <tableColumn id="4" name="Нейтрализация на секторе" totalsRowFunction="sum" dataDxfId="340" totalsRowDxfId="339">
      <calculatedColumnFormula>IF(AND(LEFT(A10,2)="КВ",L10&gt;0),L10,0)</calculatedColumnFormula>
    </tableColumn>
    <tableColumn id="5" name="Средняя скорость, км/ч" dataDxfId="338" totalsRowDxfId="337">
      <calculatedColumnFormula>IF(AND(LEFT(A10,2)="КВ",ISNUMBER(C10)),B10/(C10-D10)/24,"")</calculatedColumnFormula>
    </tableColumn>
    <tableColumn id="6" name="Дистанция ДС, км" dataDxfId="336" totalsRowDxfId="335"/>
    <tableColumn id="7" name="Расчетное время прибытия 1-го экипажа" dataDxfId="334" totalsRowDxfId="333">
      <calculatedColumnFormula>IF(ROW()=10,старт,G9+M10+K9)</calculatedColumnFormula>
    </tableColumn>
    <tableColumn id="8" name="Расстояние внутри сектора" dataDxfId="332" totalsRowDxfId="331"/>
    <tableColumn id="9" name="Дельта" dataDxfId="330" totalsRowDxfId="329">
      <calculatedColumnFormula>IF(AND(LEFT(A9,2)&lt;&gt;"КВ",ROW()&gt;10),H10-H9,H10)</calculatedColumnFormula>
    </tableColumn>
    <tableColumn id="10" name="Скорость на дельте" dataDxfId="328" totalsRowDxfId="327">
      <calculatedColumnFormula>IFERROR(VLOOKUP("КВ*",A10:G$69,5,FALSE),0)</calculatedColumnFormula>
    </tableColumn>
    <tableColumn id="11" name="Нейтрализация, чч:мм" dataDxfId="326" totalsRowDxfId="325"/>
    <tableColumn id="12" name="Нейтрализация, накопление на секторе" dataDxfId="324" totalsRowDxfId="323">
      <calculatedColumnFormula>IF(AND(LEFT(A9,2)&lt;&gt;"КВ",ROW()&gt;10),L9+K10,0)</calculatedColumnFormula>
    </tableColumn>
    <tableColumn id="13" name="Время на дельте при скорости дорожного сектора" dataDxfId="322" totalsRowDxfId="321">
      <calculatedColumnFormula>IF(AND(J10&lt;&gt;"",J10&lt;&gt;0),I10/J10/24,0)</calculatedColumnFormula>
    </tableColumn>
    <tableColumn id="14" name="Судьи" totalsRowDxfId="320"/>
    <tableColumn id="15" name="Щиты" totalsRowDxfId="319"/>
    <tableColumn id="16" name="GPS" totalsRowDxfId="318"/>
    <tableColumn id="17" name="GPS2" totalsRowDxfId="317"/>
    <tableColumn id="18" name="словесное описание" totalsRowDxfId="316"/>
    <tableColumn id="19" name="откуда едут экипажи" totalsRowFunction="count" totalsRowDxfId="315"/>
  </tableColumns>
  <tableStyleInfo name="тюльпаны 2" showFirstColumn="0" showLastColumn="0" showRowStripes="1" showColumnStripes="0"/>
</table>
</file>

<file path=xl/tables/table10.xml><?xml version="1.0" encoding="utf-8"?>
<table xmlns="http://schemas.openxmlformats.org/spreadsheetml/2006/main" id="10" name="итоговыеПро911" displayName="итоговыеПро911" ref="A45:F106" totalsRowCount="1" headerRowDxfId="174" dataDxfId="173" totalsRowDxfId="172" tableBorderDxfId="171">
  <tableColumns count="6">
    <tableColumn id="1" name="Место итог." dataDxfId="170" totalsRowDxfId="158"/>
    <tableColumn id="2" name="Старт. номер" totalsRowFunction="count" dataDxfId="169" totalsRowDxfId="157"/>
    <tableColumn id="4" name="Водитель 1" totalsRowLabel="&lt;--стартовало" dataDxfId="168" totalsRowDxfId="156"/>
    <tableColumn id="5" name="Водитель 2" dataDxfId="167" totalsRowDxfId="155"/>
    <tableColumn id="6" name="Город" totalsRowLabel="DNF--&gt;" dataDxfId="166" totalsRowDxfId="154"/>
    <tableColumn id="7" name="Пенализация, итого" totalsRowFunction="custom" dataDxfId="165" totalsRowDxfId="153">
      <totalsRowFormula>COUNTIF(итоговыеПро911[Пенализация, итого],"DNF")</totalsRowFormula>
    </tableColumn>
  </tableColumns>
  <tableStyleInfo name="тюльпаны 2" showFirstColumn="0" showLastColumn="0" showRowStripes="1" showColumnStripes="0"/>
</table>
</file>

<file path=xl/tables/table2.xml><?xml version="1.0" encoding="utf-8"?>
<table xmlns="http://schemas.openxmlformats.org/spreadsheetml/2006/main" id="3" name="заявки" displayName="заявки" ref="A9:N70" totalsRowCount="1" headerRowDxfId="314" dataDxfId="313">
  <autoFilter ref="A9:N69">
    <filterColumn colId="1">
      <customFilters>
        <customFilter operator="notEqual" val=" "/>
      </customFilters>
    </filterColumn>
  </autoFilter>
  <tableColumns count="14">
    <tableColumn id="1" name="№ п/п" totalsRowLabel="Итого:" dataDxfId="312" totalsRowDxfId="311"/>
    <tableColumn id="2" name="Ст. №" totalsRowFunction="count" dataDxfId="310" totalsRowDxfId="309"/>
    <tableColumn id="3" name="Зачет" dataDxfId="308" totalsRowDxfId="307"/>
    <tableColumn id="4" name="Марка, модель автомобиля" dataDxfId="306" totalsRowDxfId="305"/>
    <tableColumn id="5" name="Госномер" dataDxfId="304" totalsRowDxfId="303"/>
    <tableColumn id="6" name="1-й пилот" dataDxfId="302" totalsRowDxfId="301"/>
    <tableColumn id="7" name="Подпись" dataDxfId="300" totalsRowDxfId="299"/>
    <tableColumn id="8" name="Контактный телефон" dataDxfId="298" totalsRowDxfId="297"/>
    <tableColumn id="9" name="Город" dataDxfId="296" totalsRowDxfId="295"/>
    <tableColumn id="10" name="2-й пилот" dataDxfId="294" totalsRowDxfId="293"/>
    <tableColumn id="11" name="Подпись " dataDxfId="292" totalsRowDxfId="291"/>
    <tableColumn id="12" name="Контактный телефон " dataDxfId="290" totalsRowDxfId="289"/>
    <tableColumn id="13" name="Город " dataDxfId="288" totalsRowDxfId="287"/>
    <tableColumn id="14" name="Город/Город" dataDxfId="286" totalsRowDxfId="285">
      <calculatedColumnFormula>IF(заявки[[#This Row],[Город]]=заявки[[#This Row],[Город ]],заявки[[#This Row],[Город]],заявки[[#This Row],[Город]]&amp;" / "&amp;заявки[[#This Row],[Город ]])</calculatedColumnFormula>
    </tableColumn>
  </tableColumns>
  <tableStyleInfo name="тюльпаны 2" showFirstColumn="0" showLastColumn="0" showRowStripes="1" showColumnStripes="0"/>
</table>
</file>

<file path=xl/tables/table3.xml><?xml version="1.0" encoding="utf-8"?>
<table xmlns="http://schemas.openxmlformats.org/spreadsheetml/2006/main" id="4" name="стартоваяВедомость" displayName="стартоваяВедомость" ref="A9:H70" totalsRowCount="1" headerRowDxfId="284" dataDxfId="283" totalsRowDxfId="281" tableBorderDxfId="282">
  <autoFilter ref="A9:H69"/>
  <tableColumns count="8">
    <tableColumn id="1" name="№ п/п" totalsRowLabel="Итого:" dataDxfId="280" totalsRowDxfId="222"/>
    <tableColumn id="2" name="Старт. номер" totalsRowFunction="custom" dataDxfId="279" totalsRowDxfId="221">
      <calculatedColumnFormula>IF(LEN(VLOOKUP($A10,заявки[],2))&gt;0,VLOOKUP($A10,заявки[],2),"")</calculatedColumnFormula>
      <totalsRowFormula>заявки[[#Totals],[Ст. №]]</totalsRowFormula>
    </tableColumn>
    <tableColumn id="3" name="Автомобиль" dataDxfId="278" totalsRowDxfId="220">
      <calculatedColumnFormula>VLOOKUP($A10,заявки[],4)</calculatedColumnFormula>
    </tableColumn>
    <tableColumn id="4" name="Пилот 1" dataDxfId="277" totalsRowDxfId="219">
      <calculatedColumnFormula>VLOOKUP($A10,заявки[],6)</calculatedColumnFormula>
    </tableColumn>
    <tableColumn id="5" name="Пилот 2" dataDxfId="276" totalsRowDxfId="218">
      <calculatedColumnFormula>VLOOKUP($A10,заявки[],10)</calculatedColumnFormula>
    </tableColumn>
    <tableColumn id="6" name="Город" dataDxfId="275" totalsRowDxfId="217">
      <calculatedColumnFormula>VLOOKUP($A10,заявки[],14)</calculatedColumnFormula>
    </tableColumn>
    <tableColumn id="7" name="Зачет" dataDxfId="274" totalsRowDxfId="216">
      <calculatedColumnFormula>VLOOKUP($A10,заявки[],3)</calculatedColumnFormula>
    </tableColumn>
    <tableColumn id="8" name="Время старта" dataDxfId="273" totalsRowDxfId="215"/>
  </tableColumns>
  <tableStyleInfo name="тюльпаны 2" showFirstColumn="0" showLastColumn="0" showRowStripes="1" showColumnStripes="0"/>
</table>
</file>

<file path=xl/tables/table4.xml><?xml version="1.0" encoding="utf-8"?>
<table xmlns="http://schemas.openxmlformats.org/spreadsheetml/2006/main" id="6" name="итоговыеЛайт" displayName="итоговыеЛайт" ref="A9:F70" totalsRowCount="1" headerRowDxfId="272" dataDxfId="271" totalsRowDxfId="269" tableBorderDxfId="270">
  <tableColumns count="6">
    <tableColumn id="1" name="Место итог." dataDxfId="268" totalsRowDxfId="267"/>
    <tableColumn id="2" name="Старт. номер" totalsRowFunction="count" dataDxfId="266" totalsRowDxfId="265"/>
    <tableColumn id="4" name="Водитель 1" totalsRowLabel="&lt;--стартовало" dataDxfId="264" totalsRowDxfId="263"/>
    <tableColumn id="5" name="Водитель 2" dataDxfId="262" totalsRowDxfId="261"/>
    <tableColumn id="6" name="Город" totalsRowLabel="DNF--&gt;" dataDxfId="260" totalsRowDxfId="259"/>
    <tableColumn id="7" name="Пенализация, итого" totalsRowFunction="custom" dataDxfId="258" totalsRowDxfId="257">
      <totalsRowFormula>COUNTIF(итоговыеЛайт[Пенализация, итого],"DNF")</totalsRowFormula>
    </tableColumn>
  </tableColumns>
  <tableStyleInfo name="тюльпаны 2" showFirstColumn="0" showLastColumn="0" showRowStripes="1" showColumnStripes="0"/>
</table>
</file>

<file path=xl/tables/table5.xml><?xml version="1.0" encoding="utf-8"?>
<table xmlns="http://schemas.openxmlformats.org/spreadsheetml/2006/main" id="7" name="итоговыеПро" displayName="итоговыеПро" ref="A86:F147" totalsRowCount="1" headerRowDxfId="256" dataDxfId="255" totalsRowDxfId="253" tableBorderDxfId="254">
  <tableColumns count="6">
    <tableColumn id="1" name="Место итог." dataDxfId="252" totalsRowDxfId="251"/>
    <tableColumn id="2" name="Старт. номер" totalsRowFunction="count" dataDxfId="250" totalsRowDxfId="249"/>
    <tableColumn id="4" name="Водитель 1" totalsRowLabel="&lt;--стартовало" dataDxfId="248" totalsRowDxfId="247"/>
    <tableColumn id="5" name="Водитель 2" dataDxfId="246" totalsRowDxfId="245"/>
    <tableColumn id="6" name="Город" totalsRowLabel="DNF--&gt;" dataDxfId="244" totalsRowDxfId="243"/>
    <tableColumn id="7" name="Пенализация, итого" totalsRowFunction="custom" dataDxfId="242" totalsRowDxfId="241">
      <totalsRowFormula>COUNTIF(итоговыеПро[Пенализация, итого],"DNF")</totalsRowFormula>
    </tableColumn>
  </tableColumns>
  <tableStyleInfo name="тюльпаны 2" showFirstColumn="0" showLastColumn="0" showRowStripes="1" showColumnStripes="0"/>
</table>
</file>

<file path=xl/tables/table6.xml><?xml version="1.0" encoding="utf-8"?>
<table xmlns="http://schemas.openxmlformats.org/spreadsheetml/2006/main" id="1" name="МЛ" displayName="МЛ" ref="A9:G70" totalsRowCount="1" headerRowDxfId="240" dataDxfId="239" totalsRowDxfId="237" tableBorderDxfId="238">
  <autoFilter ref="A9:G69">
    <filterColumn colId="0">
      <filters>
        <filter val="ДС-1 РДС Городской"/>
        <filter val="ДС-2 КСЛ Дави!"/>
        <filter val="ДС-3 РДС Загородный"/>
        <filter val="КВ-1 Старт"/>
        <filter val="КВ-2 На обочине"/>
        <filter val="КВ-3 Финиш"/>
      </filters>
    </filterColumn>
  </autoFilter>
  <tableColumns count="7">
    <tableColumn id="1" name="Судейский пункт" totalsRowLabel="Итого по ралли:" dataDxfId="236" totalsRowDxfId="235">
      <calculatedColumnFormula>общее!A10</calculatedColumnFormula>
    </tableColumn>
    <tableColumn id="2" name="Дистанция дорожного сектора, км" totalsRowFunction="sum" dataDxfId="234" totalsRowDxfId="233">
      <calculatedColumnFormula>общее!B10</calculatedColumnFormula>
    </tableColumn>
    <tableColumn id="3" name="Норма времени, чч:мм" totalsRowFunction="sum" dataDxfId="232" totalsRowDxfId="231">
      <calculatedColumnFormula>общее!C10</calculatedColumnFormula>
    </tableColumn>
    <tableColumn id="4" name="Нейтрализация (входит в норму времени), чч:мм" totalsRowFunction="sum" dataDxfId="230" totalsRowDxfId="229">
      <calculatedColumnFormula>общее!D10</calculatedColumnFormula>
    </tableColumn>
    <tableColumn id="5" name="Средняя скорость, км/ч" dataDxfId="228" totalsRowDxfId="227">
      <calculatedColumnFormula>общее!E10</calculatedColumnFormula>
    </tableColumn>
    <tableColumn id="6" name="Дистанция ДС, км" dataDxfId="226" totalsRowDxfId="225">
      <calculatedColumnFormula>общее!F10</calculatedColumnFormula>
    </tableColumn>
    <tableColumn id="7" name="Расчетное время прибытия 1-го экипажа" dataDxfId="224" totalsRowDxfId="223">
      <calculatedColumnFormula>общее!G10</calculatedColumnFormula>
    </tableColumn>
  </tableColumns>
  <tableStyleInfo name="тюльпаны 2" showFirstColumn="0" showLastColumn="0" showRowStripes="1" showColumnStripes="0"/>
</table>
</file>

<file path=xl/tables/table7.xml><?xml version="1.0" encoding="utf-8"?>
<table xmlns="http://schemas.openxmlformats.org/spreadsheetml/2006/main" id="5" name="итоговыеЛайт6" displayName="итоговыеЛайт6" ref="A9:F19" totalsRowCount="1" headerRowDxfId="152" dataDxfId="214" totalsRowDxfId="213" tableBorderDxfId="212">
  <tableColumns count="6">
    <tableColumn id="1" name="Место итог." dataDxfId="211" totalsRowDxfId="196"/>
    <tableColumn id="2" name="Старт. номер" totalsRowFunction="count" dataDxfId="210" totalsRowDxfId="195"/>
    <tableColumn id="4" name="Водитель 1" totalsRowLabel="&lt;--стартовало" dataDxfId="209" totalsRowDxfId="194"/>
    <tableColumn id="5" name="Водитель 2" dataDxfId="208" totalsRowDxfId="193"/>
    <tableColumn id="6" name="Город" totalsRowLabel="DNF--&gt;" dataDxfId="207" totalsRowDxfId="192"/>
    <tableColumn id="7" name="Пенализация, итого" totalsRowFunction="custom" dataDxfId="206" totalsRowDxfId="191">
      <totalsRowFormula>COUNTIF(итоговыеЛайт6[Пенализация, итого],"DNF")</totalsRowFormula>
    </tableColumn>
  </tableColumns>
  <tableStyleInfo name="тюльпаны 2" showFirstColumn="0" showLastColumn="0" showRowStripes="1" showColumnStripes="0"/>
</table>
</file>

<file path=xl/tables/table8.xml><?xml version="1.0" encoding="utf-8"?>
<table xmlns="http://schemas.openxmlformats.org/spreadsheetml/2006/main" id="8" name="итоговыеПро9" displayName="итоговыеПро9" ref="A44:F105" totalsRowCount="1" headerRowDxfId="151" dataDxfId="205" totalsRowDxfId="204" tableBorderDxfId="203">
  <tableColumns count="6">
    <tableColumn id="1" name="Место итог." dataDxfId="202" totalsRowDxfId="190"/>
    <tableColumn id="2" name="Старт. номер" totalsRowFunction="count" dataDxfId="201" totalsRowDxfId="189"/>
    <tableColumn id="4" name="Водитель 1" totalsRowLabel="&lt;--стартовало" dataDxfId="200" totalsRowDxfId="188"/>
    <tableColumn id="5" name="Водитель 2" dataDxfId="199" totalsRowDxfId="187"/>
    <tableColumn id="6" name="Город" totalsRowLabel="DNF--&gt;" dataDxfId="198" totalsRowDxfId="186"/>
    <tableColumn id="7" name="Пенализация, итого" totalsRowFunction="custom" dataDxfId="197" totalsRowDxfId="185">
      <totalsRowFormula>COUNTIF(итоговыеПро9[Пенализация, итого],"DNF")</totalsRowFormula>
    </tableColumn>
  </tableColumns>
  <tableStyleInfo name="тюльпаны 2" showFirstColumn="0" showLastColumn="0" showRowStripes="1" showColumnStripes="0"/>
</table>
</file>

<file path=xl/tables/table9.xml><?xml version="1.0" encoding="utf-8"?>
<table xmlns="http://schemas.openxmlformats.org/spreadsheetml/2006/main" id="9" name="итоговыеЛайт610" displayName="итоговыеЛайт610" ref="A10:F20" totalsRowCount="1" headerRowDxfId="184" dataDxfId="183" totalsRowDxfId="182" tableBorderDxfId="181">
  <tableColumns count="6">
    <tableColumn id="1" name="Место итог." dataDxfId="180" totalsRowDxfId="164"/>
    <tableColumn id="2" name="Старт. номер" totalsRowFunction="count" dataDxfId="179" totalsRowDxfId="163"/>
    <tableColumn id="4" name="Водитель 1" totalsRowLabel="&lt;--стартовало" dataDxfId="178" totalsRowDxfId="162"/>
    <tableColumn id="5" name="Водитель 2" dataDxfId="177" totalsRowDxfId="161"/>
    <tableColumn id="6" name="Город" totalsRowLabel="DNF--&gt;" dataDxfId="176" totalsRowDxfId="160"/>
    <tableColumn id="7" name="Пенализация, итого" totalsRowFunction="custom" dataDxfId="175" totalsRowDxfId="159">
      <totalsRowFormula>COUNTIF(итоговыеЛайт610[Пенализация, итого],"DNF")</totalsRowFormula>
    </tableColumn>
  </tableColumns>
  <tableStyleInfo name="тюльпаны 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chemeClr val="tx1"/>
          </a:solidFill>
          <a:tailEnd type="none" w="med" len="lg"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table" Target="../tables/table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C000"/>
    <pageSetUpPr fitToPage="1"/>
  </sheetPr>
  <dimension ref="A1:AA97"/>
  <sheetViews>
    <sheetView topLeftCell="A76" zoomScale="80" zoomScaleNormal="80" workbookViewId="0">
      <selection activeCell="A17" sqref="A17"/>
    </sheetView>
  </sheetViews>
  <sheetFormatPr defaultRowHeight="15" x14ac:dyDescent="0.25"/>
  <cols>
    <col min="1" max="1" width="28.28515625" style="2" customWidth="1"/>
    <col min="2" max="13" width="10.7109375" style="2" customWidth="1"/>
    <col min="14" max="15" width="30.7109375" style="2" customWidth="1"/>
    <col min="16" max="17" width="20.7109375" style="2" customWidth="1"/>
    <col min="18" max="19" width="30.7109375" style="2" customWidth="1"/>
    <col min="20" max="20" width="50.7109375" style="2" customWidth="1"/>
    <col min="21" max="22" width="25.7109375" style="2" customWidth="1"/>
    <col min="23" max="23" width="80.7109375" style="2" customWidth="1"/>
    <col min="24" max="24" width="40.7109375" style="2" customWidth="1"/>
    <col min="25" max="26" width="27.140625" style="22" customWidth="1"/>
    <col min="27" max="27" width="9.140625" style="22"/>
    <col min="28" max="16384" width="9.140625" style="2"/>
  </cols>
  <sheetData>
    <row r="1" spans="1:25" x14ac:dyDescent="0.25">
      <c r="A1" s="20" t="s">
        <v>33</v>
      </c>
      <c r="B1" s="98" t="s">
        <v>369</v>
      </c>
      <c r="C1" s="16"/>
      <c r="D1" s="16"/>
      <c r="E1" s="22"/>
      <c r="F1" s="22"/>
      <c r="G1" s="22"/>
      <c r="H1" s="22"/>
      <c r="I1" s="22"/>
      <c r="J1" s="22"/>
      <c r="R1" s="22"/>
    </row>
    <row r="2" spans="1:25" x14ac:dyDescent="0.25">
      <c r="A2" s="20" t="s">
        <v>34</v>
      </c>
      <c r="B2" s="98" t="s">
        <v>370</v>
      </c>
      <c r="C2" s="16"/>
      <c r="D2" s="16"/>
      <c r="F2" s="22"/>
      <c r="G2" s="22"/>
      <c r="I2" s="22"/>
      <c r="J2" s="22"/>
    </row>
    <row r="3" spans="1:25" x14ac:dyDescent="0.25">
      <c r="A3" s="20" t="s">
        <v>133</v>
      </c>
      <c r="B3" s="98" t="s">
        <v>371</v>
      </c>
      <c r="C3" s="16"/>
      <c r="D3" s="16"/>
      <c r="F3" s="22"/>
      <c r="G3" s="22"/>
      <c r="I3" s="22"/>
      <c r="J3" s="22"/>
    </row>
    <row r="4" spans="1:25" x14ac:dyDescent="0.25">
      <c r="A4" s="20" t="s">
        <v>252</v>
      </c>
      <c r="B4" s="271">
        <v>35</v>
      </c>
      <c r="C4" s="16"/>
      <c r="D4" s="16"/>
      <c r="F4" s="22"/>
      <c r="G4" s="22"/>
      <c r="H4" s="22"/>
      <c r="I4" s="22"/>
      <c r="J4" s="22"/>
      <c r="N4" s="2" t="s">
        <v>265</v>
      </c>
      <c r="R4" s="22"/>
    </row>
    <row r="5" spans="1:25" x14ac:dyDescent="0.25">
      <c r="A5" s="20" t="s">
        <v>130</v>
      </c>
      <c r="B5" s="99">
        <v>1.0416666666666666E-2</v>
      </c>
      <c r="C5" s="16"/>
      <c r="D5" s="16"/>
      <c r="F5" s="22"/>
      <c r="G5" s="22"/>
      <c r="H5" s="22"/>
      <c r="I5" s="22"/>
      <c r="J5" s="22"/>
      <c r="N5" s="2" t="s">
        <v>266</v>
      </c>
      <c r="R5" s="22"/>
    </row>
    <row r="6" spans="1:25" x14ac:dyDescent="0.25">
      <c r="A6" s="20" t="s">
        <v>131</v>
      </c>
      <c r="B6" s="99">
        <v>1.0416666666666666E-2</v>
      </c>
      <c r="C6" s="16"/>
      <c r="D6" s="16"/>
      <c r="E6" s="22"/>
      <c r="G6" s="22" t="s">
        <v>321</v>
      </c>
      <c r="H6" s="22"/>
      <c r="I6" s="22"/>
      <c r="J6" s="22"/>
      <c r="N6" s="2" t="s">
        <v>267</v>
      </c>
      <c r="R6" s="22"/>
    </row>
    <row r="7" spans="1:25" x14ac:dyDescent="0.25">
      <c r="A7" s="20" t="s">
        <v>132</v>
      </c>
      <c r="B7" s="99">
        <v>0.50069444444444444</v>
      </c>
      <c r="C7" s="16"/>
      <c r="D7" s="16"/>
      <c r="E7" s="22"/>
      <c r="G7" s="22" t="s">
        <v>352</v>
      </c>
      <c r="H7" s="22"/>
      <c r="I7" s="22"/>
      <c r="J7" s="22"/>
      <c r="M7" s="22"/>
      <c r="N7" s="2" t="s">
        <v>269</v>
      </c>
      <c r="O7" s="22"/>
      <c r="P7" s="22"/>
      <c r="R7" s="22"/>
      <c r="Y7" s="2"/>
    </row>
    <row r="8" spans="1:25" x14ac:dyDescent="0.25">
      <c r="A8" s="20"/>
      <c r="B8" s="123"/>
      <c r="C8" s="22"/>
      <c r="D8" s="22"/>
      <c r="N8" s="2" t="s">
        <v>345</v>
      </c>
    </row>
    <row r="9" spans="1:25" s="23" customFormat="1" ht="63.75" x14ac:dyDescent="0.25">
      <c r="A9" s="151" t="s">
        <v>47</v>
      </c>
      <c r="B9" s="136" t="s">
        <v>88</v>
      </c>
      <c r="C9" s="136" t="s">
        <v>96</v>
      </c>
      <c r="D9" s="136" t="s">
        <v>137</v>
      </c>
      <c r="E9" s="151" t="s">
        <v>12</v>
      </c>
      <c r="F9" s="136" t="s">
        <v>87</v>
      </c>
      <c r="G9" s="136" t="s">
        <v>13</v>
      </c>
      <c r="H9" s="136" t="s">
        <v>140</v>
      </c>
      <c r="I9" s="136" t="s">
        <v>46</v>
      </c>
      <c r="J9" s="136" t="s">
        <v>136</v>
      </c>
      <c r="K9" s="136" t="s">
        <v>97</v>
      </c>
      <c r="L9" s="136" t="s">
        <v>139</v>
      </c>
      <c r="M9" s="136" t="s">
        <v>138</v>
      </c>
      <c r="N9" s="136" t="s">
        <v>45</v>
      </c>
      <c r="O9" s="136" t="s">
        <v>92</v>
      </c>
      <c r="P9" s="136" t="s">
        <v>93</v>
      </c>
      <c r="Q9" s="136" t="s">
        <v>129</v>
      </c>
      <c r="R9" s="136" t="s">
        <v>75</v>
      </c>
      <c r="S9" s="136" t="s">
        <v>76</v>
      </c>
    </row>
    <row r="10" spans="1:25" s="44" customFormat="1" x14ac:dyDescent="0.25">
      <c r="A10" s="143" t="s">
        <v>437</v>
      </c>
      <c r="B10" s="139" t="str">
        <f>IF(AND(LEFT(A10,2)="КВ",H10&gt;0),H10,"")</f>
        <v/>
      </c>
      <c r="C10" s="137"/>
      <c r="D10" s="138">
        <f t="shared" ref="D10:D41" si="0">IF(AND(LEFT(A10,2)="КВ",L10&gt;0),L10,0)</f>
        <v>0</v>
      </c>
      <c r="E10" s="139" t="str">
        <f>IF(AND(LEFT(A10,2)="КВ",ISNUMBER(C10)),B10/(C10-D10)/24,"")</f>
        <v/>
      </c>
      <c r="F10" s="139"/>
      <c r="G10" s="138">
        <f t="shared" ref="G10" si="1">IF(ROW()=10,старт,G9+M10+K9)</f>
        <v>0.50069444444444444</v>
      </c>
      <c r="H10" s="139"/>
      <c r="I10" s="139">
        <f>IF(AND(LEFT(A9,2)&lt;&gt;"КВ",ROW()&gt;10),H10-H9,H10)</f>
        <v>0</v>
      </c>
      <c r="J10" s="139" t="str">
        <f>IFERROR(VLOOKUP("КВ*",A10:G$69,5,FALSE),0)</f>
        <v/>
      </c>
      <c r="K10" s="137"/>
      <c r="L10" s="138">
        <f>IF(AND(LEFT(A9,2)&lt;&gt;"КВ",ROW()&gt;10),L9+K10,0)</f>
        <v>0</v>
      </c>
      <c r="M10" s="140">
        <f>IF(AND(J10&lt;&gt;"",J10&lt;&gt;0),I10/J10/24,0)</f>
        <v>0</v>
      </c>
      <c r="N10" s="141"/>
      <c r="O10" s="141"/>
      <c r="P10" s="141"/>
      <c r="Q10" s="141"/>
      <c r="R10" s="142"/>
      <c r="S10" s="142"/>
      <c r="U10" s="248"/>
    </row>
    <row r="11" spans="1:25" s="25" customFormat="1" x14ac:dyDescent="0.25">
      <c r="A11" s="203" t="s">
        <v>353</v>
      </c>
      <c r="B11" s="204" t="str">
        <f t="shared" ref="B11:B69" si="2">IF(AND(LEFT(A11,2)="КВ",H11&gt;0),H11,"")</f>
        <v/>
      </c>
      <c r="C11" s="205"/>
      <c r="D11" s="206">
        <f t="shared" si="0"/>
        <v>0</v>
      </c>
      <c r="E11" s="204" t="str">
        <f t="shared" ref="E11:E69" si="3">IF(AND(LEFT(A11,2)="КВ",ISNUMBER(C11)),B11/(C11-D11)/24,"")</f>
        <v/>
      </c>
      <c r="F11" s="204"/>
      <c r="G11" s="206">
        <f t="shared" ref="G11:G69" si="4">IF(ROW()=10,старт,G10+M11+K10)</f>
        <v>0.50069444444444444</v>
      </c>
      <c r="H11" s="204"/>
      <c r="I11" s="204">
        <f t="shared" ref="I11:I69" si="5">IF(AND(LEFT(A10,2)&lt;&gt;"КВ",ROW()&gt;10),H11-H10,H11)</f>
        <v>0</v>
      </c>
      <c r="J11" s="204" t="str">
        <f>IFERROR(VLOOKUP("КВ*",A11:G$69,5,FALSE),0)</f>
        <v/>
      </c>
      <c r="K11" s="205"/>
      <c r="L11" s="206">
        <f t="shared" ref="L11:L69" si="6">IF(AND(LEFT(A10,2)&lt;&gt;"КВ",ROW()&gt;10),L10+K11,0)</f>
        <v>0</v>
      </c>
      <c r="M11" s="207">
        <f t="shared" ref="M11:M69" si="7">IF(AND(J11&lt;&gt;"",J11&lt;&gt;0),I11/J11/24,0)</f>
        <v>0</v>
      </c>
      <c r="N11" s="208" t="s">
        <v>49</v>
      </c>
      <c r="O11" s="208" t="s">
        <v>444</v>
      </c>
      <c r="P11" s="208"/>
      <c r="Q11" s="208"/>
      <c r="R11" s="209"/>
      <c r="S11" s="209"/>
    </row>
    <row r="12" spans="1:25" s="44" customFormat="1" x14ac:dyDescent="0.25">
      <c r="A12" s="143" t="s">
        <v>485</v>
      </c>
      <c r="B12" s="139" t="str">
        <f t="shared" si="2"/>
        <v/>
      </c>
      <c r="C12" s="137"/>
      <c r="D12" s="138">
        <f t="shared" si="0"/>
        <v>0</v>
      </c>
      <c r="E12" s="139" t="str">
        <f t="shared" si="3"/>
        <v/>
      </c>
      <c r="F12" s="139"/>
      <c r="G12" s="138">
        <f t="shared" si="4"/>
        <v>0.51230230241708674</v>
      </c>
      <c r="H12" s="139">
        <v>7.54</v>
      </c>
      <c r="I12" s="139">
        <f t="shared" si="5"/>
        <v>7.54</v>
      </c>
      <c r="J12" s="139">
        <f>IFERROR(VLOOKUP("КВ*",A12:G$69,5,FALSE),0)</f>
        <v>27.064999193400169</v>
      </c>
      <c r="K12" s="137"/>
      <c r="L12" s="138">
        <f t="shared" si="6"/>
        <v>0</v>
      </c>
      <c r="M12" s="140">
        <f t="shared" si="7"/>
        <v>1.1607857972642266E-2</v>
      </c>
      <c r="N12" s="141" t="s">
        <v>532</v>
      </c>
      <c r="O12" s="141" t="s">
        <v>517</v>
      </c>
      <c r="P12" s="141"/>
      <c r="Q12" s="141"/>
      <c r="R12" s="142"/>
      <c r="S12" s="142"/>
    </row>
    <row r="13" spans="1:25" s="44" customFormat="1" x14ac:dyDescent="0.25">
      <c r="A13" s="143" t="s">
        <v>358</v>
      </c>
      <c r="B13" s="139" t="str">
        <f t="shared" si="2"/>
        <v/>
      </c>
      <c r="C13" s="137"/>
      <c r="D13" s="138">
        <f t="shared" si="0"/>
        <v>0</v>
      </c>
      <c r="E13" s="139" t="str">
        <f t="shared" si="3"/>
        <v/>
      </c>
      <c r="F13" s="139"/>
      <c r="G13" s="138">
        <f t="shared" si="4"/>
        <v>0.52612704573198432</v>
      </c>
      <c r="H13" s="139">
        <v>16.52</v>
      </c>
      <c r="I13" s="139">
        <f t="shared" si="5"/>
        <v>8.98</v>
      </c>
      <c r="J13" s="139">
        <f>IFERROR(VLOOKUP("КВ*",A13:G$69,5,FALSE),0)</f>
        <v>27.064999193400169</v>
      </c>
      <c r="K13" s="137"/>
      <c r="L13" s="138">
        <f t="shared" si="6"/>
        <v>0</v>
      </c>
      <c r="M13" s="140">
        <f t="shared" si="7"/>
        <v>1.3824743314897555E-2</v>
      </c>
      <c r="N13" s="141" t="s">
        <v>513</v>
      </c>
      <c r="O13" s="141" t="s">
        <v>447</v>
      </c>
      <c r="P13" s="141"/>
      <c r="Q13" s="141"/>
      <c r="R13" s="142"/>
      <c r="S13" s="142"/>
    </row>
    <row r="14" spans="1:25" s="44" customFormat="1" x14ac:dyDescent="0.25">
      <c r="A14" s="143" t="s">
        <v>366</v>
      </c>
      <c r="B14" s="139" t="str">
        <f t="shared" si="2"/>
        <v/>
      </c>
      <c r="C14" s="137"/>
      <c r="D14" s="138">
        <f t="shared" si="0"/>
        <v>0</v>
      </c>
      <c r="E14" s="139" t="str">
        <f>IF(AND(LEFT(A14,2)="КВ",ISNUMBER(C14)),B14/(C14-D14)/24,"")</f>
        <v/>
      </c>
      <c r="F14" s="139"/>
      <c r="G14" s="138">
        <f t="shared" si="4"/>
        <v>0.54435476965719443</v>
      </c>
      <c r="H14" s="139">
        <v>28.36</v>
      </c>
      <c r="I14" s="139">
        <f t="shared" si="5"/>
        <v>11.84</v>
      </c>
      <c r="J14" s="139">
        <f>IFERROR(VLOOKUP("КВ*",A14:G$69,5,FALSE),0)</f>
        <v>27.064999193400169</v>
      </c>
      <c r="K14" s="137"/>
      <c r="L14" s="138">
        <f t="shared" si="6"/>
        <v>0</v>
      </c>
      <c r="M14" s="140">
        <f t="shared" si="7"/>
        <v>1.8227723925210135E-2</v>
      </c>
      <c r="N14" s="141" t="s">
        <v>512</v>
      </c>
      <c r="O14" s="141" t="s">
        <v>448</v>
      </c>
      <c r="P14" s="141"/>
      <c r="Q14" s="141"/>
      <c r="R14" s="142"/>
      <c r="S14" s="142"/>
    </row>
    <row r="15" spans="1:25" s="44" customFormat="1" x14ac:dyDescent="0.25">
      <c r="A15" s="143" t="s">
        <v>271</v>
      </c>
      <c r="B15" s="139" t="str">
        <f t="shared" si="2"/>
        <v/>
      </c>
      <c r="C15" s="137"/>
      <c r="D15" s="138">
        <f t="shared" si="0"/>
        <v>0</v>
      </c>
      <c r="E15" s="139" t="str">
        <f t="shared" si="3"/>
        <v/>
      </c>
      <c r="F15" s="139"/>
      <c r="G15" s="138">
        <f t="shared" si="4"/>
        <v>0.54832668922873518</v>
      </c>
      <c r="H15" s="139">
        <v>30.94</v>
      </c>
      <c r="I15" s="139">
        <f t="shared" si="5"/>
        <v>2.5800000000000018</v>
      </c>
      <c r="J15" s="139">
        <f>IFERROR(VLOOKUP("КВ*",A15:G$69,5,FALSE),0)</f>
        <v>27.064999193400169</v>
      </c>
      <c r="K15" s="137"/>
      <c r="L15" s="138">
        <f t="shared" si="6"/>
        <v>0</v>
      </c>
      <c r="M15" s="140">
        <f t="shared" si="7"/>
        <v>3.9719195715407253E-3</v>
      </c>
      <c r="N15" s="141" t="s">
        <v>533</v>
      </c>
      <c r="O15" s="141" t="s">
        <v>449</v>
      </c>
      <c r="P15" s="142"/>
      <c r="Q15" s="142"/>
      <c r="R15" s="142"/>
      <c r="S15" s="142"/>
    </row>
    <row r="16" spans="1:25" s="44" customFormat="1" x14ac:dyDescent="0.25">
      <c r="A16" s="143" t="s">
        <v>511</v>
      </c>
      <c r="B16" s="139" t="str">
        <f t="shared" si="2"/>
        <v/>
      </c>
      <c r="C16" s="137"/>
      <c r="D16" s="138">
        <f t="shared" si="0"/>
        <v>0</v>
      </c>
      <c r="E16" s="139" t="str">
        <f t="shared" si="3"/>
        <v/>
      </c>
      <c r="F16" s="139"/>
      <c r="G16" s="138">
        <f t="shared" si="4"/>
        <v>0.56526123003762974</v>
      </c>
      <c r="H16" s="139">
        <v>41.94</v>
      </c>
      <c r="I16" s="139">
        <f t="shared" si="5"/>
        <v>10.999999999999996</v>
      </c>
      <c r="J16" s="139">
        <f>IFERROR(VLOOKUP("КВ*",A16:G$69,5,FALSE),0)</f>
        <v>27.064999193400169</v>
      </c>
      <c r="K16" s="137"/>
      <c r="L16" s="138">
        <f t="shared" si="6"/>
        <v>0</v>
      </c>
      <c r="M16" s="140">
        <f t="shared" si="7"/>
        <v>1.693454080889455E-2</v>
      </c>
      <c r="N16" s="141" t="s">
        <v>514</v>
      </c>
      <c r="O16" s="141" t="s">
        <v>517</v>
      </c>
      <c r="P16" s="142"/>
      <c r="Q16" s="142"/>
      <c r="R16" s="142"/>
      <c r="S16" s="142"/>
    </row>
    <row r="17" spans="1:19" s="44" customFormat="1" x14ac:dyDescent="0.25">
      <c r="A17" s="143" t="s">
        <v>377</v>
      </c>
      <c r="B17" s="139" t="str">
        <f t="shared" si="2"/>
        <v/>
      </c>
      <c r="C17" s="137"/>
      <c r="D17" s="138">
        <f t="shared" si="0"/>
        <v>0</v>
      </c>
      <c r="E17" s="139" t="str">
        <f t="shared" si="3"/>
        <v/>
      </c>
      <c r="F17" s="139"/>
      <c r="G17" s="138">
        <f t="shared" si="4"/>
        <v>0.58259604181109814</v>
      </c>
      <c r="H17" s="139">
        <v>53.2</v>
      </c>
      <c r="I17" s="139">
        <f t="shared" si="5"/>
        <v>11.260000000000005</v>
      </c>
      <c r="J17" s="139">
        <f>IFERROR(VLOOKUP("КВ*",A17:G$69,5,FALSE),0)</f>
        <v>27.064999193400169</v>
      </c>
      <c r="K17" s="137"/>
      <c r="L17" s="138">
        <f t="shared" si="6"/>
        <v>0</v>
      </c>
      <c r="M17" s="140">
        <f t="shared" si="7"/>
        <v>1.733481177346843E-2</v>
      </c>
      <c r="N17" s="141" t="s">
        <v>515</v>
      </c>
      <c r="O17" s="141" t="s">
        <v>446</v>
      </c>
      <c r="P17" s="142"/>
      <c r="Q17" s="142"/>
      <c r="R17" s="142"/>
      <c r="S17" s="142"/>
    </row>
    <row r="18" spans="1:19" s="25" customFormat="1" x14ac:dyDescent="0.25">
      <c r="A18" s="203" t="s">
        <v>481</v>
      </c>
      <c r="B18" s="204">
        <f t="shared" si="2"/>
        <v>54.13</v>
      </c>
      <c r="C18" s="205">
        <v>8.3333335816860199E-2</v>
      </c>
      <c r="D18" s="206">
        <f t="shared" si="0"/>
        <v>0</v>
      </c>
      <c r="E18" s="204">
        <f t="shared" si="3"/>
        <v>27.064999193400169</v>
      </c>
      <c r="F18" s="204"/>
      <c r="G18" s="206">
        <f t="shared" si="4"/>
        <v>0.58402778026130464</v>
      </c>
      <c r="H18" s="204">
        <v>54.13</v>
      </c>
      <c r="I18" s="204">
        <f t="shared" si="5"/>
        <v>0.92999999999999972</v>
      </c>
      <c r="J18" s="204">
        <f>IFERROR(VLOOKUP("КВ*",A18:G$69,5,FALSE),0)</f>
        <v>27.064999193400169</v>
      </c>
      <c r="K18" s="205"/>
      <c r="L18" s="206">
        <f t="shared" si="6"/>
        <v>0</v>
      </c>
      <c r="M18" s="207">
        <f t="shared" si="7"/>
        <v>1.431738450206539E-3</v>
      </c>
      <c r="N18" s="208" t="s">
        <v>49</v>
      </c>
      <c r="O18" s="208"/>
      <c r="P18" s="209"/>
      <c r="Q18" s="209"/>
      <c r="R18" s="209"/>
      <c r="S18" s="209"/>
    </row>
    <row r="19" spans="1:19" s="44" customFormat="1" x14ac:dyDescent="0.25">
      <c r="A19" s="143" t="s">
        <v>464</v>
      </c>
      <c r="B19" s="139" t="str">
        <f t="shared" si="2"/>
        <v/>
      </c>
      <c r="C19" s="137"/>
      <c r="D19" s="138">
        <f t="shared" si="0"/>
        <v>0</v>
      </c>
      <c r="E19" s="139" t="str">
        <f t="shared" si="3"/>
        <v/>
      </c>
      <c r="F19" s="139"/>
      <c r="G19" s="138">
        <f t="shared" si="4"/>
        <v>0.59494148617031473</v>
      </c>
      <c r="H19" s="139">
        <v>10.32</v>
      </c>
      <c r="I19" s="139">
        <f t="shared" si="5"/>
        <v>10.32</v>
      </c>
      <c r="J19" s="139">
        <f>IFERROR(VLOOKUP("КВ*",A19:G$69,5,FALSE),0)</f>
        <v>39.399998825788529</v>
      </c>
      <c r="K19" s="137"/>
      <c r="L19" s="138">
        <f t="shared" si="6"/>
        <v>0</v>
      </c>
      <c r="M19" s="140">
        <f t="shared" si="7"/>
        <v>1.091370590901012E-2</v>
      </c>
      <c r="N19" s="141" t="s">
        <v>534</v>
      </c>
      <c r="O19" s="141" t="s">
        <v>518</v>
      </c>
      <c r="P19" s="142"/>
      <c r="Q19" s="142"/>
      <c r="R19" s="142"/>
      <c r="S19" s="142"/>
    </row>
    <row r="20" spans="1:19" s="44" customFormat="1" x14ac:dyDescent="0.25">
      <c r="A20" s="143" t="s">
        <v>408</v>
      </c>
      <c r="B20" s="139" t="str">
        <f t="shared" si="2"/>
        <v/>
      </c>
      <c r="C20" s="137"/>
      <c r="D20" s="138">
        <f t="shared" si="0"/>
        <v>0</v>
      </c>
      <c r="E20" s="139" t="str">
        <f t="shared" si="3"/>
        <v/>
      </c>
      <c r="F20" s="139"/>
      <c r="G20" s="138">
        <f t="shared" si="4"/>
        <v>0.60007050493569258</v>
      </c>
      <c r="H20" s="139">
        <v>15.17</v>
      </c>
      <c r="I20" s="139">
        <f t="shared" si="5"/>
        <v>4.8499999999999996</v>
      </c>
      <c r="J20" s="139">
        <f>IFERROR(VLOOKUP("КВ*",A20:G$69,5,FALSE),0)</f>
        <v>39.399998825788529</v>
      </c>
      <c r="K20" s="137"/>
      <c r="L20" s="138">
        <f t="shared" si="6"/>
        <v>0</v>
      </c>
      <c r="M20" s="140">
        <f t="shared" si="7"/>
        <v>5.1290187653778166E-3</v>
      </c>
      <c r="N20" s="141" t="s">
        <v>513</v>
      </c>
      <c r="O20" s="141"/>
      <c r="P20" s="142"/>
      <c r="Q20" s="142"/>
      <c r="R20" s="142"/>
      <c r="S20" s="142"/>
    </row>
    <row r="21" spans="1:19" s="44" customFormat="1" x14ac:dyDescent="0.25">
      <c r="A21" s="143" t="s">
        <v>423</v>
      </c>
      <c r="B21" s="139" t="str">
        <f t="shared" si="2"/>
        <v/>
      </c>
      <c r="C21" s="137"/>
      <c r="D21" s="138">
        <f t="shared" si="0"/>
        <v>0</v>
      </c>
      <c r="E21" s="139" t="str">
        <f t="shared" si="3"/>
        <v/>
      </c>
      <c r="F21" s="139"/>
      <c r="G21" s="138">
        <f t="shared" si="4"/>
        <v>0.61300409246158349</v>
      </c>
      <c r="H21" s="139">
        <v>27.4</v>
      </c>
      <c r="I21" s="139">
        <f t="shared" si="5"/>
        <v>12.229999999999999</v>
      </c>
      <c r="J21" s="139">
        <f>IFERROR(VLOOKUP("КВ*",A21:G$69,5,FALSE),0)</f>
        <v>39.399998825788529</v>
      </c>
      <c r="K21" s="137"/>
      <c r="L21" s="138">
        <f t="shared" si="6"/>
        <v>0</v>
      </c>
      <c r="M21" s="140">
        <f t="shared" si="7"/>
        <v>1.2933587525890867E-2</v>
      </c>
      <c r="N21" s="141" t="s">
        <v>512</v>
      </c>
      <c r="O21" s="141"/>
      <c r="P21" s="142"/>
      <c r="Q21" s="142"/>
      <c r="R21" s="142"/>
      <c r="S21" s="142"/>
    </row>
    <row r="22" spans="1:19" s="44" customFormat="1" x14ac:dyDescent="0.25">
      <c r="A22" s="143" t="s">
        <v>439</v>
      </c>
      <c r="B22" s="139" t="str">
        <f t="shared" si="2"/>
        <v/>
      </c>
      <c r="C22" s="137"/>
      <c r="D22" s="138">
        <f t="shared" si="0"/>
        <v>0</v>
      </c>
      <c r="E22" s="139" t="str">
        <f t="shared" si="3"/>
        <v/>
      </c>
      <c r="F22" s="139"/>
      <c r="G22" s="138">
        <f t="shared" si="4"/>
        <v>0.63068598808160758</v>
      </c>
      <c r="H22" s="139">
        <v>44.12</v>
      </c>
      <c r="I22" s="139">
        <f t="shared" si="5"/>
        <v>16.72</v>
      </c>
      <c r="J22" s="139">
        <f>IFERROR(VLOOKUP("КВ*",A22:G$69,5,FALSE),0)</f>
        <v>39.399998825788529</v>
      </c>
      <c r="K22" s="137"/>
      <c r="L22" s="138">
        <f t="shared" si="6"/>
        <v>0</v>
      </c>
      <c r="M22" s="140">
        <f t="shared" si="7"/>
        <v>1.7681895620024143E-2</v>
      </c>
      <c r="N22" s="141" t="s">
        <v>512</v>
      </c>
      <c r="O22" s="141"/>
      <c r="P22" s="142"/>
      <c r="Q22" s="142"/>
      <c r="R22" s="142"/>
      <c r="S22" s="142"/>
    </row>
    <row r="23" spans="1:19" s="44" customFormat="1" x14ac:dyDescent="0.25">
      <c r="A23" s="143" t="s">
        <v>410</v>
      </c>
      <c r="B23" s="139" t="str">
        <f t="shared" si="2"/>
        <v/>
      </c>
      <c r="C23" s="137"/>
      <c r="D23" s="138">
        <f t="shared" si="0"/>
        <v>0</v>
      </c>
      <c r="E23" s="139" t="str">
        <f t="shared" si="3"/>
        <v/>
      </c>
      <c r="F23" s="139"/>
      <c r="G23" s="138">
        <f t="shared" si="4"/>
        <v>0.64809292599462176</v>
      </c>
      <c r="H23" s="139">
        <v>60.58</v>
      </c>
      <c r="I23" s="139">
        <f t="shared" si="5"/>
        <v>16.46</v>
      </c>
      <c r="J23" s="139">
        <f>IFERROR(VLOOKUP("КВ*",A23:G$69,5,FALSE),0)</f>
        <v>39.399998825788529</v>
      </c>
      <c r="K23" s="137"/>
      <c r="L23" s="138">
        <f t="shared" si="6"/>
        <v>0</v>
      </c>
      <c r="M23" s="140">
        <f t="shared" si="7"/>
        <v>1.74069379130142E-2</v>
      </c>
      <c r="N23" s="141" t="s">
        <v>533</v>
      </c>
      <c r="O23" s="141"/>
      <c r="P23" s="142"/>
      <c r="Q23" s="142"/>
      <c r="R23" s="142"/>
      <c r="S23" s="142"/>
    </row>
    <row r="24" spans="1:19" s="25" customFormat="1" x14ac:dyDescent="0.25">
      <c r="A24" s="203" t="s">
        <v>378</v>
      </c>
      <c r="B24" s="204">
        <f t="shared" si="2"/>
        <v>78.8</v>
      </c>
      <c r="C24" s="205">
        <v>8.3333335816860199E-2</v>
      </c>
      <c r="D24" s="206">
        <f t="shared" si="0"/>
        <v>0</v>
      </c>
      <c r="E24" s="204">
        <f t="shared" si="3"/>
        <v>39.399998825788529</v>
      </c>
      <c r="F24" s="204"/>
      <c r="G24" s="206">
        <f t="shared" si="4"/>
        <v>0.66736111607816484</v>
      </c>
      <c r="H24" s="204">
        <v>78.8</v>
      </c>
      <c r="I24" s="204">
        <f t="shared" si="5"/>
        <v>18.22</v>
      </c>
      <c r="J24" s="204">
        <f>IFERROR(VLOOKUP("КВ*",A24:G$69,5,FALSE),0)</f>
        <v>39.399998825788529</v>
      </c>
      <c r="K24" s="205"/>
      <c r="L24" s="206">
        <f t="shared" si="6"/>
        <v>0</v>
      </c>
      <c r="M24" s="207">
        <f t="shared" si="7"/>
        <v>1.9268190083543055E-2</v>
      </c>
      <c r="N24" s="208" t="s">
        <v>516</v>
      </c>
      <c r="O24" s="208"/>
      <c r="P24" s="209"/>
      <c r="Q24" s="209"/>
      <c r="R24" s="209"/>
      <c r="S24" s="209"/>
    </row>
    <row r="25" spans="1:19" s="44" customFormat="1" hidden="1" x14ac:dyDescent="0.25">
      <c r="A25" s="143"/>
      <c r="B25" s="139" t="str">
        <f t="shared" si="2"/>
        <v/>
      </c>
      <c r="C25" s="137"/>
      <c r="D25" s="138">
        <f t="shared" si="0"/>
        <v>0</v>
      </c>
      <c r="E25" s="139" t="str">
        <f t="shared" si="3"/>
        <v/>
      </c>
      <c r="F25" s="139"/>
      <c r="G25" s="138">
        <f t="shared" si="4"/>
        <v>0.66736111607816484</v>
      </c>
      <c r="H25" s="139"/>
      <c r="I25" s="139">
        <f t="shared" si="5"/>
        <v>0</v>
      </c>
      <c r="J25" s="139">
        <f>IFERROR(VLOOKUP("КВ*",A25:G$69,5,FALSE),0)</f>
        <v>0</v>
      </c>
      <c r="K25" s="137"/>
      <c r="L25" s="138">
        <f t="shared" si="6"/>
        <v>0</v>
      </c>
      <c r="M25" s="140">
        <f t="shared" si="7"/>
        <v>0</v>
      </c>
      <c r="N25" s="141" t="s">
        <v>458</v>
      </c>
      <c r="O25" s="141"/>
      <c r="P25" s="142"/>
      <c r="Q25" s="142"/>
      <c r="R25" s="142"/>
      <c r="S25" s="142"/>
    </row>
    <row r="26" spans="1:19" s="44" customFormat="1" hidden="1" x14ac:dyDescent="0.25">
      <c r="A26" s="143"/>
      <c r="B26" s="139" t="str">
        <f t="shared" si="2"/>
        <v/>
      </c>
      <c r="C26" s="137"/>
      <c r="D26" s="138">
        <f t="shared" si="0"/>
        <v>0</v>
      </c>
      <c r="E26" s="139" t="str">
        <f t="shared" si="3"/>
        <v/>
      </c>
      <c r="F26" s="139"/>
      <c r="G26" s="138">
        <f t="shared" si="4"/>
        <v>0.66736111607816484</v>
      </c>
      <c r="H26" s="139"/>
      <c r="I26" s="139">
        <f t="shared" si="5"/>
        <v>0</v>
      </c>
      <c r="J26" s="139">
        <f>IFERROR(VLOOKUP("КВ*",A26:G$69,5,FALSE),0)</f>
        <v>0</v>
      </c>
      <c r="K26" s="137"/>
      <c r="L26" s="138">
        <f t="shared" si="6"/>
        <v>0</v>
      </c>
      <c r="M26" s="140">
        <f t="shared" si="7"/>
        <v>0</v>
      </c>
      <c r="N26" s="141" t="s">
        <v>458</v>
      </c>
      <c r="O26" s="141"/>
      <c r="P26" s="142"/>
      <c r="Q26" s="142"/>
      <c r="R26" s="142"/>
      <c r="S26" s="142"/>
    </row>
    <row r="27" spans="1:19" s="44" customFormat="1" hidden="1" x14ac:dyDescent="0.25">
      <c r="A27" s="143"/>
      <c r="B27" s="139" t="str">
        <f t="shared" si="2"/>
        <v/>
      </c>
      <c r="C27" s="137"/>
      <c r="D27" s="138">
        <f t="shared" si="0"/>
        <v>0</v>
      </c>
      <c r="E27" s="139" t="str">
        <f t="shared" si="3"/>
        <v/>
      </c>
      <c r="F27" s="139"/>
      <c r="G27" s="138">
        <f t="shared" si="4"/>
        <v>0.66736111607816484</v>
      </c>
      <c r="H27" s="139"/>
      <c r="I27" s="139">
        <f t="shared" si="5"/>
        <v>0</v>
      </c>
      <c r="J27" s="139">
        <f>IFERROR(VLOOKUP("КВ*",A27:G$69,5,FALSE),0)</f>
        <v>0</v>
      </c>
      <c r="K27" s="137"/>
      <c r="L27" s="138">
        <f t="shared" si="6"/>
        <v>0</v>
      </c>
      <c r="M27" s="140">
        <f t="shared" si="7"/>
        <v>0</v>
      </c>
      <c r="N27" s="141" t="s">
        <v>450</v>
      </c>
      <c r="O27" s="141"/>
      <c r="P27" s="142"/>
      <c r="Q27" s="142"/>
      <c r="R27" s="142"/>
      <c r="S27" s="142"/>
    </row>
    <row r="28" spans="1:19" s="44" customFormat="1" hidden="1" x14ac:dyDescent="0.25">
      <c r="A28" s="143"/>
      <c r="B28" s="139" t="str">
        <f t="shared" si="2"/>
        <v/>
      </c>
      <c r="C28" s="137"/>
      <c r="D28" s="138">
        <f t="shared" si="0"/>
        <v>0</v>
      </c>
      <c r="E28" s="139" t="str">
        <f t="shared" si="3"/>
        <v/>
      </c>
      <c r="F28" s="139"/>
      <c r="G28" s="138">
        <f t="shared" si="4"/>
        <v>0.66736111607816484</v>
      </c>
      <c r="H28" s="139"/>
      <c r="I28" s="139">
        <f t="shared" si="5"/>
        <v>0</v>
      </c>
      <c r="J28" s="139">
        <f>IFERROR(VLOOKUP("КВ*",A28:G$69,5,FALSE),0)</f>
        <v>0</v>
      </c>
      <c r="K28" s="137"/>
      <c r="L28" s="138">
        <f t="shared" si="6"/>
        <v>0</v>
      </c>
      <c r="M28" s="140">
        <f t="shared" si="7"/>
        <v>0</v>
      </c>
      <c r="N28" s="141" t="s">
        <v>451</v>
      </c>
      <c r="O28" s="141"/>
      <c r="P28" s="142"/>
      <c r="Q28" s="142"/>
      <c r="R28" s="142"/>
      <c r="S28" s="141"/>
    </row>
    <row r="29" spans="1:19" s="44" customFormat="1" hidden="1" x14ac:dyDescent="0.25">
      <c r="A29" s="143"/>
      <c r="B29" s="139" t="str">
        <f t="shared" si="2"/>
        <v/>
      </c>
      <c r="C29" s="137"/>
      <c r="D29" s="138">
        <f t="shared" si="0"/>
        <v>0</v>
      </c>
      <c r="E29" s="139" t="str">
        <f t="shared" si="3"/>
        <v/>
      </c>
      <c r="F29" s="139"/>
      <c r="G29" s="138">
        <f t="shared" si="4"/>
        <v>0.66736111607816484</v>
      </c>
      <c r="H29" s="139"/>
      <c r="I29" s="139">
        <f t="shared" si="5"/>
        <v>0</v>
      </c>
      <c r="J29" s="139">
        <f>IFERROR(VLOOKUP("КВ*",A29:G$69,5,FALSE),0)</f>
        <v>0</v>
      </c>
      <c r="K29" s="137"/>
      <c r="L29" s="138">
        <f t="shared" si="6"/>
        <v>0</v>
      </c>
      <c r="M29" s="140">
        <f t="shared" si="7"/>
        <v>0</v>
      </c>
      <c r="N29" s="141" t="s">
        <v>450</v>
      </c>
      <c r="O29" s="141"/>
      <c r="P29" s="142"/>
      <c r="Q29" s="142"/>
      <c r="R29" s="142"/>
      <c r="S29" s="142"/>
    </row>
    <row r="30" spans="1:19" s="44" customFormat="1" hidden="1" x14ac:dyDescent="0.25">
      <c r="A30" s="143"/>
      <c r="B30" s="139" t="str">
        <f t="shared" si="2"/>
        <v/>
      </c>
      <c r="C30" s="137"/>
      <c r="D30" s="138">
        <f t="shared" si="0"/>
        <v>0</v>
      </c>
      <c r="E30" s="139" t="str">
        <f t="shared" si="3"/>
        <v/>
      </c>
      <c r="F30" s="139"/>
      <c r="G30" s="138">
        <f t="shared" si="4"/>
        <v>0.66736111607816484</v>
      </c>
      <c r="H30" s="139"/>
      <c r="I30" s="139">
        <f t="shared" si="5"/>
        <v>0</v>
      </c>
      <c r="J30" s="139">
        <f>IFERROR(VLOOKUP("КВ*",A30:G$69,5,FALSE),0)</f>
        <v>0</v>
      </c>
      <c r="K30" s="137"/>
      <c r="L30" s="138">
        <f t="shared" si="6"/>
        <v>0</v>
      </c>
      <c r="M30" s="140">
        <f t="shared" si="7"/>
        <v>0</v>
      </c>
      <c r="N30" s="141" t="s">
        <v>451</v>
      </c>
      <c r="O30" s="141"/>
      <c r="P30" s="142"/>
      <c r="Q30" s="142"/>
      <c r="R30" s="142"/>
      <c r="S30" s="142"/>
    </row>
    <row r="31" spans="1:19" s="44" customFormat="1" hidden="1" x14ac:dyDescent="0.25">
      <c r="A31" s="143"/>
      <c r="B31" s="139" t="str">
        <f t="shared" si="2"/>
        <v/>
      </c>
      <c r="C31" s="137"/>
      <c r="D31" s="138">
        <f t="shared" si="0"/>
        <v>0</v>
      </c>
      <c r="E31" s="139" t="str">
        <f t="shared" si="3"/>
        <v/>
      </c>
      <c r="F31" s="139"/>
      <c r="G31" s="138">
        <f t="shared" si="4"/>
        <v>0.66736111607816484</v>
      </c>
      <c r="H31" s="139"/>
      <c r="I31" s="139">
        <f t="shared" si="5"/>
        <v>0</v>
      </c>
      <c r="J31" s="139">
        <f>IFERROR(VLOOKUP("КВ*",A31:G$69,5,FALSE),0)</f>
        <v>0</v>
      </c>
      <c r="K31" s="137"/>
      <c r="L31" s="138">
        <f t="shared" si="6"/>
        <v>0</v>
      </c>
      <c r="M31" s="140">
        <f t="shared" si="7"/>
        <v>0</v>
      </c>
      <c r="N31" s="141"/>
      <c r="O31" s="141"/>
      <c r="P31" s="142"/>
      <c r="Q31" s="142"/>
      <c r="R31" s="142"/>
      <c r="S31" s="142"/>
    </row>
    <row r="32" spans="1:19" s="44" customFormat="1" hidden="1" x14ac:dyDescent="0.25">
      <c r="A32" s="143"/>
      <c r="B32" s="139" t="str">
        <f t="shared" si="2"/>
        <v/>
      </c>
      <c r="C32" s="137"/>
      <c r="D32" s="138">
        <f t="shared" si="0"/>
        <v>0</v>
      </c>
      <c r="E32" s="139" t="str">
        <f t="shared" si="3"/>
        <v/>
      </c>
      <c r="F32" s="139"/>
      <c r="G32" s="138">
        <f t="shared" si="4"/>
        <v>0.66736111607816484</v>
      </c>
      <c r="H32" s="139"/>
      <c r="I32" s="139">
        <f t="shared" si="5"/>
        <v>0</v>
      </c>
      <c r="J32" s="139">
        <f>IFERROR(VLOOKUP("КВ*",A32:G$69,5,FALSE),0)</f>
        <v>0</v>
      </c>
      <c r="K32" s="137"/>
      <c r="L32" s="138">
        <f t="shared" si="6"/>
        <v>0</v>
      </c>
      <c r="M32" s="140">
        <f t="shared" si="7"/>
        <v>0</v>
      </c>
      <c r="N32" s="141"/>
      <c r="O32" s="141"/>
      <c r="P32" s="142"/>
      <c r="Q32" s="142"/>
      <c r="R32" s="142"/>
      <c r="S32" s="142"/>
    </row>
    <row r="33" spans="1:19" s="44" customFormat="1" hidden="1" x14ac:dyDescent="0.25">
      <c r="A33" s="143"/>
      <c r="B33" s="139" t="str">
        <f t="shared" si="2"/>
        <v/>
      </c>
      <c r="C33" s="137"/>
      <c r="D33" s="138">
        <f t="shared" si="0"/>
        <v>0</v>
      </c>
      <c r="E33" s="139" t="str">
        <f t="shared" si="3"/>
        <v/>
      </c>
      <c r="F33" s="139"/>
      <c r="G33" s="138">
        <f t="shared" si="4"/>
        <v>0.66736111607816484</v>
      </c>
      <c r="H33" s="139"/>
      <c r="I33" s="139">
        <f t="shared" si="5"/>
        <v>0</v>
      </c>
      <c r="J33" s="139">
        <f>IFERROR(VLOOKUP("КВ*",A33:G$69,5,FALSE),0)</f>
        <v>0</v>
      </c>
      <c r="K33" s="137"/>
      <c r="L33" s="138">
        <f t="shared" si="6"/>
        <v>0</v>
      </c>
      <c r="M33" s="140">
        <f t="shared" si="7"/>
        <v>0</v>
      </c>
      <c r="N33" s="141"/>
      <c r="O33" s="141"/>
      <c r="P33" s="142"/>
      <c r="Q33" s="142"/>
      <c r="R33" s="142"/>
      <c r="S33" s="142"/>
    </row>
    <row r="34" spans="1:19" s="44" customFormat="1" hidden="1" x14ac:dyDescent="0.25">
      <c r="A34" s="143"/>
      <c r="B34" s="139" t="str">
        <f t="shared" si="2"/>
        <v/>
      </c>
      <c r="C34" s="137"/>
      <c r="D34" s="138">
        <f t="shared" si="0"/>
        <v>0</v>
      </c>
      <c r="E34" s="139" t="str">
        <f t="shared" si="3"/>
        <v/>
      </c>
      <c r="F34" s="139"/>
      <c r="G34" s="138">
        <f t="shared" si="4"/>
        <v>0.66736111607816484</v>
      </c>
      <c r="H34" s="139"/>
      <c r="I34" s="139">
        <f t="shared" si="5"/>
        <v>0</v>
      </c>
      <c r="J34" s="139">
        <f>IFERROR(VLOOKUP("КВ*",A34:G$69,5,FALSE),0)</f>
        <v>0</v>
      </c>
      <c r="K34" s="137"/>
      <c r="L34" s="138">
        <f t="shared" si="6"/>
        <v>0</v>
      </c>
      <c r="M34" s="140">
        <f t="shared" si="7"/>
        <v>0</v>
      </c>
      <c r="N34" s="141"/>
      <c r="O34" s="141"/>
      <c r="P34" s="142"/>
      <c r="Q34" s="142"/>
      <c r="R34" s="142"/>
      <c r="S34" s="142"/>
    </row>
    <row r="35" spans="1:19" s="44" customFormat="1" hidden="1" x14ac:dyDescent="0.25">
      <c r="A35" s="143"/>
      <c r="B35" s="139" t="str">
        <f t="shared" si="2"/>
        <v/>
      </c>
      <c r="C35" s="137"/>
      <c r="D35" s="138">
        <f t="shared" si="0"/>
        <v>0</v>
      </c>
      <c r="E35" s="139" t="str">
        <f t="shared" si="3"/>
        <v/>
      </c>
      <c r="F35" s="139"/>
      <c r="G35" s="138">
        <f t="shared" si="4"/>
        <v>0.66736111607816484</v>
      </c>
      <c r="H35" s="139"/>
      <c r="I35" s="139">
        <f t="shared" si="5"/>
        <v>0</v>
      </c>
      <c r="J35" s="139">
        <f>IFERROR(VLOOKUP("КВ*",A35:G$69,5,FALSE),0)</f>
        <v>0</v>
      </c>
      <c r="K35" s="137"/>
      <c r="L35" s="138">
        <f t="shared" si="6"/>
        <v>0</v>
      </c>
      <c r="M35" s="140">
        <f t="shared" si="7"/>
        <v>0</v>
      </c>
      <c r="N35" s="141"/>
      <c r="O35" s="141"/>
      <c r="P35" s="142"/>
      <c r="Q35" s="142"/>
      <c r="R35" s="142"/>
      <c r="S35" s="142"/>
    </row>
    <row r="36" spans="1:19" s="44" customFormat="1" hidden="1" x14ac:dyDescent="0.25">
      <c r="A36" s="143"/>
      <c r="B36" s="139" t="str">
        <f t="shared" si="2"/>
        <v/>
      </c>
      <c r="C36" s="137"/>
      <c r="D36" s="138">
        <f t="shared" si="0"/>
        <v>0</v>
      </c>
      <c r="E36" s="139" t="str">
        <f t="shared" si="3"/>
        <v/>
      </c>
      <c r="F36" s="139"/>
      <c r="G36" s="138">
        <f t="shared" si="4"/>
        <v>0.66736111607816484</v>
      </c>
      <c r="H36" s="139"/>
      <c r="I36" s="139">
        <f t="shared" si="5"/>
        <v>0</v>
      </c>
      <c r="J36" s="139">
        <f>IFERROR(VLOOKUP("КВ*",A36:G$69,5,FALSE),0)</f>
        <v>0</v>
      </c>
      <c r="K36" s="137"/>
      <c r="L36" s="138">
        <f t="shared" si="6"/>
        <v>0</v>
      </c>
      <c r="M36" s="140">
        <f t="shared" si="7"/>
        <v>0</v>
      </c>
      <c r="N36" s="141"/>
      <c r="O36" s="141"/>
      <c r="P36" s="142"/>
      <c r="Q36" s="142"/>
      <c r="R36" s="142"/>
      <c r="S36" s="142"/>
    </row>
    <row r="37" spans="1:19" s="44" customFormat="1" hidden="1" x14ac:dyDescent="0.25">
      <c r="A37" s="143"/>
      <c r="B37" s="139" t="str">
        <f t="shared" si="2"/>
        <v/>
      </c>
      <c r="C37" s="137"/>
      <c r="D37" s="138">
        <f t="shared" si="0"/>
        <v>0</v>
      </c>
      <c r="E37" s="139" t="str">
        <f t="shared" si="3"/>
        <v/>
      </c>
      <c r="F37" s="139"/>
      <c r="G37" s="138">
        <f t="shared" si="4"/>
        <v>0.66736111607816484</v>
      </c>
      <c r="H37" s="139"/>
      <c r="I37" s="139">
        <f t="shared" si="5"/>
        <v>0</v>
      </c>
      <c r="J37" s="139">
        <f>IFERROR(VLOOKUP("КВ*",A37:G$69,5,FALSE),0)</f>
        <v>0</v>
      </c>
      <c r="K37" s="137"/>
      <c r="L37" s="138">
        <f t="shared" si="6"/>
        <v>0</v>
      </c>
      <c r="M37" s="140">
        <f t="shared" si="7"/>
        <v>0</v>
      </c>
      <c r="N37" s="141"/>
      <c r="O37" s="141"/>
      <c r="P37" s="142"/>
      <c r="Q37" s="142"/>
      <c r="R37" s="142"/>
      <c r="S37" s="142"/>
    </row>
    <row r="38" spans="1:19" s="44" customFormat="1" hidden="1" x14ac:dyDescent="0.25">
      <c r="A38" s="143"/>
      <c r="B38" s="139" t="str">
        <f t="shared" si="2"/>
        <v/>
      </c>
      <c r="C38" s="137"/>
      <c r="D38" s="138">
        <f t="shared" si="0"/>
        <v>0</v>
      </c>
      <c r="E38" s="139" t="str">
        <f t="shared" si="3"/>
        <v/>
      </c>
      <c r="F38" s="139"/>
      <c r="G38" s="138">
        <f t="shared" si="4"/>
        <v>0.66736111607816484</v>
      </c>
      <c r="H38" s="139"/>
      <c r="I38" s="139">
        <f t="shared" si="5"/>
        <v>0</v>
      </c>
      <c r="J38" s="139">
        <f>IFERROR(VLOOKUP("КВ*",A38:G$69,5,FALSE),0)</f>
        <v>0</v>
      </c>
      <c r="K38" s="137"/>
      <c r="L38" s="138">
        <f t="shared" si="6"/>
        <v>0</v>
      </c>
      <c r="M38" s="140">
        <f t="shared" si="7"/>
        <v>0</v>
      </c>
      <c r="N38" s="141"/>
      <c r="O38" s="141"/>
      <c r="P38" s="142"/>
      <c r="Q38" s="142"/>
      <c r="R38" s="142"/>
      <c r="S38" s="142"/>
    </row>
    <row r="39" spans="1:19" s="44" customFormat="1" hidden="1" x14ac:dyDescent="0.25">
      <c r="A39" s="143"/>
      <c r="B39" s="139" t="str">
        <f t="shared" si="2"/>
        <v/>
      </c>
      <c r="C39" s="137"/>
      <c r="D39" s="138">
        <f t="shared" si="0"/>
        <v>0</v>
      </c>
      <c r="E39" s="139" t="str">
        <f t="shared" si="3"/>
        <v/>
      </c>
      <c r="F39" s="139"/>
      <c r="G39" s="138">
        <f t="shared" si="4"/>
        <v>0.66736111607816484</v>
      </c>
      <c r="H39" s="139"/>
      <c r="I39" s="139">
        <f t="shared" si="5"/>
        <v>0</v>
      </c>
      <c r="J39" s="139">
        <f>IFERROR(VLOOKUP("КВ*",A39:G$69,5,FALSE),0)</f>
        <v>0</v>
      </c>
      <c r="K39" s="137"/>
      <c r="L39" s="138">
        <f t="shared" si="6"/>
        <v>0</v>
      </c>
      <c r="M39" s="140">
        <f t="shared" si="7"/>
        <v>0</v>
      </c>
      <c r="N39" s="141"/>
      <c r="O39" s="141"/>
      <c r="P39" s="142"/>
      <c r="Q39" s="142"/>
      <c r="R39" s="142"/>
      <c r="S39" s="142"/>
    </row>
    <row r="40" spans="1:19" s="44" customFormat="1" hidden="1" x14ac:dyDescent="0.25">
      <c r="A40" s="143"/>
      <c r="B40" s="139" t="str">
        <f t="shared" si="2"/>
        <v/>
      </c>
      <c r="C40" s="137"/>
      <c r="D40" s="138">
        <f t="shared" si="0"/>
        <v>0</v>
      </c>
      <c r="E40" s="139" t="str">
        <f t="shared" si="3"/>
        <v/>
      </c>
      <c r="F40" s="139"/>
      <c r="G40" s="138">
        <f t="shared" si="4"/>
        <v>0.66736111607816484</v>
      </c>
      <c r="H40" s="139"/>
      <c r="I40" s="139">
        <f t="shared" si="5"/>
        <v>0</v>
      </c>
      <c r="J40" s="139">
        <f>IFERROR(VLOOKUP("КВ*",A40:G$69,5,FALSE),0)</f>
        <v>0</v>
      </c>
      <c r="K40" s="137"/>
      <c r="L40" s="138">
        <f t="shared" si="6"/>
        <v>0</v>
      </c>
      <c r="M40" s="140">
        <f t="shared" si="7"/>
        <v>0</v>
      </c>
      <c r="N40" s="141"/>
      <c r="O40" s="141"/>
      <c r="P40" s="142"/>
      <c r="Q40" s="142"/>
      <c r="R40" s="142"/>
      <c r="S40" s="142"/>
    </row>
    <row r="41" spans="1:19" s="44" customFormat="1" hidden="1" x14ac:dyDescent="0.25">
      <c r="A41" s="143"/>
      <c r="B41" s="139" t="str">
        <f t="shared" si="2"/>
        <v/>
      </c>
      <c r="C41" s="137"/>
      <c r="D41" s="138">
        <f t="shared" si="0"/>
        <v>0</v>
      </c>
      <c r="E41" s="139" t="str">
        <f t="shared" si="3"/>
        <v/>
      </c>
      <c r="F41" s="139"/>
      <c r="G41" s="138">
        <f t="shared" si="4"/>
        <v>0.66736111607816484</v>
      </c>
      <c r="H41" s="139"/>
      <c r="I41" s="139">
        <f t="shared" si="5"/>
        <v>0</v>
      </c>
      <c r="J41" s="139">
        <f>IFERROR(VLOOKUP("КВ*",A41:G$69,5,FALSE),0)</f>
        <v>0</v>
      </c>
      <c r="K41" s="137"/>
      <c r="L41" s="138">
        <f t="shared" si="6"/>
        <v>0</v>
      </c>
      <c r="M41" s="140">
        <f t="shared" si="7"/>
        <v>0</v>
      </c>
      <c r="N41" s="141"/>
      <c r="O41" s="141"/>
      <c r="P41" s="142"/>
      <c r="Q41" s="142"/>
      <c r="R41" s="142"/>
      <c r="S41" s="142"/>
    </row>
    <row r="42" spans="1:19" s="44" customFormat="1" hidden="1" x14ac:dyDescent="0.25">
      <c r="A42" s="143"/>
      <c r="B42" s="139" t="str">
        <f t="shared" si="2"/>
        <v/>
      </c>
      <c r="C42" s="137"/>
      <c r="D42" s="138">
        <f t="shared" ref="D42:D69" si="8">IF(AND(LEFT(A42,2)="КВ",L42&gt;0),L42,0)</f>
        <v>0</v>
      </c>
      <c r="E42" s="139" t="str">
        <f t="shared" si="3"/>
        <v/>
      </c>
      <c r="F42" s="139"/>
      <c r="G42" s="138">
        <f t="shared" si="4"/>
        <v>0.66736111607816484</v>
      </c>
      <c r="H42" s="139"/>
      <c r="I42" s="139">
        <f t="shared" si="5"/>
        <v>0</v>
      </c>
      <c r="J42" s="139">
        <f>IFERROR(VLOOKUP("КВ*",A42:G$69,5,FALSE),0)</f>
        <v>0</v>
      </c>
      <c r="K42" s="137"/>
      <c r="L42" s="138">
        <f t="shared" si="6"/>
        <v>0</v>
      </c>
      <c r="M42" s="140">
        <f t="shared" si="7"/>
        <v>0</v>
      </c>
      <c r="N42" s="141"/>
      <c r="O42" s="141"/>
      <c r="P42" s="142"/>
      <c r="Q42" s="142"/>
      <c r="R42" s="142"/>
      <c r="S42" s="142"/>
    </row>
    <row r="43" spans="1:19" s="44" customFormat="1" hidden="1" x14ac:dyDescent="0.25">
      <c r="A43" s="143"/>
      <c r="B43" s="139" t="str">
        <f t="shared" si="2"/>
        <v/>
      </c>
      <c r="C43" s="137"/>
      <c r="D43" s="138">
        <f t="shared" si="8"/>
        <v>0</v>
      </c>
      <c r="E43" s="139" t="str">
        <f t="shared" si="3"/>
        <v/>
      </c>
      <c r="F43" s="139"/>
      <c r="G43" s="138">
        <f t="shared" si="4"/>
        <v>0.66736111607816484</v>
      </c>
      <c r="H43" s="139"/>
      <c r="I43" s="139">
        <f t="shared" si="5"/>
        <v>0</v>
      </c>
      <c r="J43" s="139">
        <f>IFERROR(VLOOKUP("КВ*",A43:G$69,5,FALSE),0)</f>
        <v>0</v>
      </c>
      <c r="K43" s="137"/>
      <c r="L43" s="138">
        <f t="shared" si="6"/>
        <v>0</v>
      </c>
      <c r="M43" s="140">
        <f t="shared" si="7"/>
        <v>0</v>
      </c>
      <c r="N43" s="141"/>
      <c r="O43" s="141"/>
      <c r="P43" s="142"/>
      <c r="Q43" s="142"/>
      <c r="R43" s="142"/>
      <c r="S43" s="142"/>
    </row>
    <row r="44" spans="1:19" s="44" customFormat="1" hidden="1" x14ac:dyDescent="0.25">
      <c r="A44" s="143"/>
      <c r="B44" s="139" t="str">
        <f t="shared" si="2"/>
        <v/>
      </c>
      <c r="C44" s="137"/>
      <c r="D44" s="138">
        <f t="shared" si="8"/>
        <v>0</v>
      </c>
      <c r="E44" s="139" t="str">
        <f t="shared" si="3"/>
        <v/>
      </c>
      <c r="F44" s="139"/>
      <c r="G44" s="138">
        <f t="shared" si="4"/>
        <v>0.66736111607816484</v>
      </c>
      <c r="H44" s="139"/>
      <c r="I44" s="139">
        <f t="shared" si="5"/>
        <v>0</v>
      </c>
      <c r="J44" s="139">
        <f>IFERROR(VLOOKUP("КВ*",A44:G$69,5,FALSE),0)</f>
        <v>0</v>
      </c>
      <c r="K44" s="137"/>
      <c r="L44" s="138">
        <f t="shared" si="6"/>
        <v>0</v>
      </c>
      <c r="M44" s="140">
        <f t="shared" si="7"/>
        <v>0</v>
      </c>
      <c r="N44" s="141"/>
      <c r="O44" s="141"/>
      <c r="P44" s="142"/>
      <c r="Q44" s="142"/>
      <c r="R44" s="142"/>
      <c r="S44" s="142"/>
    </row>
    <row r="45" spans="1:19" s="44" customFormat="1" hidden="1" x14ac:dyDescent="0.25">
      <c r="A45" s="143"/>
      <c r="B45" s="139" t="str">
        <f t="shared" si="2"/>
        <v/>
      </c>
      <c r="C45" s="137"/>
      <c r="D45" s="138">
        <f t="shared" si="8"/>
        <v>0</v>
      </c>
      <c r="E45" s="139" t="str">
        <f t="shared" si="3"/>
        <v/>
      </c>
      <c r="F45" s="139"/>
      <c r="G45" s="138">
        <f t="shared" si="4"/>
        <v>0.66736111607816484</v>
      </c>
      <c r="H45" s="139"/>
      <c r="I45" s="139">
        <f t="shared" si="5"/>
        <v>0</v>
      </c>
      <c r="J45" s="139">
        <f>IFERROR(VLOOKUP("КВ*",A45:G$69,5,FALSE),0)</f>
        <v>0</v>
      </c>
      <c r="K45" s="137"/>
      <c r="L45" s="138">
        <f t="shared" si="6"/>
        <v>0</v>
      </c>
      <c r="M45" s="140">
        <f t="shared" si="7"/>
        <v>0</v>
      </c>
      <c r="N45" s="141"/>
      <c r="O45" s="141"/>
      <c r="P45" s="142"/>
      <c r="Q45" s="142"/>
      <c r="R45" s="142"/>
      <c r="S45" s="142"/>
    </row>
    <row r="46" spans="1:19" s="44" customFormat="1" hidden="1" x14ac:dyDescent="0.25">
      <c r="A46" s="143"/>
      <c r="B46" s="139" t="str">
        <f t="shared" si="2"/>
        <v/>
      </c>
      <c r="C46" s="137"/>
      <c r="D46" s="138">
        <f t="shared" si="8"/>
        <v>0</v>
      </c>
      <c r="E46" s="139" t="str">
        <f t="shared" si="3"/>
        <v/>
      </c>
      <c r="F46" s="139"/>
      <c r="G46" s="138">
        <f t="shared" si="4"/>
        <v>0.66736111607816484</v>
      </c>
      <c r="H46" s="139"/>
      <c r="I46" s="139">
        <f t="shared" si="5"/>
        <v>0</v>
      </c>
      <c r="J46" s="139">
        <f>IFERROR(VLOOKUP("КВ*",A46:G$69,5,FALSE),0)</f>
        <v>0</v>
      </c>
      <c r="K46" s="137"/>
      <c r="L46" s="138">
        <f t="shared" si="6"/>
        <v>0</v>
      </c>
      <c r="M46" s="140">
        <f t="shared" si="7"/>
        <v>0</v>
      </c>
      <c r="N46" s="141"/>
      <c r="O46" s="141"/>
      <c r="P46" s="142"/>
      <c r="Q46" s="142"/>
      <c r="R46" s="142"/>
      <c r="S46" s="142"/>
    </row>
    <row r="47" spans="1:19" s="44" customFormat="1" hidden="1" x14ac:dyDescent="0.25">
      <c r="A47" s="143"/>
      <c r="B47" s="139" t="str">
        <f t="shared" si="2"/>
        <v/>
      </c>
      <c r="C47" s="137"/>
      <c r="D47" s="138">
        <f t="shared" si="8"/>
        <v>0</v>
      </c>
      <c r="E47" s="139" t="str">
        <f t="shared" si="3"/>
        <v/>
      </c>
      <c r="F47" s="139"/>
      <c r="G47" s="138">
        <f t="shared" si="4"/>
        <v>0.66736111607816484</v>
      </c>
      <c r="H47" s="139"/>
      <c r="I47" s="139">
        <f t="shared" si="5"/>
        <v>0</v>
      </c>
      <c r="J47" s="139">
        <f>IFERROR(VLOOKUP("КВ*",A47:G$69,5,FALSE),0)</f>
        <v>0</v>
      </c>
      <c r="K47" s="137"/>
      <c r="L47" s="138">
        <f t="shared" si="6"/>
        <v>0</v>
      </c>
      <c r="M47" s="140">
        <f t="shared" si="7"/>
        <v>0</v>
      </c>
      <c r="N47" s="141"/>
      <c r="O47" s="141"/>
      <c r="P47" s="142"/>
      <c r="Q47" s="142"/>
      <c r="R47" s="142"/>
      <c r="S47" s="142"/>
    </row>
    <row r="48" spans="1:19" s="44" customFormat="1" hidden="1" x14ac:dyDescent="0.25">
      <c r="A48" s="143"/>
      <c r="B48" s="139" t="str">
        <f t="shared" si="2"/>
        <v/>
      </c>
      <c r="C48" s="137"/>
      <c r="D48" s="138">
        <f t="shared" si="8"/>
        <v>0</v>
      </c>
      <c r="E48" s="139" t="str">
        <f t="shared" si="3"/>
        <v/>
      </c>
      <c r="F48" s="139"/>
      <c r="G48" s="138">
        <f t="shared" si="4"/>
        <v>0.66736111607816484</v>
      </c>
      <c r="H48" s="139"/>
      <c r="I48" s="139">
        <f t="shared" si="5"/>
        <v>0</v>
      </c>
      <c r="J48" s="139">
        <f>IFERROR(VLOOKUP("КВ*",A48:G$69,5,FALSE),0)</f>
        <v>0</v>
      </c>
      <c r="K48" s="137"/>
      <c r="L48" s="138">
        <f t="shared" si="6"/>
        <v>0</v>
      </c>
      <c r="M48" s="140">
        <f t="shared" si="7"/>
        <v>0</v>
      </c>
      <c r="N48" s="141"/>
      <c r="O48" s="141"/>
      <c r="P48" s="142"/>
      <c r="Q48" s="142"/>
      <c r="R48" s="142"/>
      <c r="S48" s="142"/>
    </row>
    <row r="49" spans="1:19" s="44" customFormat="1" hidden="1" x14ac:dyDescent="0.25">
      <c r="A49" s="143"/>
      <c r="B49" s="139" t="str">
        <f t="shared" si="2"/>
        <v/>
      </c>
      <c r="C49" s="137"/>
      <c r="D49" s="138">
        <f t="shared" si="8"/>
        <v>0</v>
      </c>
      <c r="E49" s="139" t="str">
        <f t="shared" si="3"/>
        <v/>
      </c>
      <c r="F49" s="139"/>
      <c r="G49" s="138">
        <f t="shared" si="4"/>
        <v>0.66736111607816484</v>
      </c>
      <c r="H49" s="139"/>
      <c r="I49" s="139">
        <f t="shared" si="5"/>
        <v>0</v>
      </c>
      <c r="J49" s="139">
        <f>IFERROR(VLOOKUP("КВ*",A49:G$69,5,FALSE),0)</f>
        <v>0</v>
      </c>
      <c r="K49" s="137"/>
      <c r="L49" s="138">
        <f t="shared" si="6"/>
        <v>0</v>
      </c>
      <c r="M49" s="140">
        <f t="shared" si="7"/>
        <v>0</v>
      </c>
      <c r="N49" s="141"/>
      <c r="O49" s="141"/>
      <c r="P49" s="142"/>
      <c r="Q49" s="142"/>
      <c r="R49" s="142"/>
      <c r="S49" s="142"/>
    </row>
    <row r="50" spans="1:19" s="44" customFormat="1" hidden="1" x14ac:dyDescent="0.25">
      <c r="A50" s="143"/>
      <c r="B50" s="139" t="str">
        <f t="shared" si="2"/>
        <v/>
      </c>
      <c r="C50" s="137"/>
      <c r="D50" s="138">
        <f t="shared" si="8"/>
        <v>0</v>
      </c>
      <c r="E50" s="139" t="str">
        <f t="shared" si="3"/>
        <v/>
      </c>
      <c r="F50" s="139"/>
      <c r="G50" s="138">
        <f t="shared" si="4"/>
        <v>0.66736111607816484</v>
      </c>
      <c r="H50" s="139"/>
      <c r="I50" s="139">
        <f t="shared" si="5"/>
        <v>0</v>
      </c>
      <c r="J50" s="139">
        <f>IFERROR(VLOOKUP("КВ*",A50:G$69,5,FALSE),0)</f>
        <v>0</v>
      </c>
      <c r="K50" s="137"/>
      <c r="L50" s="138">
        <f t="shared" si="6"/>
        <v>0</v>
      </c>
      <c r="M50" s="140">
        <f t="shared" si="7"/>
        <v>0</v>
      </c>
      <c r="N50" s="141"/>
      <c r="O50" s="141"/>
      <c r="P50" s="142"/>
      <c r="Q50" s="142"/>
      <c r="R50" s="142"/>
      <c r="S50" s="142"/>
    </row>
    <row r="51" spans="1:19" s="44" customFormat="1" hidden="1" x14ac:dyDescent="0.25">
      <c r="A51" s="143"/>
      <c r="B51" s="139" t="str">
        <f t="shared" si="2"/>
        <v/>
      </c>
      <c r="C51" s="137"/>
      <c r="D51" s="138">
        <f t="shared" si="8"/>
        <v>0</v>
      </c>
      <c r="E51" s="139" t="str">
        <f t="shared" si="3"/>
        <v/>
      </c>
      <c r="F51" s="139"/>
      <c r="G51" s="138">
        <f t="shared" si="4"/>
        <v>0.66736111607816484</v>
      </c>
      <c r="H51" s="139"/>
      <c r="I51" s="139">
        <f t="shared" si="5"/>
        <v>0</v>
      </c>
      <c r="J51" s="139">
        <f>IFERROR(VLOOKUP("КВ*",A51:G$69,5,FALSE),0)</f>
        <v>0</v>
      </c>
      <c r="K51" s="137"/>
      <c r="L51" s="138">
        <f t="shared" si="6"/>
        <v>0</v>
      </c>
      <c r="M51" s="140">
        <f t="shared" si="7"/>
        <v>0</v>
      </c>
      <c r="N51" s="141"/>
      <c r="O51" s="141"/>
      <c r="P51" s="142"/>
      <c r="Q51" s="142"/>
      <c r="R51" s="142"/>
      <c r="S51" s="142"/>
    </row>
    <row r="52" spans="1:19" s="44" customFormat="1" hidden="1" x14ac:dyDescent="0.25">
      <c r="A52" s="143"/>
      <c r="B52" s="139" t="str">
        <f t="shared" si="2"/>
        <v/>
      </c>
      <c r="C52" s="137"/>
      <c r="D52" s="138">
        <f t="shared" si="8"/>
        <v>0</v>
      </c>
      <c r="E52" s="139" t="str">
        <f t="shared" si="3"/>
        <v/>
      </c>
      <c r="F52" s="139"/>
      <c r="G52" s="138">
        <f t="shared" si="4"/>
        <v>0.66736111607816484</v>
      </c>
      <c r="H52" s="139"/>
      <c r="I52" s="139">
        <f t="shared" si="5"/>
        <v>0</v>
      </c>
      <c r="J52" s="139">
        <f>IFERROR(VLOOKUP("КВ*",A52:G$69,5,FALSE),0)</f>
        <v>0</v>
      </c>
      <c r="K52" s="137"/>
      <c r="L52" s="138">
        <f t="shared" si="6"/>
        <v>0</v>
      </c>
      <c r="M52" s="140">
        <f t="shared" si="7"/>
        <v>0</v>
      </c>
      <c r="N52" s="141"/>
      <c r="O52" s="141"/>
      <c r="P52" s="142"/>
      <c r="Q52" s="142"/>
      <c r="R52" s="142"/>
      <c r="S52" s="142"/>
    </row>
    <row r="53" spans="1:19" s="44" customFormat="1" hidden="1" x14ac:dyDescent="0.25">
      <c r="A53" s="143"/>
      <c r="B53" s="139" t="str">
        <f t="shared" si="2"/>
        <v/>
      </c>
      <c r="C53" s="137"/>
      <c r="D53" s="138">
        <f t="shared" si="8"/>
        <v>0</v>
      </c>
      <c r="E53" s="139" t="str">
        <f t="shared" si="3"/>
        <v/>
      </c>
      <c r="F53" s="139"/>
      <c r="G53" s="138">
        <f t="shared" si="4"/>
        <v>0.66736111607816484</v>
      </c>
      <c r="H53" s="139"/>
      <c r="I53" s="139">
        <f t="shared" si="5"/>
        <v>0</v>
      </c>
      <c r="J53" s="139">
        <f>IFERROR(VLOOKUP("КВ*",A53:G$69,5,FALSE),0)</f>
        <v>0</v>
      </c>
      <c r="K53" s="137"/>
      <c r="L53" s="138">
        <f t="shared" si="6"/>
        <v>0</v>
      </c>
      <c r="M53" s="140">
        <f t="shared" si="7"/>
        <v>0</v>
      </c>
      <c r="N53" s="141"/>
      <c r="O53" s="141"/>
      <c r="P53" s="142"/>
      <c r="Q53" s="142"/>
      <c r="R53" s="142"/>
      <c r="S53" s="142"/>
    </row>
    <row r="54" spans="1:19" s="44" customFormat="1" hidden="1" x14ac:dyDescent="0.25">
      <c r="A54" s="143"/>
      <c r="B54" s="139" t="str">
        <f t="shared" si="2"/>
        <v/>
      </c>
      <c r="C54" s="137"/>
      <c r="D54" s="138">
        <f t="shared" si="8"/>
        <v>0</v>
      </c>
      <c r="E54" s="139" t="str">
        <f t="shared" si="3"/>
        <v/>
      </c>
      <c r="F54" s="139"/>
      <c r="G54" s="138">
        <f t="shared" si="4"/>
        <v>0.66736111607816484</v>
      </c>
      <c r="H54" s="139"/>
      <c r="I54" s="139">
        <f t="shared" si="5"/>
        <v>0</v>
      </c>
      <c r="J54" s="139">
        <f>IFERROR(VLOOKUP("КВ*",A54:G$69,5,FALSE),0)</f>
        <v>0</v>
      </c>
      <c r="K54" s="137"/>
      <c r="L54" s="138">
        <f t="shared" si="6"/>
        <v>0</v>
      </c>
      <c r="M54" s="140">
        <f t="shared" si="7"/>
        <v>0</v>
      </c>
      <c r="N54" s="141"/>
      <c r="O54" s="141"/>
      <c r="P54" s="142"/>
      <c r="Q54" s="142"/>
      <c r="R54" s="142"/>
      <c r="S54" s="142"/>
    </row>
    <row r="55" spans="1:19" s="44" customFormat="1" hidden="1" x14ac:dyDescent="0.25">
      <c r="A55" s="143"/>
      <c r="B55" s="139" t="str">
        <f t="shared" si="2"/>
        <v/>
      </c>
      <c r="C55" s="137"/>
      <c r="D55" s="138">
        <f t="shared" si="8"/>
        <v>0</v>
      </c>
      <c r="E55" s="139" t="str">
        <f t="shared" si="3"/>
        <v/>
      </c>
      <c r="F55" s="139"/>
      <c r="G55" s="138">
        <f t="shared" si="4"/>
        <v>0.66736111607816484</v>
      </c>
      <c r="H55" s="139"/>
      <c r="I55" s="139">
        <f t="shared" si="5"/>
        <v>0</v>
      </c>
      <c r="J55" s="139">
        <f>IFERROR(VLOOKUP("КВ*",A55:G$69,5,FALSE),0)</f>
        <v>0</v>
      </c>
      <c r="K55" s="137"/>
      <c r="L55" s="138">
        <f t="shared" si="6"/>
        <v>0</v>
      </c>
      <c r="M55" s="140">
        <f t="shared" si="7"/>
        <v>0</v>
      </c>
      <c r="N55" s="141"/>
      <c r="O55" s="141"/>
      <c r="P55" s="142"/>
      <c r="Q55" s="142"/>
      <c r="R55" s="142"/>
      <c r="S55" s="142"/>
    </row>
    <row r="56" spans="1:19" s="44" customFormat="1" hidden="1" x14ac:dyDescent="0.25">
      <c r="A56" s="143"/>
      <c r="B56" s="139" t="str">
        <f t="shared" si="2"/>
        <v/>
      </c>
      <c r="C56" s="137"/>
      <c r="D56" s="138">
        <f t="shared" si="8"/>
        <v>0</v>
      </c>
      <c r="E56" s="139" t="str">
        <f t="shared" si="3"/>
        <v/>
      </c>
      <c r="F56" s="139"/>
      <c r="G56" s="138">
        <f t="shared" si="4"/>
        <v>0.66736111607816484</v>
      </c>
      <c r="H56" s="139"/>
      <c r="I56" s="139">
        <f t="shared" si="5"/>
        <v>0</v>
      </c>
      <c r="J56" s="139">
        <f>IFERROR(VLOOKUP("КВ*",A56:G$69,5,FALSE),0)</f>
        <v>0</v>
      </c>
      <c r="K56" s="137"/>
      <c r="L56" s="138">
        <f t="shared" si="6"/>
        <v>0</v>
      </c>
      <c r="M56" s="140">
        <f t="shared" si="7"/>
        <v>0</v>
      </c>
      <c r="N56" s="141"/>
      <c r="O56" s="141"/>
      <c r="P56" s="142"/>
      <c r="Q56" s="142"/>
      <c r="R56" s="142"/>
      <c r="S56" s="142"/>
    </row>
    <row r="57" spans="1:19" s="44" customFormat="1" hidden="1" x14ac:dyDescent="0.25">
      <c r="A57" s="143"/>
      <c r="B57" s="139" t="str">
        <f t="shared" si="2"/>
        <v/>
      </c>
      <c r="C57" s="137"/>
      <c r="D57" s="138">
        <f t="shared" si="8"/>
        <v>0</v>
      </c>
      <c r="E57" s="139" t="str">
        <f t="shared" si="3"/>
        <v/>
      </c>
      <c r="F57" s="139"/>
      <c r="G57" s="138">
        <f t="shared" si="4"/>
        <v>0.66736111607816484</v>
      </c>
      <c r="H57" s="139"/>
      <c r="I57" s="139">
        <f t="shared" si="5"/>
        <v>0</v>
      </c>
      <c r="J57" s="139">
        <f>IFERROR(VLOOKUP("КВ*",A57:G$69,5,FALSE),0)</f>
        <v>0</v>
      </c>
      <c r="K57" s="137"/>
      <c r="L57" s="138">
        <f t="shared" si="6"/>
        <v>0</v>
      </c>
      <c r="M57" s="140">
        <f t="shared" si="7"/>
        <v>0</v>
      </c>
      <c r="N57" s="141"/>
      <c r="O57" s="141"/>
      <c r="P57" s="142"/>
      <c r="Q57" s="142"/>
      <c r="R57" s="142"/>
      <c r="S57" s="142"/>
    </row>
    <row r="58" spans="1:19" s="44" customFormat="1" hidden="1" x14ac:dyDescent="0.25">
      <c r="A58" s="143"/>
      <c r="B58" s="139" t="str">
        <f t="shared" si="2"/>
        <v/>
      </c>
      <c r="C58" s="137"/>
      <c r="D58" s="138">
        <f t="shared" si="8"/>
        <v>0</v>
      </c>
      <c r="E58" s="139" t="str">
        <f t="shared" si="3"/>
        <v/>
      </c>
      <c r="F58" s="139"/>
      <c r="G58" s="138">
        <f t="shared" si="4"/>
        <v>0.66736111607816484</v>
      </c>
      <c r="H58" s="139"/>
      <c r="I58" s="139">
        <f t="shared" si="5"/>
        <v>0</v>
      </c>
      <c r="J58" s="139">
        <f>IFERROR(VLOOKUP("КВ*",A58:G$69,5,FALSE),0)</f>
        <v>0</v>
      </c>
      <c r="K58" s="137"/>
      <c r="L58" s="138">
        <f t="shared" si="6"/>
        <v>0</v>
      </c>
      <c r="M58" s="140">
        <f t="shared" si="7"/>
        <v>0</v>
      </c>
      <c r="N58" s="141"/>
      <c r="O58" s="141"/>
      <c r="P58" s="142"/>
      <c r="Q58" s="142"/>
      <c r="R58" s="142"/>
      <c r="S58" s="142"/>
    </row>
    <row r="59" spans="1:19" s="44" customFormat="1" hidden="1" x14ac:dyDescent="0.25">
      <c r="A59" s="143"/>
      <c r="B59" s="139" t="str">
        <f t="shared" si="2"/>
        <v/>
      </c>
      <c r="C59" s="137"/>
      <c r="D59" s="138">
        <f t="shared" si="8"/>
        <v>0</v>
      </c>
      <c r="E59" s="139" t="str">
        <f t="shared" si="3"/>
        <v/>
      </c>
      <c r="F59" s="139"/>
      <c r="G59" s="138">
        <f t="shared" si="4"/>
        <v>0.66736111607816484</v>
      </c>
      <c r="H59" s="139"/>
      <c r="I59" s="139">
        <f t="shared" si="5"/>
        <v>0</v>
      </c>
      <c r="J59" s="139">
        <f>IFERROR(VLOOKUP("КВ*",A59:G$69,5,FALSE),0)</f>
        <v>0</v>
      </c>
      <c r="K59" s="137"/>
      <c r="L59" s="138">
        <f t="shared" si="6"/>
        <v>0</v>
      </c>
      <c r="M59" s="140">
        <f t="shared" si="7"/>
        <v>0</v>
      </c>
      <c r="N59" s="141"/>
      <c r="O59" s="141"/>
      <c r="P59" s="142"/>
      <c r="Q59" s="142"/>
      <c r="R59" s="142"/>
      <c r="S59" s="142"/>
    </row>
    <row r="60" spans="1:19" s="44" customFormat="1" hidden="1" x14ac:dyDescent="0.25">
      <c r="A60" s="143"/>
      <c r="B60" s="139" t="str">
        <f t="shared" si="2"/>
        <v/>
      </c>
      <c r="C60" s="137"/>
      <c r="D60" s="138">
        <f t="shared" si="8"/>
        <v>0</v>
      </c>
      <c r="E60" s="139" t="str">
        <f t="shared" si="3"/>
        <v/>
      </c>
      <c r="F60" s="139"/>
      <c r="G60" s="138">
        <f t="shared" si="4"/>
        <v>0.66736111607816484</v>
      </c>
      <c r="H60" s="139"/>
      <c r="I60" s="139">
        <f t="shared" si="5"/>
        <v>0</v>
      </c>
      <c r="J60" s="139">
        <f>IFERROR(VLOOKUP("КВ*",A60:G$69,5,FALSE),0)</f>
        <v>0</v>
      </c>
      <c r="K60" s="137"/>
      <c r="L60" s="138">
        <f t="shared" si="6"/>
        <v>0</v>
      </c>
      <c r="M60" s="140">
        <f t="shared" si="7"/>
        <v>0</v>
      </c>
      <c r="N60" s="141"/>
      <c r="O60" s="141"/>
      <c r="P60" s="142"/>
      <c r="Q60" s="142"/>
      <c r="R60" s="142"/>
      <c r="S60" s="142"/>
    </row>
    <row r="61" spans="1:19" s="44" customFormat="1" hidden="1" x14ac:dyDescent="0.25">
      <c r="A61" s="143"/>
      <c r="B61" s="139" t="str">
        <f t="shared" si="2"/>
        <v/>
      </c>
      <c r="C61" s="137"/>
      <c r="D61" s="138">
        <f t="shared" si="8"/>
        <v>0</v>
      </c>
      <c r="E61" s="139" t="str">
        <f t="shared" si="3"/>
        <v/>
      </c>
      <c r="F61" s="139"/>
      <c r="G61" s="138">
        <f t="shared" si="4"/>
        <v>0.66736111607816484</v>
      </c>
      <c r="H61" s="139"/>
      <c r="I61" s="139">
        <f t="shared" si="5"/>
        <v>0</v>
      </c>
      <c r="J61" s="139">
        <f>IFERROR(VLOOKUP("КВ*",A61:G$69,5,FALSE),0)</f>
        <v>0</v>
      </c>
      <c r="K61" s="137"/>
      <c r="L61" s="138">
        <f t="shared" si="6"/>
        <v>0</v>
      </c>
      <c r="M61" s="140">
        <f t="shared" si="7"/>
        <v>0</v>
      </c>
      <c r="N61" s="141"/>
      <c r="O61" s="141"/>
      <c r="P61" s="142"/>
      <c r="Q61" s="142"/>
      <c r="R61" s="142"/>
      <c r="S61" s="142"/>
    </row>
    <row r="62" spans="1:19" s="44" customFormat="1" hidden="1" x14ac:dyDescent="0.25">
      <c r="A62" s="143"/>
      <c r="B62" s="139" t="str">
        <f t="shared" si="2"/>
        <v/>
      </c>
      <c r="C62" s="137"/>
      <c r="D62" s="138">
        <f t="shared" si="8"/>
        <v>0</v>
      </c>
      <c r="E62" s="139" t="str">
        <f t="shared" si="3"/>
        <v/>
      </c>
      <c r="F62" s="139"/>
      <c r="G62" s="138">
        <f t="shared" si="4"/>
        <v>0.66736111607816484</v>
      </c>
      <c r="H62" s="139"/>
      <c r="I62" s="139">
        <f t="shared" si="5"/>
        <v>0</v>
      </c>
      <c r="J62" s="139">
        <f>IFERROR(VLOOKUP("КВ*",A62:G$69,5,FALSE),0)</f>
        <v>0</v>
      </c>
      <c r="K62" s="137"/>
      <c r="L62" s="138">
        <f t="shared" si="6"/>
        <v>0</v>
      </c>
      <c r="M62" s="140">
        <f t="shared" si="7"/>
        <v>0</v>
      </c>
      <c r="N62" s="141"/>
      <c r="O62" s="141"/>
      <c r="P62" s="142"/>
      <c r="Q62" s="142"/>
      <c r="R62" s="142"/>
      <c r="S62" s="142"/>
    </row>
    <row r="63" spans="1:19" s="44" customFormat="1" hidden="1" x14ac:dyDescent="0.25">
      <c r="A63" s="143"/>
      <c r="B63" s="139" t="str">
        <f t="shared" si="2"/>
        <v/>
      </c>
      <c r="C63" s="137"/>
      <c r="D63" s="138">
        <f t="shared" si="8"/>
        <v>0</v>
      </c>
      <c r="E63" s="139" t="str">
        <f t="shared" si="3"/>
        <v/>
      </c>
      <c r="F63" s="139"/>
      <c r="G63" s="138">
        <f t="shared" si="4"/>
        <v>0.66736111607816484</v>
      </c>
      <c r="H63" s="139"/>
      <c r="I63" s="139">
        <f t="shared" si="5"/>
        <v>0</v>
      </c>
      <c r="J63" s="139">
        <f>IFERROR(VLOOKUP("КВ*",A63:G$69,5,FALSE),0)</f>
        <v>0</v>
      </c>
      <c r="K63" s="137"/>
      <c r="L63" s="138">
        <f t="shared" si="6"/>
        <v>0</v>
      </c>
      <c r="M63" s="140">
        <f t="shared" si="7"/>
        <v>0</v>
      </c>
      <c r="N63" s="141"/>
      <c r="O63" s="141"/>
      <c r="P63" s="142"/>
      <c r="Q63" s="142"/>
      <c r="R63" s="142"/>
      <c r="S63" s="142"/>
    </row>
    <row r="64" spans="1:19" s="44" customFormat="1" hidden="1" x14ac:dyDescent="0.25">
      <c r="A64" s="143"/>
      <c r="B64" s="139" t="str">
        <f t="shared" si="2"/>
        <v/>
      </c>
      <c r="C64" s="137"/>
      <c r="D64" s="138">
        <f t="shared" si="8"/>
        <v>0</v>
      </c>
      <c r="E64" s="139" t="str">
        <f t="shared" si="3"/>
        <v/>
      </c>
      <c r="F64" s="139"/>
      <c r="G64" s="138">
        <f t="shared" si="4"/>
        <v>0.66736111607816484</v>
      </c>
      <c r="H64" s="139"/>
      <c r="I64" s="139">
        <f t="shared" si="5"/>
        <v>0</v>
      </c>
      <c r="J64" s="139">
        <f>IFERROR(VLOOKUP("КВ*",A64:G$69,5,FALSE),0)</f>
        <v>0</v>
      </c>
      <c r="K64" s="137"/>
      <c r="L64" s="138">
        <f t="shared" si="6"/>
        <v>0</v>
      </c>
      <c r="M64" s="140">
        <f t="shared" si="7"/>
        <v>0</v>
      </c>
      <c r="N64" s="141"/>
      <c r="O64" s="141"/>
      <c r="P64" s="142"/>
      <c r="Q64" s="142"/>
      <c r="R64" s="142"/>
      <c r="S64" s="142"/>
    </row>
    <row r="65" spans="1:27" s="44" customFormat="1" hidden="1" x14ac:dyDescent="0.25">
      <c r="A65" s="143"/>
      <c r="B65" s="139" t="str">
        <f t="shared" si="2"/>
        <v/>
      </c>
      <c r="C65" s="137"/>
      <c r="D65" s="138">
        <f t="shared" si="8"/>
        <v>0</v>
      </c>
      <c r="E65" s="139" t="str">
        <f t="shared" si="3"/>
        <v/>
      </c>
      <c r="F65" s="139"/>
      <c r="G65" s="138">
        <f t="shared" si="4"/>
        <v>0.66736111607816484</v>
      </c>
      <c r="H65" s="139"/>
      <c r="I65" s="139">
        <f t="shared" si="5"/>
        <v>0</v>
      </c>
      <c r="J65" s="139">
        <f>IFERROR(VLOOKUP("КВ*",A65:G$69,5,FALSE),0)</f>
        <v>0</v>
      </c>
      <c r="K65" s="137"/>
      <c r="L65" s="138">
        <f t="shared" si="6"/>
        <v>0</v>
      </c>
      <c r="M65" s="140">
        <f t="shared" si="7"/>
        <v>0</v>
      </c>
      <c r="N65" s="141"/>
      <c r="O65" s="141"/>
      <c r="P65" s="142"/>
      <c r="Q65" s="142"/>
      <c r="R65" s="142"/>
      <c r="S65" s="142"/>
    </row>
    <row r="66" spans="1:27" s="44" customFormat="1" hidden="1" x14ac:dyDescent="0.25">
      <c r="A66" s="143"/>
      <c r="B66" s="139" t="str">
        <f t="shared" si="2"/>
        <v/>
      </c>
      <c r="C66" s="137"/>
      <c r="D66" s="138">
        <f t="shared" si="8"/>
        <v>0</v>
      </c>
      <c r="E66" s="139" t="str">
        <f t="shared" si="3"/>
        <v/>
      </c>
      <c r="F66" s="139"/>
      <c r="G66" s="138">
        <f t="shared" si="4"/>
        <v>0.66736111607816484</v>
      </c>
      <c r="H66" s="139"/>
      <c r="I66" s="139">
        <f t="shared" si="5"/>
        <v>0</v>
      </c>
      <c r="J66" s="139">
        <f>IFERROR(VLOOKUP("КВ*",A66:G$69,5,FALSE),0)</f>
        <v>0</v>
      </c>
      <c r="K66" s="137"/>
      <c r="L66" s="138">
        <f t="shared" si="6"/>
        <v>0</v>
      </c>
      <c r="M66" s="140">
        <f t="shared" si="7"/>
        <v>0</v>
      </c>
      <c r="N66" s="141"/>
      <c r="O66" s="141"/>
      <c r="P66" s="142"/>
      <c r="Q66" s="142"/>
      <c r="R66" s="142"/>
      <c r="S66" s="142"/>
    </row>
    <row r="67" spans="1:27" s="44" customFormat="1" hidden="1" x14ac:dyDescent="0.25">
      <c r="A67" s="143"/>
      <c r="B67" s="139" t="str">
        <f t="shared" si="2"/>
        <v/>
      </c>
      <c r="C67" s="137"/>
      <c r="D67" s="138">
        <f t="shared" si="8"/>
        <v>0</v>
      </c>
      <c r="E67" s="139" t="str">
        <f t="shared" si="3"/>
        <v/>
      </c>
      <c r="F67" s="139"/>
      <c r="G67" s="138">
        <f t="shared" si="4"/>
        <v>0.66736111607816484</v>
      </c>
      <c r="H67" s="139"/>
      <c r="I67" s="139">
        <f t="shared" si="5"/>
        <v>0</v>
      </c>
      <c r="J67" s="139">
        <f>IFERROR(VLOOKUP("КВ*",A67:G$69,5,FALSE),0)</f>
        <v>0</v>
      </c>
      <c r="K67" s="137"/>
      <c r="L67" s="138">
        <f t="shared" si="6"/>
        <v>0</v>
      </c>
      <c r="M67" s="140">
        <f t="shared" si="7"/>
        <v>0</v>
      </c>
      <c r="N67" s="141"/>
      <c r="O67" s="141"/>
      <c r="P67" s="142"/>
      <c r="Q67" s="142"/>
      <c r="R67" s="142"/>
      <c r="S67" s="142"/>
    </row>
    <row r="68" spans="1:27" s="44" customFormat="1" hidden="1" x14ac:dyDescent="0.25">
      <c r="A68" s="143"/>
      <c r="B68" s="139" t="str">
        <f t="shared" si="2"/>
        <v/>
      </c>
      <c r="C68" s="137"/>
      <c r="D68" s="138">
        <f t="shared" si="8"/>
        <v>0</v>
      </c>
      <c r="E68" s="139" t="str">
        <f t="shared" si="3"/>
        <v/>
      </c>
      <c r="F68" s="139"/>
      <c r="G68" s="138">
        <f t="shared" si="4"/>
        <v>0.66736111607816484</v>
      </c>
      <c r="H68" s="139"/>
      <c r="I68" s="139">
        <f t="shared" si="5"/>
        <v>0</v>
      </c>
      <c r="J68" s="139">
        <f>IFERROR(VLOOKUP("КВ*",A68:G$69,5,FALSE),0)</f>
        <v>0</v>
      </c>
      <c r="K68" s="137"/>
      <c r="L68" s="138">
        <f t="shared" si="6"/>
        <v>0</v>
      </c>
      <c r="M68" s="140">
        <f t="shared" si="7"/>
        <v>0</v>
      </c>
      <c r="N68" s="141"/>
      <c r="O68" s="141"/>
      <c r="P68" s="142"/>
      <c r="Q68" s="142"/>
      <c r="R68" s="142"/>
      <c r="S68" s="142"/>
    </row>
    <row r="69" spans="1:27" s="44" customFormat="1" hidden="1" x14ac:dyDescent="0.25">
      <c r="A69" s="143"/>
      <c r="B69" s="139" t="str">
        <f t="shared" si="2"/>
        <v/>
      </c>
      <c r="C69" s="137"/>
      <c r="D69" s="138">
        <f t="shared" si="8"/>
        <v>0</v>
      </c>
      <c r="E69" s="139" t="str">
        <f t="shared" si="3"/>
        <v/>
      </c>
      <c r="F69" s="139"/>
      <c r="G69" s="138">
        <f t="shared" si="4"/>
        <v>0.66736111607816484</v>
      </c>
      <c r="H69" s="139"/>
      <c r="I69" s="139">
        <f t="shared" si="5"/>
        <v>0</v>
      </c>
      <c r="J69" s="139">
        <f>IFERROR(VLOOKUP("КВ*",A69:G$69,5,FALSE),0)</f>
        <v>0</v>
      </c>
      <c r="K69" s="137"/>
      <c r="L69" s="138">
        <f t="shared" si="6"/>
        <v>0</v>
      </c>
      <c r="M69" s="140">
        <f t="shared" si="7"/>
        <v>0</v>
      </c>
      <c r="N69" s="141"/>
      <c r="O69" s="141"/>
      <c r="P69" s="142"/>
      <c r="Q69" s="142"/>
      <c r="R69" s="142"/>
      <c r="S69" s="142"/>
    </row>
    <row r="70" spans="1:27" x14ac:dyDescent="0.25">
      <c r="A70" s="147" t="s">
        <v>285</v>
      </c>
      <c r="B70" s="148">
        <f>SUBTOTAL(109,суперМЛ[Дистанция дорожного сектора, км])</f>
        <v>132.93</v>
      </c>
      <c r="C70" s="149">
        <f>SUBTOTAL(109,суперМЛ[Норма времени, чч:мм])</f>
        <v>0.1666666716337204</v>
      </c>
      <c r="D70" s="150">
        <f>SUBTOTAL(109,суперМЛ[Нейтрализация на секторе])</f>
        <v>0</v>
      </c>
      <c r="E70" s="145"/>
      <c r="F70" s="145"/>
      <c r="G70" s="145"/>
      <c r="H70" s="145"/>
      <c r="I70" s="145"/>
      <c r="J70" s="145"/>
      <c r="K70" s="144"/>
      <c r="L70" s="145"/>
      <c r="M70" s="145"/>
      <c r="N70" s="146"/>
      <c r="O70" s="146"/>
      <c r="P70" s="146"/>
      <c r="Q70" s="146"/>
      <c r="R70" s="146"/>
      <c r="S70" s="146">
        <f>SUBTOTAL(103,суперМЛ[откуда едут экипажи])</f>
        <v>0</v>
      </c>
      <c r="W70" s="22"/>
      <c r="X70" s="22"/>
      <c r="Z70" s="2"/>
      <c r="AA70" s="2"/>
    </row>
    <row r="71" spans="1:27" x14ac:dyDescent="0.25">
      <c r="C71" s="6"/>
      <c r="G71" s="6"/>
      <c r="M71" s="6"/>
      <c r="N71" s="6"/>
      <c r="O71" s="6"/>
      <c r="R71" s="6"/>
      <c r="W71" s="22"/>
      <c r="X71" s="22"/>
      <c r="Z71" s="2"/>
      <c r="AA71" s="2"/>
    </row>
    <row r="72" spans="1:27" x14ac:dyDescent="0.25">
      <c r="C72" s="6"/>
      <c r="F72" s="44" t="s">
        <v>246</v>
      </c>
      <c r="G72" s="6"/>
      <c r="M72" s="6"/>
      <c r="N72" s="6"/>
      <c r="O72" s="6"/>
      <c r="R72" s="6"/>
      <c r="W72" s="22"/>
      <c r="X72" s="22"/>
      <c r="Z72" s="2"/>
      <c r="AA72" s="2"/>
    </row>
    <row r="73" spans="1:27" x14ac:dyDescent="0.25">
      <c r="A73" s="24" t="s">
        <v>50</v>
      </c>
      <c r="B73" s="100">
        <v>60</v>
      </c>
      <c r="C73" s="6"/>
      <c r="F73" s="2" t="s">
        <v>264</v>
      </c>
      <c r="G73" s="6"/>
      <c r="M73" s="6"/>
      <c r="N73" s="6"/>
      <c r="O73" s="6"/>
      <c r="R73" s="6"/>
      <c r="W73" s="22"/>
      <c r="X73" s="22"/>
      <c r="Z73" s="2"/>
      <c r="AA73" s="2"/>
    </row>
    <row r="74" spans="1:27" x14ac:dyDescent="0.25">
      <c r="A74" s="24" t="s">
        <v>51</v>
      </c>
      <c r="B74" s="100">
        <v>60</v>
      </c>
      <c r="C74" s="6"/>
      <c r="G74" s="6"/>
      <c r="M74" s="6"/>
      <c r="N74" s="6"/>
      <c r="O74" s="6"/>
      <c r="R74" s="6"/>
      <c r="W74" s="22"/>
      <c r="X74" s="22"/>
      <c r="Z74" s="2"/>
      <c r="AA74" s="2"/>
    </row>
    <row r="75" spans="1:27" x14ac:dyDescent="0.25">
      <c r="A75" s="24" t="s">
        <v>52</v>
      </c>
      <c r="B75" s="100">
        <v>900</v>
      </c>
      <c r="C75" s="6"/>
      <c r="F75" s="1" t="s">
        <v>452</v>
      </c>
      <c r="G75" s="1" t="s">
        <v>453</v>
      </c>
      <c r="H75" s="1" t="s">
        <v>454</v>
      </c>
      <c r="I75" s="1" t="s">
        <v>455</v>
      </c>
      <c r="J75" s="1" t="s">
        <v>456</v>
      </c>
      <c r="K75" s="1" t="s">
        <v>457</v>
      </c>
      <c r="L75" s="1"/>
      <c r="M75" s="6"/>
      <c r="N75" s="6"/>
      <c r="O75" s="6"/>
      <c r="R75" s="6"/>
      <c r="W75" s="22"/>
      <c r="X75" s="22"/>
      <c r="Z75" s="2"/>
      <c r="AA75" s="2"/>
    </row>
    <row r="76" spans="1:27" x14ac:dyDescent="0.25">
      <c r="A76" s="24" t="s">
        <v>631</v>
      </c>
      <c r="B76" s="100">
        <v>1800</v>
      </c>
      <c r="C76" s="6"/>
      <c r="F76" s="1">
        <v>1</v>
      </c>
      <c r="G76" s="1">
        <v>2</v>
      </c>
      <c r="H76" s="1">
        <v>2</v>
      </c>
      <c r="I76" s="1">
        <v>3</v>
      </c>
      <c r="J76" s="1">
        <v>3</v>
      </c>
      <c r="K76" s="1">
        <v>2</v>
      </c>
      <c r="L76" s="1"/>
      <c r="M76" s="6"/>
      <c r="N76" s="6"/>
      <c r="O76" s="6"/>
      <c r="R76" s="6"/>
      <c r="W76" s="22"/>
      <c r="X76" s="22"/>
      <c r="Z76" s="2"/>
      <c r="AA76" s="2"/>
    </row>
    <row r="77" spans="1:27" x14ac:dyDescent="0.25">
      <c r="A77" s="24" t="s">
        <v>630</v>
      </c>
      <c r="B77" s="100">
        <v>900</v>
      </c>
      <c r="C77" s="6"/>
      <c r="G77" s="6"/>
      <c r="M77" s="6"/>
      <c r="N77" s="6"/>
      <c r="O77" s="6"/>
      <c r="R77" s="6"/>
    </row>
    <row r="78" spans="1:27" x14ac:dyDescent="0.25">
      <c r="A78" s="24" t="s">
        <v>58</v>
      </c>
      <c r="B78" s="100">
        <v>900</v>
      </c>
      <c r="G78" s="25"/>
      <c r="N78" s="25"/>
      <c r="O78" s="25"/>
      <c r="R78" s="25"/>
    </row>
    <row r="79" spans="1:27" x14ac:dyDescent="0.25">
      <c r="A79" s="24" t="s">
        <v>53</v>
      </c>
      <c r="B79" s="100">
        <v>120</v>
      </c>
      <c r="E79" s="124"/>
      <c r="F79" s="124"/>
      <c r="G79" s="124"/>
      <c r="H79" s="124"/>
      <c r="I79" s="124"/>
      <c r="J79" s="124"/>
      <c r="K79" s="124"/>
      <c r="L79" s="124"/>
      <c r="M79" s="124"/>
      <c r="N79" s="124"/>
    </row>
    <row r="80" spans="1:27" x14ac:dyDescent="0.25">
      <c r="A80" s="24" t="s">
        <v>284</v>
      </c>
      <c r="B80" s="100">
        <v>600</v>
      </c>
      <c r="E80" s="124"/>
      <c r="F80" s="125" t="s">
        <v>272</v>
      </c>
      <c r="G80" s="124"/>
      <c r="H80" s="124"/>
      <c r="I80" s="124"/>
      <c r="J80" s="124"/>
      <c r="K80" s="126"/>
      <c r="L80" s="124"/>
      <c r="M80" s="124"/>
      <c r="N80" s="124"/>
    </row>
    <row r="81" spans="1:14" x14ac:dyDescent="0.25">
      <c r="A81" s="24" t="s">
        <v>59</v>
      </c>
      <c r="B81" s="100">
        <v>300</v>
      </c>
      <c r="E81" s="124"/>
      <c r="F81" s="124" t="s">
        <v>257</v>
      </c>
      <c r="G81" s="124"/>
      <c r="H81" s="124"/>
      <c r="I81" s="124"/>
      <c r="J81" s="124"/>
      <c r="K81" s="124" t="s">
        <v>317</v>
      </c>
      <c r="L81" s="124"/>
      <c r="M81" s="124"/>
      <c r="N81" s="124"/>
    </row>
    <row r="82" spans="1:14" x14ac:dyDescent="0.25">
      <c r="A82" s="24" t="s">
        <v>60</v>
      </c>
      <c r="B82" s="100">
        <v>60</v>
      </c>
      <c r="E82" s="124"/>
      <c r="F82" s="124" t="s">
        <v>258</v>
      </c>
      <c r="G82" s="124"/>
      <c r="H82" s="124"/>
      <c r="I82" s="124"/>
      <c r="J82" s="124"/>
      <c r="K82" s="124" t="s">
        <v>318</v>
      </c>
      <c r="L82" s="124"/>
      <c r="M82" s="124"/>
      <c r="N82" s="124"/>
    </row>
    <row r="83" spans="1:14" x14ac:dyDescent="0.25">
      <c r="A83" s="24" t="s">
        <v>57</v>
      </c>
      <c r="B83" s="100">
        <v>30</v>
      </c>
      <c r="E83" s="124"/>
      <c r="F83" s="124" t="s">
        <v>259</v>
      </c>
      <c r="G83" s="124"/>
      <c r="H83" s="124"/>
      <c r="I83" s="124"/>
      <c r="J83" s="124"/>
      <c r="K83" s="124" t="s">
        <v>319</v>
      </c>
      <c r="L83" s="124"/>
      <c r="M83" s="124"/>
      <c r="N83" s="124"/>
    </row>
    <row r="84" spans="1:14" ht="15.75" thickBot="1" x14ac:dyDescent="0.3">
      <c r="A84" s="24" t="s">
        <v>134</v>
      </c>
      <c r="B84" s="100">
        <v>1</v>
      </c>
      <c r="E84" s="124"/>
      <c r="F84" s="124" t="s">
        <v>270</v>
      </c>
      <c r="G84" s="124"/>
      <c r="H84" s="124"/>
      <c r="I84" s="124"/>
      <c r="J84" s="124"/>
      <c r="K84" s="124" t="s">
        <v>283</v>
      </c>
      <c r="L84" s="124"/>
      <c r="M84" s="124"/>
      <c r="N84" s="124"/>
    </row>
    <row r="85" spans="1:14" x14ac:dyDescent="0.25">
      <c r="A85" s="24" t="s">
        <v>91</v>
      </c>
      <c r="B85" s="100">
        <v>3</v>
      </c>
      <c r="E85" s="124"/>
      <c r="F85" s="194" t="s">
        <v>277</v>
      </c>
      <c r="G85" s="195"/>
      <c r="H85" s="195"/>
      <c r="I85" s="195"/>
      <c r="J85" s="195"/>
      <c r="K85" s="195"/>
      <c r="L85" s="195"/>
      <c r="M85" s="196"/>
      <c r="N85" s="124"/>
    </row>
    <row r="86" spans="1:14" x14ac:dyDescent="0.25">
      <c r="A86" s="24" t="s">
        <v>54</v>
      </c>
      <c r="B86" s="100">
        <v>300</v>
      </c>
      <c r="E86" s="124"/>
      <c r="F86" s="197" t="s">
        <v>142</v>
      </c>
      <c r="G86" s="198"/>
      <c r="H86" s="198"/>
      <c r="I86" s="198"/>
      <c r="J86" s="198"/>
      <c r="K86" s="198" t="s">
        <v>143</v>
      </c>
      <c r="L86" s="198"/>
      <c r="M86" s="199"/>
      <c r="N86" s="124"/>
    </row>
    <row r="87" spans="1:14" x14ac:dyDescent="0.25">
      <c r="A87" s="24" t="s">
        <v>55</v>
      </c>
      <c r="B87" s="100">
        <v>15</v>
      </c>
      <c r="E87" s="124"/>
      <c r="F87" s="197" t="s">
        <v>83</v>
      </c>
      <c r="G87" s="198"/>
      <c r="H87" s="198"/>
      <c r="I87" s="198"/>
      <c r="J87" s="198"/>
      <c r="K87" s="198" t="s">
        <v>459</v>
      </c>
      <c r="L87" s="198"/>
      <c r="M87" s="199"/>
      <c r="N87" s="124"/>
    </row>
    <row r="88" spans="1:14" x14ac:dyDescent="0.25">
      <c r="A88" s="24" t="s">
        <v>56</v>
      </c>
      <c r="B88" s="100">
        <v>60</v>
      </c>
      <c r="E88" s="124"/>
      <c r="F88" s="197" t="s">
        <v>278</v>
      </c>
      <c r="G88" s="198"/>
      <c r="H88" s="198"/>
      <c r="I88" s="198"/>
      <c r="J88" s="198"/>
      <c r="K88" s="198" t="s">
        <v>271</v>
      </c>
      <c r="L88" s="198"/>
      <c r="M88" s="199"/>
      <c r="N88" s="124"/>
    </row>
    <row r="89" spans="1:14" x14ac:dyDescent="0.25">
      <c r="A89" s="24" t="s">
        <v>316</v>
      </c>
      <c r="B89" s="100">
        <v>4</v>
      </c>
      <c r="E89" s="124"/>
      <c r="F89" s="197" t="s">
        <v>274</v>
      </c>
      <c r="G89" s="198"/>
      <c r="H89" s="198"/>
      <c r="I89" s="198"/>
      <c r="J89" s="198"/>
      <c r="K89" s="198" t="s">
        <v>279</v>
      </c>
      <c r="L89" s="198"/>
      <c r="M89" s="199"/>
      <c r="N89" s="124"/>
    </row>
    <row r="90" spans="1:14" ht="15.75" thickBot="1" x14ac:dyDescent="0.3">
      <c r="A90" s="24" t="s">
        <v>520</v>
      </c>
      <c r="B90" s="100">
        <v>600</v>
      </c>
      <c r="E90" s="124"/>
      <c r="F90" s="200" t="s">
        <v>281</v>
      </c>
      <c r="G90" s="201"/>
      <c r="H90" s="201"/>
      <c r="I90" s="201"/>
      <c r="J90" s="201"/>
      <c r="K90" s="201" t="s">
        <v>280</v>
      </c>
      <c r="L90" s="201"/>
      <c r="M90" s="202"/>
      <c r="N90" s="124"/>
    </row>
    <row r="91" spans="1:14" x14ac:dyDescent="0.25">
      <c r="A91" s="24" t="s">
        <v>521</v>
      </c>
      <c r="B91" s="100">
        <v>600</v>
      </c>
      <c r="E91" s="124"/>
      <c r="F91" s="124"/>
      <c r="G91" s="124"/>
      <c r="H91" s="124"/>
      <c r="I91" s="124"/>
      <c r="J91" s="124"/>
      <c r="K91" s="124"/>
      <c r="L91" s="124"/>
      <c r="M91" s="124"/>
      <c r="N91" s="124"/>
    </row>
    <row r="92" spans="1:14" x14ac:dyDescent="0.25">
      <c r="E92" s="124"/>
      <c r="F92" s="124"/>
      <c r="G92" s="124"/>
      <c r="H92" s="124"/>
      <c r="I92" s="124"/>
      <c r="J92" s="124"/>
      <c r="K92" s="124"/>
      <c r="L92" s="124"/>
      <c r="M92" s="124"/>
      <c r="N92" s="124"/>
    </row>
    <row r="93" spans="1:14" x14ac:dyDescent="0.25">
      <c r="E93" s="124"/>
      <c r="F93" s="125" t="s">
        <v>282</v>
      </c>
      <c r="G93" s="124"/>
      <c r="H93" s="124"/>
      <c r="I93" s="124"/>
      <c r="J93" s="124"/>
      <c r="K93" s="124"/>
      <c r="L93" s="124"/>
      <c r="M93" s="124"/>
      <c r="N93" s="124"/>
    </row>
    <row r="94" spans="1:14" x14ac:dyDescent="0.25">
      <c r="E94" s="124"/>
      <c r="F94" s="124" t="s">
        <v>315</v>
      </c>
      <c r="G94" s="124"/>
      <c r="H94" s="124"/>
      <c r="I94" s="124"/>
      <c r="J94" s="124"/>
      <c r="K94" s="124"/>
      <c r="L94" s="124"/>
      <c r="M94" s="124"/>
      <c r="N94" s="124"/>
    </row>
    <row r="95" spans="1:14" x14ac:dyDescent="0.25">
      <c r="E95" s="124"/>
      <c r="F95" s="124" t="s">
        <v>275</v>
      </c>
      <c r="G95" s="124"/>
      <c r="H95" s="124"/>
      <c r="I95" s="124"/>
      <c r="J95" s="124"/>
      <c r="K95" s="124"/>
      <c r="L95" s="124"/>
      <c r="M95" s="124"/>
      <c r="N95" s="124"/>
    </row>
    <row r="96" spans="1:14" x14ac:dyDescent="0.25">
      <c r="E96" s="124"/>
      <c r="F96" s="124" t="s">
        <v>276</v>
      </c>
      <c r="G96" s="124"/>
      <c r="H96" s="124"/>
      <c r="I96" s="124"/>
      <c r="J96" s="124"/>
      <c r="K96" s="124"/>
      <c r="L96" s="124"/>
      <c r="M96" s="124"/>
      <c r="N96" s="124"/>
    </row>
    <row r="97" spans="5:14" x14ac:dyDescent="0.25">
      <c r="E97" s="124"/>
      <c r="F97" s="124"/>
      <c r="G97" s="124"/>
      <c r="H97" s="124"/>
      <c r="I97" s="124"/>
      <c r="J97" s="124"/>
      <c r="K97" s="124"/>
      <c r="L97" s="124"/>
      <c r="M97" s="124"/>
      <c r="N97" s="124"/>
    </row>
  </sheetData>
  <sheetProtection sheet="1" objects="1" scenarios="1"/>
  <conditionalFormatting sqref="I10:I69">
    <cfRule type="cellIs" dxfId="150" priority="25" operator="lessThan">
      <formula>0</formula>
    </cfRule>
  </conditionalFormatting>
  <conditionalFormatting sqref="I36">
    <cfRule type="cellIs" dxfId="149" priority="24" operator="lessThan">
      <formula>0</formula>
    </cfRule>
  </conditionalFormatting>
  <conditionalFormatting sqref="I27">
    <cfRule type="cellIs" dxfId="148" priority="21" operator="lessThan">
      <formula>0</formula>
    </cfRule>
  </conditionalFormatting>
  <conditionalFormatting sqref="I26">
    <cfRule type="cellIs" dxfId="147" priority="22" operator="lessThan">
      <formula>0</formula>
    </cfRule>
  </conditionalFormatting>
  <conditionalFormatting sqref="H10:H69">
    <cfRule type="cellIs" dxfId="146" priority="10" operator="lessThan">
      <formula>0</formula>
    </cfRule>
  </conditionalFormatting>
  <conditionalFormatting sqref="H36">
    <cfRule type="cellIs" dxfId="145" priority="9" operator="lessThan">
      <formula>0</formula>
    </cfRule>
  </conditionalFormatting>
  <conditionalFormatting sqref="H27">
    <cfRule type="cellIs" dxfId="144" priority="7" operator="lessThan">
      <formula>0</formula>
    </cfRule>
  </conditionalFormatting>
  <conditionalFormatting sqref="H26">
    <cfRule type="cellIs" dxfId="143" priority="8" operator="lessThan">
      <formula>0</formula>
    </cfRule>
  </conditionalFormatting>
  <conditionalFormatting sqref="I24">
    <cfRule type="cellIs" dxfId="142" priority="4" operator="lessThan">
      <formula>0</formula>
    </cfRule>
  </conditionalFormatting>
  <conditionalFormatting sqref="H24">
    <cfRule type="cellIs" dxfId="141" priority="3" operator="lessThan">
      <formula>0</formula>
    </cfRule>
  </conditionalFormatting>
  <conditionalFormatting sqref="I50:I59">
    <cfRule type="cellIs" dxfId="140" priority="2" operator="lessThan">
      <formula>0</formula>
    </cfRule>
  </conditionalFormatting>
  <conditionalFormatting sqref="H50:H59">
    <cfRule type="cellIs" dxfId="139" priority="1" operator="lessThan">
      <formula>0</formula>
    </cfRule>
  </conditionalFormatting>
  <pageMargins left="0.7" right="0.7" top="0.75" bottom="0.75" header="0.3" footer="0.3"/>
  <pageSetup paperSize="9" scale="41" orientation="landscape" horizont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Pict="0" macro="[0]!makeProtocols_Click">
                <anchor moveWithCells="1" sizeWithCells="1">
                  <from>
                    <xdr:col>5</xdr:col>
                    <xdr:colOff>95250</xdr:colOff>
                    <xdr:row>1</xdr:row>
                    <xdr:rowOff>38100</xdr:rowOff>
                  </from>
                  <to>
                    <xdr:col>7</xdr:col>
                    <xdr:colOff>457200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Pict="0" macro="[0]!checkProtocols_Click">
                <anchor moveWithCells="1" sizeWithCells="1">
                  <from>
                    <xdr:col>5</xdr:col>
                    <xdr:colOff>95250</xdr:colOff>
                    <xdr:row>3</xdr:row>
                    <xdr:rowOff>28575</xdr:rowOff>
                  </from>
                  <to>
                    <xdr:col>7</xdr:col>
                    <xdr:colOff>457200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Pict="0" macro="[0]!processServiceColumn">
                <anchor moveWithCells="1" sizeWithCells="1">
                  <from>
                    <xdr:col>11</xdr:col>
                    <xdr:colOff>123825</xdr:colOff>
                    <xdr:row>1</xdr:row>
                    <xdr:rowOff>38100</xdr:rowOff>
                  </from>
                  <to>
                    <xdr:col>13</xdr:col>
                    <xdr:colOff>485775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Pict="0" macro="[0]!showDistAndRows">
                <anchor moveWithCells="1" sizeWithCells="1">
                  <from>
                    <xdr:col>8</xdr:col>
                    <xdr:colOff>66675</xdr:colOff>
                    <xdr:row>1</xdr:row>
                    <xdr:rowOff>38100</xdr:rowOff>
                  </from>
                  <to>
                    <xdr:col>10</xdr:col>
                    <xdr:colOff>504825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Pict="0" macro="[0]!hideDistAndRows">
                <anchor moveWithCells="1" sizeWithCells="1">
                  <from>
                    <xdr:col>8</xdr:col>
                    <xdr:colOff>66675</xdr:colOff>
                    <xdr:row>3</xdr:row>
                    <xdr:rowOff>28575</xdr:rowOff>
                  </from>
                  <to>
                    <xdr:col>10</xdr:col>
                    <xdr:colOff>504825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Button 6">
              <controlPr defaultSize="0" print="0" autoFill="0" autoPict="0" macro="[0]!changeDist">
                <anchor moveWithCells="1" sizeWithCells="1">
                  <from>
                    <xdr:col>8</xdr:col>
                    <xdr:colOff>66675</xdr:colOff>
                    <xdr:row>5</xdr:row>
                    <xdr:rowOff>38100</xdr:rowOff>
                  </from>
                  <to>
                    <xdr:col>10</xdr:col>
                    <xdr:colOff>504825</xdr:colOff>
                    <xdr:row>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">
    <tablePart r:id="rId10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J11"/>
  <sheetViews>
    <sheetView view="pageBreakPreview" topLeftCell="A6" zoomScale="70" zoomScaleNormal="55" zoomScaleSheetLayoutView="70" workbookViewId="0">
      <selection activeCell="A11" sqref="A11:D11"/>
    </sheetView>
  </sheetViews>
  <sheetFormatPr defaultRowHeight="15" x14ac:dyDescent="0.25"/>
  <cols>
    <col min="1" max="10" width="9.42578125" style="1" customWidth="1"/>
    <col min="11" max="16384" width="9.140625" style="1"/>
  </cols>
  <sheetData>
    <row r="1" spans="1:10" ht="24.95" customHeight="1" x14ac:dyDescent="0.25">
      <c r="A1" s="317" t="s">
        <v>384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0" ht="5.0999999999999996" customHeight="1" x14ac:dyDescent="0.25">
      <c r="A2" s="319"/>
      <c r="B2" s="319"/>
      <c r="C2" s="319"/>
      <c r="D2" s="320"/>
      <c r="E2" s="320"/>
      <c r="F2" s="320"/>
      <c r="G2" s="320"/>
      <c r="H2" s="320"/>
      <c r="I2" s="320"/>
      <c r="J2" s="320"/>
    </row>
    <row r="3" spans="1:10" ht="24.95" customHeight="1" x14ac:dyDescent="0.25">
      <c r="A3" s="424" t="s">
        <v>390</v>
      </c>
      <c r="B3" s="424"/>
      <c r="C3" s="424"/>
      <c r="D3" s="424"/>
      <c r="E3" s="424" t="s">
        <v>391</v>
      </c>
      <c r="F3" s="424"/>
      <c r="G3" s="424" t="s">
        <v>392</v>
      </c>
      <c r="H3" s="424"/>
      <c r="I3" s="424" t="s">
        <v>393</v>
      </c>
      <c r="J3" s="424"/>
    </row>
    <row r="4" spans="1:10" ht="74.25" customHeight="1" x14ac:dyDescent="0.3">
      <c r="A4" s="422" t="s">
        <v>387</v>
      </c>
      <c r="B4" s="422"/>
      <c r="C4" s="422"/>
      <c r="D4" s="423"/>
      <c r="E4" s="413" t="s">
        <v>388</v>
      </c>
      <c r="F4" s="414"/>
      <c r="G4" s="417"/>
      <c r="H4" s="421"/>
      <c r="I4" s="417" t="s">
        <v>389</v>
      </c>
      <c r="J4" s="418"/>
    </row>
    <row r="5" spans="1:10" ht="74.25" customHeight="1" x14ac:dyDescent="0.3">
      <c r="A5" s="411" t="s">
        <v>394</v>
      </c>
      <c r="B5" s="411"/>
      <c r="C5" s="411"/>
      <c r="D5" s="412"/>
      <c r="E5" s="413"/>
      <c r="F5" s="414"/>
      <c r="G5" s="417"/>
      <c r="H5" s="421"/>
      <c r="I5" s="417" t="s">
        <v>389</v>
      </c>
      <c r="J5" s="418"/>
    </row>
    <row r="6" spans="1:10" ht="74.25" customHeight="1" x14ac:dyDescent="0.3">
      <c r="A6" s="411" t="s">
        <v>395</v>
      </c>
      <c r="B6" s="411"/>
      <c r="C6" s="411"/>
      <c r="D6" s="412"/>
      <c r="E6" s="413" t="s">
        <v>388</v>
      </c>
      <c r="F6" s="414"/>
      <c r="G6" s="417"/>
      <c r="H6" s="421"/>
      <c r="I6" s="417" t="s">
        <v>389</v>
      </c>
      <c r="J6" s="418"/>
    </row>
    <row r="7" spans="1:10" ht="74.25" customHeight="1" x14ac:dyDescent="0.3">
      <c r="A7" s="411" t="s">
        <v>398</v>
      </c>
      <c r="B7" s="411"/>
      <c r="C7" s="411"/>
      <c r="D7" s="412"/>
      <c r="E7" s="413"/>
      <c r="F7" s="414"/>
      <c r="G7" s="417"/>
      <c r="H7" s="421"/>
      <c r="I7" s="417" t="s">
        <v>389</v>
      </c>
      <c r="J7" s="418"/>
    </row>
    <row r="8" spans="1:10" ht="74.25" customHeight="1" x14ac:dyDescent="0.3">
      <c r="A8" s="411" t="s">
        <v>401</v>
      </c>
      <c r="B8" s="411"/>
      <c r="C8" s="411"/>
      <c r="D8" s="412"/>
      <c r="E8" s="413" t="s">
        <v>388</v>
      </c>
      <c r="F8" s="414"/>
      <c r="G8" s="417"/>
      <c r="H8" s="421"/>
      <c r="I8" s="417" t="s">
        <v>389</v>
      </c>
      <c r="J8" s="418"/>
    </row>
    <row r="9" spans="1:10" ht="74.25" customHeight="1" x14ac:dyDescent="0.3">
      <c r="A9" s="411" t="s">
        <v>399</v>
      </c>
      <c r="B9" s="411"/>
      <c r="C9" s="411"/>
      <c r="D9" s="412"/>
      <c r="E9" s="413"/>
      <c r="F9" s="414"/>
      <c r="G9" s="419" t="s">
        <v>397</v>
      </c>
      <c r="H9" s="420"/>
      <c r="I9" s="417" t="s">
        <v>389</v>
      </c>
      <c r="J9" s="418"/>
    </row>
    <row r="10" spans="1:10" ht="74.25" customHeight="1" x14ac:dyDescent="0.3">
      <c r="A10" s="411" t="s">
        <v>363</v>
      </c>
      <c r="B10" s="411"/>
      <c r="C10" s="411"/>
      <c r="D10" s="412"/>
      <c r="E10" s="413"/>
      <c r="F10" s="414"/>
      <c r="G10" s="413"/>
      <c r="H10" s="414"/>
      <c r="I10" s="417"/>
      <c r="J10" s="418"/>
    </row>
    <row r="11" spans="1:10" ht="74.25" customHeight="1" x14ac:dyDescent="0.3">
      <c r="A11" s="411" t="s">
        <v>400</v>
      </c>
      <c r="B11" s="411"/>
      <c r="C11" s="411"/>
      <c r="D11" s="412"/>
      <c r="E11" s="413"/>
      <c r="F11" s="414"/>
      <c r="G11" s="415" t="s">
        <v>396</v>
      </c>
      <c r="H11" s="416"/>
      <c r="I11" s="417" t="s">
        <v>389</v>
      </c>
      <c r="J11" s="418"/>
    </row>
  </sheetData>
  <mergeCells count="36">
    <mergeCell ref="A8:D8"/>
    <mergeCell ref="E8:F8"/>
    <mergeCell ref="G8:H8"/>
    <mergeCell ref="I8:J8"/>
    <mergeCell ref="A5:D5"/>
    <mergeCell ref="E5:F5"/>
    <mergeCell ref="G5:H5"/>
    <mergeCell ref="I5:J5"/>
    <mergeCell ref="A6:D6"/>
    <mergeCell ref="E6:F6"/>
    <mergeCell ref="G6:H6"/>
    <mergeCell ref="I6:J6"/>
    <mergeCell ref="A7:D7"/>
    <mergeCell ref="E7:F7"/>
    <mergeCell ref="G7:H7"/>
    <mergeCell ref="I7:J7"/>
    <mergeCell ref="I4:J4"/>
    <mergeCell ref="G4:H4"/>
    <mergeCell ref="E4:F4"/>
    <mergeCell ref="A4:D4"/>
    <mergeCell ref="A3:D3"/>
    <mergeCell ref="E3:F3"/>
    <mergeCell ref="G3:H3"/>
    <mergeCell ref="I3:J3"/>
    <mergeCell ref="A11:D11"/>
    <mergeCell ref="E11:F11"/>
    <mergeCell ref="G11:H11"/>
    <mergeCell ref="I11:J11"/>
    <mergeCell ref="A9:D9"/>
    <mergeCell ref="E9:F9"/>
    <mergeCell ref="G9:H9"/>
    <mergeCell ref="I9:J9"/>
    <mergeCell ref="A10:D10"/>
    <mergeCell ref="E10:F10"/>
    <mergeCell ref="G10:H10"/>
    <mergeCell ref="I10:J10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J18"/>
  <sheetViews>
    <sheetView view="pageBreakPreview" zoomScaleNormal="55" zoomScaleSheetLayoutView="100" workbookViewId="0">
      <selection activeCell="A44" sqref="A44:J44"/>
    </sheetView>
  </sheetViews>
  <sheetFormatPr defaultRowHeight="15" x14ac:dyDescent="0.25"/>
  <cols>
    <col min="1" max="3" width="9.140625" style="1"/>
    <col min="4" max="9" width="9.85546875" style="1" customWidth="1"/>
    <col min="10" max="10" width="8" style="1" customWidth="1"/>
    <col min="11" max="16384" width="9.140625" style="1"/>
  </cols>
  <sheetData>
    <row r="1" spans="1:10" ht="24.95" customHeight="1" x14ac:dyDescent="0.25">
      <c r="A1" s="317" t="s">
        <v>89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0" ht="74.25" customHeight="1" x14ac:dyDescent="0.25">
      <c r="A2" s="425"/>
      <c r="B2" s="426"/>
      <c r="C2" s="426"/>
      <c r="D2" s="427" t="s">
        <v>149</v>
      </c>
      <c r="E2" s="427"/>
      <c r="F2" s="427"/>
      <c r="G2" s="427"/>
      <c r="H2" s="427"/>
      <c r="I2" s="427"/>
      <c r="J2" s="428"/>
    </row>
    <row r="3" spans="1:10" ht="74.25" customHeight="1" x14ac:dyDescent="0.25">
      <c r="A3" s="429"/>
      <c r="B3" s="430"/>
      <c r="C3" s="430"/>
      <c r="D3" s="431" t="s">
        <v>150</v>
      </c>
      <c r="E3" s="431"/>
      <c r="F3" s="431"/>
      <c r="G3" s="431"/>
      <c r="H3" s="431"/>
      <c r="I3" s="431"/>
      <c r="J3" s="432"/>
    </row>
    <row r="4" spans="1:10" ht="74.25" customHeight="1" x14ac:dyDescent="0.25">
      <c r="A4" s="433"/>
      <c r="B4" s="434"/>
      <c r="C4" s="434"/>
      <c r="D4" s="435" t="s">
        <v>148</v>
      </c>
      <c r="E4" s="435"/>
      <c r="F4" s="435"/>
      <c r="G4" s="435"/>
      <c r="H4" s="435"/>
      <c r="I4" s="435"/>
      <c r="J4" s="436"/>
    </row>
    <row r="5" spans="1:10" ht="30" customHeight="1" x14ac:dyDescent="0.25">
      <c r="A5" s="437"/>
      <c r="B5" s="438"/>
      <c r="C5" s="438"/>
      <c r="D5" s="435" t="s">
        <v>19</v>
      </c>
      <c r="E5" s="435"/>
      <c r="F5" s="435"/>
      <c r="G5" s="435"/>
      <c r="H5" s="435"/>
      <c r="I5" s="435"/>
      <c r="J5" s="436"/>
    </row>
    <row r="6" spans="1:10" ht="30" customHeight="1" x14ac:dyDescent="0.25">
      <c r="A6" s="439"/>
      <c r="B6" s="440"/>
      <c r="C6" s="440"/>
      <c r="D6" s="435" t="s">
        <v>107</v>
      </c>
      <c r="E6" s="435"/>
      <c r="F6" s="435"/>
      <c r="G6" s="435"/>
      <c r="H6" s="435"/>
      <c r="I6" s="435"/>
      <c r="J6" s="436"/>
    </row>
    <row r="7" spans="1:10" ht="30" customHeight="1" x14ac:dyDescent="0.25">
      <c r="A7" s="439"/>
      <c r="B7" s="440"/>
      <c r="C7" s="440"/>
      <c r="D7" s="435" t="s">
        <v>18</v>
      </c>
      <c r="E7" s="435"/>
      <c r="F7" s="435"/>
      <c r="G7" s="435"/>
      <c r="H7" s="435"/>
      <c r="I7" s="435"/>
      <c r="J7" s="436"/>
    </row>
    <row r="8" spans="1:10" ht="30" customHeight="1" x14ac:dyDescent="0.25">
      <c r="A8" s="439"/>
      <c r="B8" s="440"/>
      <c r="C8" s="440"/>
      <c r="D8" s="435" t="s">
        <v>403</v>
      </c>
      <c r="E8" s="435"/>
      <c r="F8" s="435"/>
      <c r="G8" s="435"/>
      <c r="H8" s="435"/>
      <c r="I8" s="435"/>
      <c r="J8" s="436"/>
    </row>
    <row r="9" spans="1:10" ht="30" customHeight="1" x14ac:dyDescent="0.25">
      <c r="A9" s="439"/>
      <c r="B9" s="440"/>
      <c r="C9" s="440"/>
      <c r="D9" s="435" t="s">
        <v>404</v>
      </c>
      <c r="E9" s="435"/>
      <c r="F9" s="435"/>
      <c r="G9" s="435"/>
      <c r="H9" s="435"/>
      <c r="I9" s="435"/>
      <c r="J9" s="436"/>
    </row>
    <row r="10" spans="1:10" ht="30" customHeight="1" x14ac:dyDescent="0.25">
      <c r="A10" s="439"/>
      <c r="B10" s="440"/>
      <c r="C10" s="440"/>
      <c r="D10" s="435" t="s">
        <v>94</v>
      </c>
      <c r="E10" s="435"/>
      <c r="F10" s="435"/>
      <c r="G10" s="435"/>
      <c r="H10" s="435"/>
      <c r="I10" s="435"/>
      <c r="J10" s="436"/>
    </row>
    <row r="11" spans="1:10" ht="30" customHeight="1" x14ac:dyDescent="0.25">
      <c r="A11" s="441" t="s">
        <v>262</v>
      </c>
      <c r="B11" s="442"/>
      <c r="C11" s="442"/>
      <c r="D11" s="435" t="s">
        <v>263</v>
      </c>
      <c r="E11" s="435"/>
      <c r="F11" s="435"/>
      <c r="G11" s="435"/>
      <c r="H11" s="435"/>
      <c r="I11" s="435"/>
      <c r="J11" s="436"/>
    </row>
    <row r="12" spans="1:10" ht="30" customHeight="1" x14ac:dyDescent="0.25">
      <c r="A12" s="439"/>
      <c r="B12" s="440"/>
      <c r="C12" s="440"/>
      <c r="D12" s="435" t="s">
        <v>309</v>
      </c>
      <c r="E12" s="435"/>
      <c r="F12" s="435"/>
      <c r="G12" s="435"/>
      <c r="H12" s="435"/>
      <c r="I12" s="435"/>
      <c r="J12" s="436"/>
    </row>
    <row r="13" spans="1:10" ht="30" customHeight="1" x14ac:dyDescent="0.25">
      <c r="A13" s="439"/>
      <c r="B13" s="440"/>
      <c r="C13" s="440"/>
      <c r="D13" s="435" t="s">
        <v>61</v>
      </c>
      <c r="E13" s="435"/>
      <c r="F13" s="435"/>
      <c r="G13" s="435"/>
      <c r="H13" s="435"/>
      <c r="I13" s="435"/>
      <c r="J13" s="436"/>
    </row>
    <row r="14" spans="1:10" ht="30" customHeight="1" x14ac:dyDescent="0.25">
      <c r="A14" s="445"/>
      <c r="B14" s="446"/>
      <c r="C14" s="446"/>
      <c r="D14" s="447" t="s">
        <v>95</v>
      </c>
      <c r="E14" s="447"/>
      <c r="F14" s="447"/>
      <c r="G14" s="447"/>
      <c r="H14" s="447"/>
      <c r="I14" s="447"/>
      <c r="J14" s="448"/>
    </row>
    <row r="15" spans="1:10" ht="24.95" customHeight="1" x14ac:dyDescent="0.25">
      <c r="A15" s="317" t="s">
        <v>90</v>
      </c>
      <c r="B15" s="318"/>
      <c r="C15" s="318"/>
      <c r="D15" s="318"/>
      <c r="E15" s="318"/>
      <c r="F15" s="318"/>
      <c r="G15" s="318"/>
      <c r="H15" s="318"/>
      <c r="I15" s="318"/>
      <c r="J15" s="318"/>
    </row>
    <row r="16" spans="1:10" ht="30" customHeight="1" x14ac:dyDescent="0.25">
      <c r="A16" s="425"/>
      <c r="B16" s="426"/>
      <c r="C16" s="426"/>
      <c r="D16" s="449" t="s">
        <v>141</v>
      </c>
      <c r="E16" s="449"/>
      <c r="F16" s="449"/>
      <c r="G16" s="449"/>
      <c r="H16" s="449"/>
      <c r="I16" s="449"/>
      <c r="J16" s="450"/>
    </row>
    <row r="17" spans="1:10" ht="30" customHeight="1" x14ac:dyDescent="0.25">
      <c r="A17" s="439"/>
      <c r="B17" s="440"/>
      <c r="C17" s="440"/>
      <c r="D17" s="443" t="s">
        <v>20</v>
      </c>
      <c r="E17" s="443"/>
      <c r="F17" s="443"/>
      <c r="G17" s="443"/>
      <c r="H17" s="443"/>
      <c r="I17" s="443"/>
      <c r="J17" s="444"/>
    </row>
    <row r="18" spans="1:10" ht="30" customHeight="1" x14ac:dyDescent="0.25">
      <c r="A18" s="439"/>
      <c r="B18" s="440"/>
      <c r="C18" s="440"/>
      <c r="D18" s="443" t="s">
        <v>135</v>
      </c>
      <c r="E18" s="443"/>
      <c r="F18" s="443"/>
      <c r="G18" s="443"/>
      <c r="H18" s="443"/>
      <c r="I18" s="443"/>
      <c r="J18" s="444"/>
    </row>
  </sheetData>
  <mergeCells count="32">
    <mergeCell ref="A18:C18"/>
    <mergeCell ref="D18:J18"/>
    <mergeCell ref="A14:C14"/>
    <mergeCell ref="D14:J14"/>
    <mergeCell ref="A16:C16"/>
    <mergeCell ref="D16:J16"/>
    <mergeCell ref="A17:C17"/>
    <mergeCell ref="D17:J17"/>
    <mergeCell ref="A11:C11"/>
    <mergeCell ref="D11:J11"/>
    <mergeCell ref="A12:C12"/>
    <mergeCell ref="D12:J12"/>
    <mergeCell ref="A13:C13"/>
    <mergeCell ref="D13:J13"/>
    <mergeCell ref="A8:C8"/>
    <mergeCell ref="D8:J8"/>
    <mergeCell ref="A9:C9"/>
    <mergeCell ref="D9:J9"/>
    <mergeCell ref="A10:C10"/>
    <mergeCell ref="D10:J10"/>
    <mergeCell ref="A5:C5"/>
    <mergeCell ref="D5:J5"/>
    <mergeCell ref="A6:C6"/>
    <mergeCell ref="D6:J6"/>
    <mergeCell ref="A7:C7"/>
    <mergeCell ref="D7:J7"/>
    <mergeCell ref="A2:C2"/>
    <mergeCell ref="D2:J2"/>
    <mergeCell ref="A3:C3"/>
    <mergeCell ref="D3:J3"/>
    <mergeCell ref="A4:C4"/>
    <mergeCell ref="D4:J4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</sheetPr>
  <dimension ref="A1:J129"/>
  <sheetViews>
    <sheetView view="pageBreakPreview" topLeftCell="A113" zoomScale="55" zoomScaleNormal="70" zoomScaleSheetLayoutView="55" zoomScalePageLayoutView="40" workbookViewId="0">
      <selection activeCell="M117" sqref="M117"/>
    </sheetView>
  </sheetViews>
  <sheetFormatPr defaultRowHeight="15" x14ac:dyDescent="0.25"/>
  <cols>
    <col min="1" max="1" width="10.7109375" style="121" customWidth="1"/>
    <col min="2" max="2" width="10.7109375" style="122" customWidth="1"/>
    <col min="3" max="3" width="8.7109375" style="122" customWidth="1"/>
    <col min="4" max="4" width="8.7109375" style="121" customWidth="1"/>
    <col min="5" max="5" width="17.140625" style="122" customWidth="1"/>
    <col min="6" max="6" width="8.7109375" style="122" customWidth="1"/>
    <col min="7" max="7" width="9.7109375" style="122" customWidth="1"/>
    <col min="8" max="8" width="10.7109375" style="122" customWidth="1"/>
    <col min="9" max="9" width="9.140625" style="122"/>
    <col min="10" max="10" width="36.5703125" style="238" customWidth="1"/>
    <col min="11" max="11" width="8" style="122" customWidth="1"/>
    <col min="12" max="16384" width="9.140625" style="122"/>
  </cols>
  <sheetData>
    <row r="1" spans="1:10" ht="17.45" customHeight="1" x14ac:dyDescent="0.25">
      <c r="A1" s="485" t="s">
        <v>254</v>
      </c>
      <c r="B1" s="486"/>
      <c r="C1" s="120" t="str">
        <f>_КВ1</f>
        <v>КВ-1 Старт</v>
      </c>
      <c r="D1" s="119"/>
      <c r="E1" s="119"/>
      <c r="F1" s="489" t="s">
        <v>98</v>
      </c>
      <c r="G1" s="491">
        <f>_КВ2Расстояние</f>
        <v>54.13</v>
      </c>
      <c r="H1" s="493" t="s">
        <v>260</v>
      </c>
      <c r="J1" s="237" t="s">
        <v>261</v>
      </c>
    </row>
    <row r="2" spans="1:10" ht="17.45" customHeight="1" x14ac:dyDescent="0.25">
      <c r="A2" s="487"/>
      <c r="B2" s="488"/>
      <c r="C2" s="120" t="str">
        <f>_КВ2</f>
        <v>КВ-2 На обочине</v>
      </c>
      <c r="D2" s="119"/>
      <c r="E2" s="119"/>
      <c r="F2" s="490"/>
      <c r="G2" s="492"/>
      <c r="H2" s="494"/>
    </row>
    <row r="3" spans="1:10" ht="17.45" customHeight="1" x14ac:dyDescent="0.25">
      <c r="A3" s="495" t="s">
        <v>253</v>
      </c>
      <c r="B3" s="496"/>
      <c r="C3" s="346" t="str">
        <f>getMpWoName(_ДС1)</f>
        <v>ДС-1 РДС</v>
      </c>
      <c r="D3" s="266"/>
      <c r="E3" s="266"/>
      <c r="F3" s="489" t="s">
        <v>7</v>
      </c>
      <c r="G3" s="499">
        <f>_КВ2Время</f>
        <v>8.3333335816860199E-2</v>
      </c>
      <c r="H3" s="501"/>
    </row>
    <row r="4" spans="1:10" ht="17.45" customHeight="1" x14ac:dyDescent="0.25">
      <c r="A4" s="497"/>
      <c r="B4" s="498"/>
      <c r="C4" s="347"/>
      <c r="D4" s="267"/>
      <c r="E4" s="267"/>
      <c r="F4" s="490"/>
      <c r="G4" s="500"/>
      <c r="H4" s="502"/>
    </row>
    <row r="5" spans="1:10" s="239" customFormat="1" ht="0.95" customHeight="1" x14ac:dyDescent="0.25">
      <c r="A5" s="107"/>
      <c r="B5" s="107"/>
      <c r="C5" s="107"/>
      <c r="D5" s="107"/>
      <c r="E5" s="108"/>
      <c r="F5" s="110"/>
      <c r="G5" s="110"/>
      <c r="H5" s="109"/>
      <c r="J5" s="238"/>
    </row>
    <row r="6" spans="1:10" s="239" customFormat="1" ht="0.95" customHeight="1" x14ac:dyDescent="0.25">
      <c r="A6" s="111"/>
      <c r="B6" s="111"/>
      <c r="C6" s="111"/>
      <c r="D6" s="111"/>
      <c r="E6" s="112"/>
      <c r="F6" s="114"/>
      <c r="G6" s="114"/>
      <c r="H6" s="113"/>
      <c r="J6" s="238"/>
    </row>
    <row r="7" spans="1:10" s="239" customFormat="1" ht="0.95" customHeight="1" x14ac:dyDescent="0.25">
      <c r="A7" s="115"/>
      <c r="B7" s="115"/>
      <c r="C7" s="115"/>
      <c r="D7" s="115"/>
      <c r="E7" s="116"/>
      <c r="F7" s="118"/>
      <c r="G7" s="118"/>
      <c r="H7" s="117"/>
      <c r="J7" s="238"/>
    </row>
    <row r="8" spans="1:10" ht="17.45" customHeight="1" x14ac:dyDescent="0.25">
      <c r="A8" s="503" t="s">
        <v>98</v>
      </c>
      <c r="B8" s="503"/>
      <c r="C8" s="504" t="s">
        <v>3</v>
      </c>
      <c r="D8" s="504"/>
      <c r="E8" s="505" t="s">
        <v>4</v>
      </c>
      <c r="F8" s="505"/>
      <c r="G8" s="505"/>
      <c r="H8" s="505" t="s">
        <v>5</v>
      </c>
    </row>
    <row r="9" spans="1:10" ht="17.45" customHeight="1" x14ac:dyDescent="0.25">
      <c r="A9" s="348" t="s">
        <v>1</v>
      </c>
      <c r="B9" s="349" t="s">
        <v>2</v>
      </c>
      <c r="C9" s="504"/>
      <c r="D9" s="504"/>
      <c r="E9" s="505"/>
      <c r="F9" s="505"/>
      <c r="G9" s="505"/>
      <c r="H9" s="505"/>
    </row>
    <row r="10" spans="1:10" ht="54.95" hidden="1" customHeight="1" x14ac:dyDescent="0.35">
      <c r="A10" s="470"/>
      <c r="B10" s="470"/>
      <c r="C10" s="240"/>
      <c r="D10" s="241"/>
      <c r="E10" s="472"/>
      <c r="F10" s="472"/>
      <c r="G10" s="472"/>
      <c r="H10" s="473"/>
      <c r="J10" s="238" t="s">
        <v>436</v>
      </c>
    </row>
    <row r="11" spans="1:10" ht="54.95" hidden="1" customHeight="1" x14ac:dyDescent="0.25">
      <c r="A11" s="471"/>
      <c r="B11" s="471"/>
      <c r="C11" s="247"/>
      <c r="D11" s="242"/>
      <c r="E11" s="506"/>
      <c r="F11" s="506"/>
      <c r="G11" s="506"/>
      <c r="H11" s="474"/>
    </row>
    <row r="12" spans="1:10" ht="54.95" customHeight="1" x14ac:dyDescent="0.35">
      <c r="A12" s="467"/>
      <c r="B12" s="467"/>
      <c r="C12" s="243"/>
      <c r="D12" s="244"/>
      <c r="E12" s="508" t="str">
        <f>_КВ1</f>
        <v>КВ-1 Старт</v>
      </c>
      <c r="F12" s="508"/>
      <c r="G12" s="508"/>
      <c r="H12" s="477"/>
      <c r="J12" s="238" t="s">
        <v>372</v>
      </c>
    </row>
    <row r="13" spans="1:10" ht="54.95" customHeight="1" x14ac:dyDescent="0.25">
      <c r="A13" s="468"/>
      <c r="B13" s="468"/>
      <c r="C13" s="246"/>
      <c r="D13" s="245"/>
      <c r="E13" s="482" t="str">
        <f>"До поз. "&amp;C41&amp;" без ВКВ"</f>
        <v>До поз. 13 без ВКВ</v>
      </c>
      <c r="F13" s="482"/>
      <c r="G13" s="482"/>
      <c r="H13" s="478"/>
    </row>
    <row r="14" spans="1:10" ht="54.95" customHeight="1" x14ac:dyDescent="0.35">
      <c r="A14" s="467">
        <v>0</v>
      </c>
      <c r="B14" s="467">
        <v>0</v>
      </c>
      <c r="C14" s="243"/>
      <c r="D14" s="244"/>
      <c r="E14" s="483" t="s">
        <v>354</v>
      </c>
      <c r="F14" s="483"/>
      <c r="G14" s="483"/>
      <c r="H14" s="477">
        <f>_КВ2Расстояние-A14</f>
        <v>54.13</v>
      </c>
    </row>
    <row r="15" spans="1:10" ht="54.95" customHeight="1" x14ac:dyDescent="0.25">
      <c r="A15" s="468"/>
      <c r="B15" s="468"/>
      <c r="C15" s="246">
        <f>1</f>
        <v>1</v>
      </c>
      <c r="D15" s="245"/>
      <c r="E15" s="482" t="s">
        <v>473</v>
      </c>
      <c r="F15" s="482"/>
      <c r="G15" s="482"/>
      <c r="H15" s="478"/>
    </row>
    <row r="16" spans="1:10" ht="54.95" customHeight="1" x14ac:dyDescent="0.25">
      <c r="A16" s="467">
        <v>1.46</v>
      </c>
      <c r="B16" s="467">
        <f>A16-A14</f>
        <v>1.46</v>
      </c>
      <c r="C16" s="243"/>
      <c r="D16" s="244"/>
      <c r="E16" s="484"/>
      <c r="F16" s="484"/>
      <c r="G16" s="484"/>
      <c r="H16" s="477">
        <f>_КВ2Расстояние-A16</f>
        <v>52.67</v>
      </c>
    </row>
    <row r="17" spans="1:10" ht="54.95" customHeight="1" x14ac:dyDescent="0.25">
      <c r="A17" s="468"/>
      <c r="B17" s="468"/>
      <c r="C17" s="246">
        <f>'Сектор 1 Про'!C15+1</f>
        <v>2</v>
      </c>
      <c r="D17" s="245"/>
      <c r="E17" s="469"/>
      <c r="F17" s="469"/>
      <c r="G17" s="469"/>
      <c r="H17" s="478"/>
    </row>
    <row r="18" spans="1:10" ht="54.95" customHeight="1" x14ac:dyDescent="0.35">
      <c r="A18" s="467">
        <v>1.72</v>
      </c>
      <c r="B18" s="467">
        <f>A18-A16</f>
        <v>0.26</v>
      </c>
      <c r="C18" s="243"/>
      <c r="D18" s="244"/>
      <c r="E18" s="476" t="s">
        <v>490</v>
      </c>
      <c r="F18" s="476"/>
      <c r="G18" s="476"/>
      <c r="H18" s="477">
        <f>_КВ2Расстояние-A18</f>
        <v>52.410000000000004</v>
      </c>
    </row>
    <row r="19" spans="1:10" ht="54.95" customHeight="1" x14ac:dyDescent="0.25">
      <c r="A19" s="468"/>
      <c r="B19" s="468"/>
      <c r="C19" s="246">
        <f>'Сектор 1 Про'!C17+1</f>
        <v>3</v>
      </c>
      <c r="D19" s="245"/>
      <c r="E19" s="469"/>
      <c r="F19" s="469"/>
      <c r="G19" s="469"/>
      <c r="H19" s="478"/>
    </row>
    <row r="20" spans="1:10" ht="54.95" customHeight="1" x14ac:dyDescent="0.35">
      <c r="A20" s="467">
        <v>2.17</v>
      </c>
      <c r="B20" s="467">
        <f>A20-A18</f>
        <v>0.44999999999999996</v>
      </c>
      <c r="C20" s="243"/>
      <c r="D20" s="244"/>
      <c r="E20" s="483" t="s">
        <v>365</v>
      </c>
      <c r="F20" s="483"/>
      <c r="G20" s="483"/>
      <c r="H20" s="477">
        <f>_КВ2Расстояние-A20</f>
        <v>51.96</v>
      </c>
    </row>
    <row r="21" spans="1:10" ht="54.95" customHeight="1" x14ac:dyDescent="0.25">
      <c r="A21" s="468"/>
      <c r="B21" s="468"/>
      <c r="C21" s="246">
        <f>'Сектор 1 Про'!C19+1</f>
        <v>4</v>
      </c>
      <c r="D21" s="245"/>
      <c r="E21" s="482" t="s">
        <v>460</v>
      </c>
      <c r="F21" s="482"/>
      <c r="G21" s="482"/>
      <c r="H21" s="478"/>
    </row>
    <row r="22" spans="1:10" ht="54.95" customHeight="1" x14ac:dyDescent="0.25">
      <c r="A22" s="480">
        <v>3.12</v>
      </c>
      <c r="B22" s="480">
        <f>A22-A20</f>
        <v>0.95000000000000018</v>
      </c>
      <c r="C22" s="243"/>
      <c r="D22" s="244"/>
      <c r="E22" s="484"/>
      <c r="F22" s="484"/>
      <c r="G22" s="484"/>
      <c r="H22" s="479">
        <f>_КВ2Расстояние-A22</f>
        <v>51.010000000000005</v>
      </c>
      <c r="J22" s="238" t="s">
        <v>355</v>
      </c>
    </row>
    <row r="23" spans="1:10" ht="54.95" customHeight="1" x14ac:dyDescent="0.25">
      <c r="A23" s="468"/>
      <c r="B23" s="468"/>
      <c r="C23" s="246">
        <f>'Сектор 1 Про'!C21+1</f>
        <v>5</v>
      </c>
      <c r="D23" s="245"/>
      <c r="E23" s="469"/>
      <c r="F23" s="469"/>
      <c r="G23" s="469"/>
      <c r="H23" s="478"/>
    </row>
    <row r="24" spans="1:10" ht="54.95" customHeight="1" x14ac:dyDescent="0.35">
      <c r="A24" s="480">
        <v>4.08</v>
      </c>
      <c r="B24" s="467">
        <f>A24-A22</f>
        <v>0.96</v>
      </c>
      <c r="C24" s="243"/>
      <c r="D24" s="244"/>
      <c r="E24" s="476" t="s">
        <v>357</v>
      </c>
      <c r="F24" s="476"/>
      <c r="G24" s="476"/>
      <c r="H24" s="479">
        <f>_КВ2Расстояние-A24</f>
        <v>50.050000000000004</v>
      </c>
      <c r="J24" s="238" t="s">
        <v>361</v>
      </c>
    </row>
    <row r="25" spans="1:10" ht="54.95" customHeight="1" x14ac:dyDescent="0.25">
      <c r="A25" s="468"/>
      <c r="B25" s="468"/>
      <c r="C25" s="246">
        <f>'Сектор 1 Про'!C23+1</f>
        <v>6</v>
      </c>
      <c r="D25" s="245"/>
      <c r="E25" s="469"/>
      <c r="F25" s="469"/>
      <c r="G25" s="469"/>
      <c r="H25" s="478"/>
    </row>
    <row r="26" spans="1:10" ht="54.95" hidden="1" customHeight="1" x14ac:dyDescent="0.35">
      <c r="A26" s="470">
        <v>7.54</v>
      </c>
      <c r="B26" s="470"/>
      <c r="C26" s="240"/>
      <c r="D26" s="241"/>
      <c r="E26" s="472"/>
      <c r="F26" s="472"/>
      <c r="G26" s="472"/>
      <c r="H26" s="473"/>
      <c r="J26" s="238" t="s">
        <v>483</v>
      </c>
    </row>
    <row r="27" spans="1:10" ht="54.95" hidden="1" customHeight="1" x14ac:dyDescent="0.25">
      <c r="A27" s="471"/>
      <c r="B27" s="471"/>
      <c r="C27" s="247"/>
      <c r="D27" s="242"/>
      <c r="E27" s="475"/>
      <c r="F27" s="475"/>
      <c r="G27" s="475"/>
      <c r="H27" s="474"/>
    </row>
    <row r="28" spans="1:10" ht="54.95" customHeight="1" x14ac:dyDescent="0.35">
      <c r="A28" s="480">
        <v>7.85</v>
      </c>
      <c r="B28" s="480">
        <f>A28-A24</f>
        <v>3.7699999999999996</v>
      </c>
      <c r="C28" s="243"/>
      <c r="D28" s="244"/>
      <c r="E28" s="476" t="s">
        <v>356</v>
      </c>
      <c r="F28" s="476"/>
      <c r="G28" s="476"/>
      <c r="H28" s="479">
        <f>_КВ2Расстояние-A28</f>
        <v>46.28</v>
      </c>
      <c r="J28" s="238" t="s">
        <v>273</v>
      </c>
    </row>
    <row r="29" spans="1:10" ht="54.95" customHeight="1" x14ac:dyDescent="0.25">
      <c r="A29" s="468"/>
      <c r="B29" s="468"/>
      <c r="C29" s="246">
        <f>'Сектор 1 Про'!C25+1</f>
        <v>7</v>
      </c>
      <c r="D29" s="245"/>
      <c r="E29" s="469"/>
      <c r="F29" s="469"/>
      <c r="G29" s="469"/>
      <c r="H29" s="478"/>
    </row>
    <row r="30" spans="1:10" ht="54.95" customHeight="1" x14ac:dyDescent="0.25">
      <c r="A30" s="480">
        <v>8.7799999999999994</v>
      </c>
      <c r="B30" s="480">
        <f>A30-A28</f>
        <v>0.92999999999999972</v>
      </c>
      <c r="C30" s="243"/>
      <c r="D30" s="244"/>
      <c r="E30" s="484"/>
      <c r="F30" s="484"/>
      <c r="G30" s="484"/>
      <c r="H30" s="479">
        <f>_КВ2Расстояние-A30</f>
        <v>45.35</v>
      </c>
      <c r="J30" s="238" t="s">
        <v>273</v>
      </c>
    </row>
    <row r="31" spans="1:10" ht="54.95" customHeight="1" x14ac:dyDescent="0.25">
      <c r="A31" s="468"/>
      <c r="B31" s="468"/>
      <c r="C31" s="246">
        <f>'Сектор 1 Про'!C29+1</f>
        <v>8</v>
      </c>
      <c r="D31" s="245"/>
      <c r="E31" s="469"/>
      <c r="F31" s="469"/>
      <c r="G31" s="469"/>
      <c r="H31" s="478"/>
    </row>
    <row r="32" spans="1:10" ht="54.95" customHeight="1" x14ac:dyDescent="0.35">
      <c r="A32" s="480">
        <v>11.31</v>
      </c>
      <c r="B32" s="480">
        <f>A32-A30</f>
        <v>2.5300000000000011</v>
      </c>
      <c r="C32" s="243"/>
      <c r="D32" s="244"/>
      <c r="E32" s="476" t="s">
        <v>364</v>
      </c>
      <c r="F32" s="476"/>
      <c r="G32" s="476"/>
      <c r="H32" s="479">
        <f>_КВ2Расстояние-A32</f>
        <v>42.82</v>
      </c>
      <c r="J32" s="238" t="s">
        <v>273</v>
      </c>
    </row>
    <row r="33" spans="1:10" ht="54.95" customHeight="1" x14ac:dyDescent="0.25">
      <c r="A33" s="468"/>
      <c r="B33" s="468"/>
      <c r="C33" s="246">
        <f>'Сектор 1 Про'!C31+1</f>
        <v>9</v>
      </c>
      <c r="D33" s="245"/>
      <c r="E33" s="469"/>
      <c r="F33" s="469"/>
      <c r="G33" s="469"/>
      <c r="H33" s="478"/>
    </row>
    <row r="34" spans="1:10" ht="54.95" customHeight="1" x14ac:dyDescent="0.3">
      <c r="A34" s="480">
        <v>13</v>
      </c>
      <c r="B34" s="467">
        <f>A34-A32</f>
        <v>1.6899999999999995</v>
      </c>
      <c r="C34" s="243"/>
      <c r="D34" s="244"/>
      <c r="E34" s="507" t="s">
        <v>530</v>
      </c>
      <c r="F34" s="507"/>
      <c r="G34" s="507"/>
      <c r="H34" s="479">
        <f>_КВ2Расстояние-A34</f>
        <v>41.13</v>
      </c>
      <c r="J34" s="238" t="s">
        <v>361</v>
      </c>
    </row>
    <row r="35" spans="1:10" ht="54.95" customHeight="1" x14ac:dyDescent="0.25">
      <c r="A35" s="468"/>
      <c r="B35" s="468"/>
      <c r="C35" s="246">
        <f>'Сектор 1 Про'!C33+1</f>
        <v>10</v>
      </c>
      <c r="D35" s="245"/>
      <c r="E35" s="469"/>
      <c r="F35" s="469"/>
      <c r="G35" s="469"/>
      <c r="H35" s="478"/>
    </row>
    <row r="36" spans="1:10" ht="54.95" customHeight="1" x14ac:dyDescent="0.35">
      <c r="A36" s="480">
        <v>14.35</v>
      </c>
      <c r="B36" s="467">
        <f>A36-A34</f>
        <v>1.3499999999999996</v>
      </c>
      <c r="C36" s="243"/>
      <c r="D36" s="244"/>
      <c r="E36" s="476"/>
      <c r="F36" s="476"/>
      <c r="G36" s="476"/>
      <c r="H36" s="479">
        <f>_КВ2Расстояние-A36</f>
        <v>39.78</v>
      </c>
      <c r="J36" s="238" t="s">
        <v>361</v>
      </c>
    </row>
    <row r="37" spans="1:10" ht="54.95" customHeight="1" x14ac:dyDescent="0.25">
      <c r="A37" s="468"/>
      <c r="B37" s="468"/>
      <c r="C37" s="246">
        <f>'Сектор 1 Про'!C35+1</f>
        <v>11</v>
      </c>
      <c r="D37" s="245"/>
      <c r="E37" s="469"/>
      <c r="F37" s="469"/>
      <c r="G37" s="469"/>
      <c r="H37" s="478"/>
    </row>
    <row r="38" spans="1:10" ht="54.95" customHeight="1" x14ac:dyDescent="0.35">
      <c r="A38" s="480">
        <v>16.059999999999999</v>
      </c>
      <c r="B38" s="467">
        <f>A38-A36</f>
        <v>1.7099999999999991</v>
      </c>
      <c r="C38" s="243"/>
      <c r="D38" s="244"/>
      <c r="E38" s="476"/>
      <c r="F38" s="476"/>
      <c r="G38" s="476"/>
      <c r="H38" s="479">
        <f>_КВ2Расстояние-A38</f>
        <v>38.070000000000007</v>
      </c>
      <c r="J38" s="238" t="s">
        <v>361</v>
      </c>
    </row>
    <row r="39" spans="1:10" ht="54.95" customHeight="1" x14ac:dyDescent="0.25">
      <c r="A39" s="468"/>
      <c r="B39" s="468"/>
      <c r="C39" s="246">
        <f>'Сектор 1 Про'!C37+1</f>
        <v>12</v>
      </c>
      <c r="D39" s="245"/>
      <c r="E39" s="469"/>
      <c r="F39" s="469"/>
      <c r="G39" s="469"/>
      <c r="H39" s="478"/>
    </row>
    <row r="40" spans="1:10" ht="54.95" customHeight="1" x14ac:dyDescent="0.3">
      <c r="A40" s="467">
        <v>16.52</v>
      </c>
      <c r="B40" s="467">
        <f>A40-A38</f>
        <v>0.46000000000000085</v>
      </c>
      <c r="C40" s="243"/>
      <c r="D40" s="244"/>
      <c r="E40" s="481" t="str">
        <f>"старт"&amp;CHAR(10)&amp;_ДС1</f>
        <v>старт
ДС-1 РДС Городской</v>
      </c>
      <c r="F40" s="481"/>
      <c r="G40" s="481"/>
      <c r="H40" s="477">
        <f>_КВ2Расстояние-A40</f>
        <v>37.61</v>
      </c>
      <c r="J40" s="238" t="s">
        <v>368</v>
      </c>
    </row>
    <row r="41" spans="1:10" ht="54.95" customHeight="1" x14ac:dyDescent="0.25">
      <c r="A41" s="468"/>
      <c r="B41" s="468"/>
      <c r="C41" s="246">
        <f>'Сектор 1 Про'!C39+1</f>
        <v>13</v>
      </c>
      <c r="D41" s="245"/>
      <c r="E41" s="482" t="s">
        <v>156</v>
      </c>
      <c r="F41" s="482"/>
      <c r="G41" s="482"/>
      <c r="H41" s="478"/>
    </row>
    <row r="42" spans="1:10" ht="54.95" customHeight="1" x14ac:dyDescent="0.35">
      <c r="A42" s="467">
        <v>17.579999999999998</v>
      </c>
      <c r="B42" s="467">
        <f>A42-A40</f>
        <v>1.0599999999999987</v>
      </c>
      <c r="C42" s="243"/>
      <c r="D42" s="244"/>
      <c r="E42" s="483"/>
      <c r="F42" s="483"/>
      <c r="G42" s="483"/>
      <c r="H42" s="477">
        <f>_КВ2Расстояние-A42</f>
        <v>36.550000000000004</v>
      </c>
      <c r="J42" s="238" t="s">
        <v>634</v>
      </c>
    </row>
    <row r="43" spans="1:10" ht="54.95" customHeight="1" x14ac:dyDescent="0.25">
      <c r="A43" s="468"/>
      <c r="B43" s="468"/>
      <c r="C43" s="246">
        <f>'Сектор 1 Про'!C41+1</f>
        <v>14</v>
      </c>
      <c r="D43" s="245"/>
      <c r="E43" s="482" t="s">
        <v>633</v>
      </c>
      <c r="F43" s="482"/>
      <c r="G43" s="482"/>
      <c r="H43" s="478"/>
    </row>
    <row r="44" spans="1:10" ht="54.95" customHeight="1" x14ac:dyDescent="0.35">
      <c r="A44" s="467">
        <v>19.559999999999999</v>
      </c>
      <c r="B44" s="467">
        <f>A44-A42</f>
        <v>1.9800000000000004</v>
      </c>
      <c r="C44" s="243"/>
      <c r="D44" s="244"/>
      <c r="E44" s="476"/>
      <c r="F44" s="476"/>
      <c r="G44" s="476"/>
      <c r="H44" s="477">
        <f>_КВ2Расстояние-A44</f>
        <v>34.570000000000007</v>
      </c>
    </row>
    <row r="45" spans="1:10" ht="54.95" customHeight="1" x14ac:dyDescent="0.25">
      <c r="A45" s="468"/>
      <c r="B45" s="468"/>
      <c r="C45" s="246">
        <f>'Сектор 1 Про'!C43+1</f>
        <v>15</v>
      </c>
      <c r="D45" s="245"/>
      <c r="E45" s="469"/>
      <c r="F45" s="469"/>
      <c r="G45" s="469"/>
      <c r="H45" s="478"/>
    </row>
    <row r="46" spans="1:10" ht="54.95" customHeight="1" x14ac:dyDescent="0.35">
      <c r="A46" s="467">
        <v>21.56</v>
      </c>
      <c r="B46" s="467">
        <f>A46-A44</f>
        <v>2</v>
      </c>
      <c r="C46" s="243"/>
      <c r="D46" s="244"/>
      <c r="E46" s="483"/>
      <c r="F46" s="483"/>
      <c r="G46" s="483"/>
      <c r="H46" s="477">
        <f>_КВ2Расстояние-A46</f>
        <v>32.570000000000007</v>
      </c>
      <c r="J46" s="238" t="s">
        <v>495</v>
      </c>
    </row>
    <row r="47" spans="1:10" ht="54.95" customHeight="1" x14ac:dyDescent="0.25">
      <c r="A47" s="468"/>
      <c r="B47" s="468"/>
      <c r="C47" s="246">
        <f>'Сектор 1 Про'!C45+1</f>
        <v>16</v>
      </c>
      <c r="D47" s="245"/>
      <c r="E47" s="482" t="s">
        <v>156</v>
      </c>
      <c r="F47" s="482"/>
      <c r="G47" s="482"/>
      <c r="H47" s="478"/>
    </row>
    <row r="48" spans="1:10" ht="54.95" customHeight="1" x14ac:dyDescent="0.35">
      <c r="A48" s="467">
        <v>24.22</v>
      </c>
      <c r="B48" s="467">
        <f>A48-A46</f>
        <v>2.66</v>
      </c>
      <c r="C48" s="243"/>
      <c r="D48" s="244"/>
      <c r="E48" s="476"/>
      <c r="F48" s="476"/>
      <c r="G48" s="476"/>
      <c r="H48" s="477">
        <f>_КВ2Расстояние-A48</f>
        <v>29.910000000000004</v>
      </c>
    </row>
    <row r="49" spans="1:10" ht="54.95" customHeight="1" x14ac:dyDescent="0.25">
      <c r="A49" s="468"/>
      <c r="B49" s="468"/>
      <c r="C49" s="246">
        <f>'Сектор 1 Про'!C47+1</f>
        <v>17</v>
      </c>
      <c r="D49" s="245"/>
      <c r="E49" s="469"/>
      <c r="F49" s="469"/>
      <c r="G49" s="469"/>
      <c r="H49" s="478"/>
    </row>
    <row r="50" spans="1:10" ht="54.95" customHeight="1" x14ac:dyDescent="0.35">
      <c r="A50" s="467">
        <v>25.18</v>
      </c>
      <c r="B50" s="467">
        <f>A50-A48</f>
        <v>0.96000000000000085</v>
      </c>
      <c r="C50" s="243"/>
      <c r="D50" s="244"/>
      <c r="E50" s="476"/>
      <c r="F50" s="476"/>
      <c r="G50" s="476"/>
      <c r="H50" s="477">
        <f>_КВ2Расстояние-A50</f>
        <v>28.950000000000003</v>
      </c>
    </row>
    <row r="51" spans="1:10" ht="54.95" customHeight="1" x14ac:dyDescent="0.25">
      <c r="A51" s="468"/>
      <c r="B51" s="468"/>
      <c r="C51" s="246">
        <f>'Сектор 1 Про'!C49+1</f>
        <v>18</v>
      </c>
      <c r="D51" s="245"/>
      <c r="E51" s="469"/>
      <c r="F51" s="469"/>
      <c r="G51" s="469"/>
      <c r="H51" s="478"/>
    </row>
    <row r="52" spans="1:10" ht="54.95" customHeight="1" x14ac:dyDescent="0.35">
      <c r="A52" s="467">
        <v>25.4</v>
      </c>
      <c r="B52" s="467">
        <f>A52-A50</f>
        <v>0.21999999999999886</v>
      </c>
      <c r="C52" s="243"/>
      <c r="D52" s="244"/>
      <c r="E52" s="476" t="s">
        <v>420</v>
      </c>
      <c r="F52" s="476"/>
      <c r="G52" s="476"/>
      <c r="H52" s="477">
        <f>_КВ2Расстояние-A52</f>
        <v>28.730000000000004</v>
      </c>
      <c r="J52" s="238" t="s">
        <v>441</v>
      </c>
    </row>
    <row r="53" spans="1:10" ht="54.95" customHeight="1" x14ac:dyDescent="0.25">
      <c r="A53" s="468"/>
      <c r="B53" s="468"/>
      <c r="C53" s="246">
        <f>'Сектор 1 Про'!C51+1</f>
        <v>19</v>
      </c>
      <c r="D53" s="245"/>
      <c r="E53" s="469"/>
      <c r="F53" s="469"/>
      <c r="G53" s="469"/>
      <c r="H53" s="478"/>
    </row>
    <row r="54" spans="1:10" ht="54.95" customHeight="1" x14ac:dyDescent="0.35">
      <c r="A54" s="467">
        <v>25.48</v>
      </c>
      <c r="B54" s="467">
        <f>A54-A52</f>
        <v>8.0000000000001847E-2</v>
      </c>
      <c r="C54" s="243"/>
      <c r="D54" s="244"/>
      <c r="E54" s="476" t="s">
        <v>381</v>
      </c>
      <c r="F54" s="476"/>
      <c r="G54" s="476"/>
      <c r="H54" s="477">
        <f>_КВ2Расстояние-A54</f>
        <v>28.650000000000002</v>
      </c>
      <c r="J54" s="238" t="s">
        <v>406</v>
      </c>
    </row>
    <row r="55" spans="1:10" ht="54.95" customHeight="1" x14ac:dyDescent="0.25">
      <c r="A55" s="468"/>
      <c r="B55" s="468"/>
      <c r="C55" s="246">
        <f>'Сектор 1 Про'!C53+1</f>
        <v>20</v>
      </c>
      <c r="D55" s="245"/>
      <c r="E55" s="469"/>
      <c r="F55" s="469"/>
      <c r="G55" s="469"/>
      <c r="H55" s="478"/>
    </row>
    <row r="56" spans="1:10" ht="54.95" customHeight="1" x14ac:dyDescent="0.35">
      <c r="A56" s="467">
        <v>25.76</v>
      </c>
      <c r="B56" s="467">
        <f>A56-A54</f>
        <v>0.28000000000000114</v>
      </c>
      <c r="C56" s="243"/>
      <c r="D56" s="244"/>
      <c r="E56" s="483" t="s">
        <v>359</v>
      </c>
      <c r="F56" s="483"/>
      <c r="G56" s="483"/>
      <c r="H56" s="477">
        <f>_КВ2Расстояние-A56</f>
        <v>28.37</v>
      </c>
    </row>
    <row r="57" spans="1:10" ht="54.95" customHeight="1" x14ac:dyDescent="0.25">
      <c r="A57" s="468"/>
      <c r="B57" s="468"/>
      <c r="C57" s="246">
        <f>'Сектор 1 Про'!C55+1</f>
        <v>21</v>
      </c>
      <c r="D57" s="245"/>
      <c r="E57" s="482" t="s">
        <v>373</v>
      </c>
      <c r="F57" s="482"/>
      <c r="G57" s="482"/>
      <c r="H57" s="478"/>
    </row>
    <row r="58" spans="1:10" ht="54.95" customHeight="1" x14ac:dyDescent="0.35">
      <c r="A58" s="467">
        <v>26.6</v>
      </c>
      <c r="B58" s="467">
        <f>A58-A56</f>
        <v>0.83999999999999986</v>
      </c>
      <c r="C58" s="243"/>
      <c r="D58" s="244"/>
      <c r="E58" s="476" t="s">
        <v>635</v>
      </c>
      <c r="F58" s="476"/>
      <c r="G58" s="476"/>
      <c r="H58" s="477">
        <f>_КВ2Расстояние-A58</f>
        <v>27.53</v>
      </c>
    </row>
    <row r="59" spans="1:10" ht="54.95" customHeight="1" x14ac:dyDescent="0.25">
      <c r="A59" s="468"/>
      <c r="B59" s="468"/>
      <c r="C59" s="246">
        <f>'Сектор 1 Про'!C57+1</f>
        <v>22</v>
      </c>
      <c r="D59" s="245"/>
      <c r="E59" s="469" t="str">
        <f>"поз. "&amp;C61&amp;" по поз. "&amp;C71&amp;" включительно"</f>
        <v>поз. 23 по поз. 28 включительно</v>
      </c>
      <c r="F59" s="469"/>
      <c r="G59" s="469"/>
      <c r="H59" s="478"/>
    </row>
    <row r="60" spans="1:10" ht="54.95" customHeight="1" x14ac:dyDescent="0.35">
      <c r="A60" s="467">
        <v>27.01</v>
      </c>
      <c r="B60" s="467">
        <f>A60-A58</f>
        <v>0.41000000000000014</v>
      </c>
      <c r="C60" s="243"/>
      <c r="D60" s="244"/>
      <c r="E60" s="483" t="s">
        <v>502</v>
      </c>
      <c r="F60" s="483"/>
      <c r="G60" s="483"/>
      <c r="H60" s="477">
        <f>_КВ2Расстояние-A60</f>
        <v>27.12</v>
      </c>
      <c r="J60" s="238" t="s">
        <v>441</v>
      </c>
    </row>
    <row r="61" spans="1:10" ht="54.95" customHeight="1" x14ac:dyDescent="0.25">
      <c r="A61" s="468"/>
      <c r="B61" s="468"/>
      <c r="C61" s="246">
        <f>'Сектор 1 Про'!C59+1</f>
        <v>23</v>
      </c>
      <c r="D61" s="245"/>
      <c r="E61" s="482" t="s">
        <v>420</v>
      </c>
      <c r="F61" s="482"/>
      <c r="G61" s="482"/>
      <c r="H61" s="478"/>
    </row>
    <row r="62" spans="1:10" ht="54.95" customHeight="1" x14ac:dyDescent="0.35">
      <c r="A62" s="467">
        <v>27.19</v>
      </c>
      <c r="B62" s="467">
        <f>A62-A60</f>
        <v>0.17999999999999972</v>
      </c>
      <c r="C62" s="243"/>
      <c r="D62" s="244"/>
      <c r="E62" s="476"/>
      <c r="F62" s="476"/>
      <c r="G62" s="476"/>
      <c r="H62" s="477">
        <f>_КВ2Расстояние-A62</f>
        <v>26.94</v>
      </c>
    </row>
    <row r="63" spans="1:10" ht="54.95" customHeight="1" x14ac:dyDescent="0.25">
      <c r="A63" s="468"/>
      <c r="B63" s="468"/>
      <c r="C63" s="246">
        <f>'Сектор 1 Про'!C61+1</f>
        <v>24</v>
      </c>
      <c r="D63" s="245"/>
      <c r="E63" s="469"/>
      <c r="F63" s="469"/>
      <c r="G63" s="469"/>
      <c r="H63" s="478"/>
    </row>
    <row r="64" spans="1:10" ht="54.95" customHeight="1" x14ac:dyDescent="0.35">
      <c r="A64" s="467">
        <v>27.59</v>
      </c>
      <c r="B64" s="467">
        <f>A64-A62</f>
        <v>0.39999999999999858</v>
      </c>
      <c r="C64" s="243"/>
      <c r="D64" s="244"/>
      <c r="E64" s="476" t="s">
        <v>470</v>
      </c>
      <c r="F64" s="476"/>
      <c r="G64" s="476"/>
      <c r="H64" s="477">
        <f>_КВ2Расстояние-A64</f>
        <v>26.540000000000003</v>
      </c>
    </row>
    <row r="65" spans="1:10" ht="54.95" customHeight="1" x14ac:dyDescent="0.25">
      <c r="A65" s="468"/>
      <c r="B65" s="468"/>
      <c r="C65" s="246">
        <f>'Сектор 1 Про'!C63+1</f>
        <v>25</v>
      </c>
      <c r="D65" s="245"/>
      <c r="E65" s="469"/>
      <c r="F65" s="469"/>
      <c r="G65" s="469"/>
      <c r="H65" s="478"/>
    </row>
    <row r="66" spans="1:10" ht="54.95" customHeight="1" x14ac:dyDescent="0.35">
      <c r="A66" s="467">
        <v>27.96</v>
      </c>
      <c r="B66" s="467">
        <f>A66-A64</f>
        <v>0.37000000000000099</v>
      </c>
      <c r="C66" s="243"/>
      <c r="D66" s="244"/>
      <c r="E66" s="476" t="s">
        <v>502</v>
      </c>
      <c r="F66" s="476"/>
      <c r="G66" s="476"/>
      <c r="H66" s="477">
        <f>_КВ2Расстояние-A66</f>
        <v>26.17</v>
      </c>
    </row>
    <row r="67" spans="1:10" ht="54.95" customHeight="1" x14ac:dyDescent="0.25">
      <c r="A67" s="468"/>
      <c r="B67" s="468"/>
      <c r="C67" s="246">
        <f>'Сектор 1 Про'!C65+1</f>
        <v>26</v>
      </c>
      <c r="D67" s="245"/>
      <c r="E67" s="469"/>
      <c r="F67" s="469"/>
      <c r="G67" s="469"/>
      <c r="H67" s="478"/>
    </row>
    <row r="68" spans="1:10" ht="54.95" customHeight="1" x14ac:dyDescent="0.35">
      <c r="A68" s="467">
        <v>28.17</v>
      </c>
      <c r="B68" s="467">
        <f>A68-A66</f>
        <v>0.21000000000000085</v>
      </c>
      <c r="C68" s="243"/>
      <c r="D68" s="244"/>
      <c r="E68" s="476"/>
      <c r="F68" s="476"/>
      <c r="G68" s="476"/>
      <c r="H68" s="477">
        <f>_КВ2Расстояние-A68</f>
        <v>25.96</v>
      </c>
    </row>
    <row r="69" spans="1:10" ht="54.95" customHeight="1" x14ac:dyDescent="0.25">
      <c r="A69" s="468"/>
      <c r="B69" s="468"/>
      <c r="C69" s="246">
        <f>'Сектор 1 Про'!C67+1</f>
        <v>27</v>
      </c>
      <c r="D69" s="245"/>
      <c r="E69" s="469"/>
      <c r="F69" s="469"/>
      <c r="G69" s="469"/>
      <c r="H69" s="478"/>
    </row>
    <row r="70" spans="1:10" ht="54.95" customHeight="1" x14ac:dyDescent="0.35">
      <c r="A70" s="467">
        <v>28.28</v>
      </c>
      <c r="B70" s="467">
        <f>A70-A68</f>
        <v>0.10999999999999943</v>
      </c>
      <c r="C70" s="243"/>
      <c r="D70" s="244"/>
      <c r="E70" s="476" t="s">
        <v>381</v>
      </c>
      <c r="F70" s="476"/>
      <c r="G70" s="476"/>
      <c r="H70" s="477">
        <f>_КВ2Расстояние-A70</f>
        <v>25.85</v>
      </c>
      <c r="J70" s="238" t="s">
        <v>406</v>
      </c>
    </row>
    <row r="71" spans="1:10" ht="54.95" customHeight="1" x14ac:dyDescent="0.25">
      <c r="A71" s="468"/>
      <c r="B71" s="468"/>
      <c r="C71" s="246">
        <f>'Сектор 1 Про'!C69+1</f>
        <v>28</v>
      </c>
      <c r="D71" s="245"/>
      <c r="E71" s="469"/>
      <c r="F71" s="469"/>
      <c r="G71" s="469"/>
      <c r="H71" s="478"/>
    </row>
    <row r="72" spans="1:10" ht="54.95" hidden="1" customHeight="1" x14ac:dyDescent="0.35">
      <c r="A72" s="470">
        <v>28.36</v>
      </c>
      <c r="B72" s="470"/>
      <c r="C72" s="240"/>
      <c r="D72" s="241"/>
      <c r="E72" s="472"/>
      <c r="F72" s="472"/>
      <c r="G72" s="472"/>
      <c r="H72" s="473">
        <f>_КВ2Расстояние-A72</f>
        <v>25.770000000000003</v>
      </c>
      <c r="J72" s="238" t="s">
        <v>360</v>
      </c>
    </row>
    <row r="73" spans="1:10" ht="54.95" hidden="1" customHeight="1" x14ac:dyDescent="0.25">
      <c r="A73" s="471"/>
      <c r="B73" s="471"/>
      <c r="C73" s="247"/>
      <c r="D73" s="242"/>
      <c r="E73" s="475"/>
      <c r="F73" s="475"/>
      <c r="G73" s="475"/>
      <c r="H73" s="474"/>
    </row>
    <row r="74" spans="1:10" ht="54.95" customHeight="1" x14ac:dyDescent="0.35">
      <c r="A74" s="480">
        <v>28.49</v>
      </c>
      <c r="B74" s="480">
        <f>A74-A70</f>
        <v>0.2099999999999973</v>
      </c>
      <c r="C74" s="243"/>
      <c r="D74" s="244"/>
      <c r="E74" s="476" t="s">
        <v>503</v>
      </c>
      <c r="F74" s="476"/>
      <c r="G74" s="476"/>
      <c r="H74" s="479">
        <f>_КВ2Расстояние-A74</f>
        <v>25.640000000000004</v>
      </c>
      <c r="J74" s="238" t="s">
        <v>504</v>
      </c>
    </row>
    <row r="75" spans="1:10" ht="54.95" customHeight="1" x14ac:dyDescent="0.25">
      <c r="A75" s="468"/>
      <c r="B75" s="468"/>
      <c r="C75" s="246">
        <f>'Сектор 1 Про'!C71+1</f>
        <v>29</v>
      </c>
      <c r="D75" s="245"/>
      <c r="E75" s="469"/>
      <c r="F75" s="469"/>
      <c r="G75" s="469"/>
      <c r="H75" s="478"/>
    </row>
    <row r="76" spans="1:10" ht="54.95" customHeight="1" x14ac:dyDescent="0.35">
      <c r="A76" s="480">
        <v>28.6</v>
      </c>
      <c r="B76" s="480">
        <f>A76-A74</f>
        <v>0.11000000000000298</v>
      </c>
      <c r="C76" s="243"/>
      <c r="D76" s="244"/>
      <c r="E76" s="476" t="s">
        <v>502</v>
      </c>
      <c r="F76" s="476"/>
      <c r="G76" s="476"/>
      <c r="H76" s="479">
        <f>_КВ2Расстояние-A76</f>
        <v>25.53</v>
      </c>
      <c r="J76" s="238" t="s">
        <v>273</v>
      </c>
    </row>
    <row r="77" spans="1:10" ht="54.95" customHeight="1" x14ac:dyDescent="0.25">
      <c r="A77" s="468"/>
      <c r="B77" s="468"/>
      <c r="C77" s="246">
        <f>'Сектор 1 Про'!C75+1</f>
        <v>30</v>
      </c>
      <c r="D77" s="245"/>
      <c r="E77" s="469"/>
      <c r="F77" s="469"/>
      <c r="G77" s="469"/>
      <c r="H77" s="478"/>
    </row>
    <row r="78" spans="1:10" ht="54.95" customHeight="1" x14ac:dyDescent="0.35">
      <c r="A78" s="480">
        <v>29.86</v>
      </c>
      <c r="B78" s="480">
        <f>A78-A76</f>
        <v>1.259999999999998</v>
      </c>
      <c r="C78" s="243"/>
      <c r="D78" s="244"/>
      <c r="E78" s="476"/>
      <c r="F78" s="476"/>
      <c r="G78" s="476"/>
      <c r="H78" s="479">
        <f>_КВ2Расстояние-A78</f>
        <v>24.270000000000003</v>
      </c>
      <c r="J78" s="238" t="s">
        <v>273</v>
      </c>
    </row>
    <row r="79" spans="1:10" ht="54.95" customHeight="1" x14ac:dyDescent="0.25">
      <c r="A79" s="468"/>
      <c r="B79" s="468"/>
      <c r="C79" s="246">
        <f>'Сектор 1 Про'!C77+1</f>
        <v>31</v>
      </c>
      <c r="D79" s="245"/>
      <c r="E79" s="469"/>
      <c r="F79" s="469"/>
      <c r="G79" s="469"/>
      <c r="H79" s="478"/>
    </row>
    <row r="80" spans="1:10" ht="54.95" customHeight="1" x14ac:dyDescent="0.35">
      <c r="A80" s="480">
        <v>30.87</v>
      </c>
      <c r="B80" s="480">
        <f>A80-A78</f>
        <v>1.0100000000000016</v>
      </c>
      <c r="C80" s="243"/>
      <c r="D80" s="244"/>
      <c r="E80" s="483" t="s">
        <v>505</v>
      </c>
      <c r="F80" s="483"/>
      <c r="G80" s="483"/>
      <c r="H80" s="479">
        <f>_КВ2Расстояние-A80</f>
        <v>23.26</v>
      </c>
      <c r="J80" s="238" t="s">
        <v>506</v>
      </c>
    </row>
    <row r="81" spans="1:10" ht="54.95" customHeight="1" x14ac:dyDescent="0.25">
      <c r="A81" s="468"/>
      <c r="B81" s="468"/>
      <c r="C81" s="246">
        <f>'Сектор 1 Про'!C79+1</f>
        <v>32</v>
      </c>
      <c r="D81" s="245"/>
      <c r="E81" s="513" t="s">
        <v>531</v>
      </c>
      <c r="F81" s="513"/>
      <c r="G81" s="513"/>
      <c r="H81" s="478"/>
    </row>
    <row r="82" spans="1:10" ht="54.95" hidden="1" customHeight="1" x14ac:dyDescent="0.35">
      <c r="A82" s="470">
        <v>30.94</v>
      </c>
      <c r="B82" s="470"/>
      <c r="C82" s="240"/>
      <c r="D82" s="241"/>
      <c r="E82" s="472" t="s">
        <v>376</v>
      </c>
      <c r="F82" s="472"/>
      <c r="G82" s="472"/>
      <c r="H82" s="473">
        <f>_КВ2Расстояние-A82</f>
        <v>23.19</v>
      </c>
      <c r="J82" s="238" t="s">
        <v>362</v>
      </c>
    </row>
    <row r="83" spans="1:10" ht="54.95" hidden="1" customHeight="1" x14ac:dyDescent="0.25">
      <c r="A83" s="471"/>
      <c r="B83" s="471"/>
      <c r="C83" s="247"/>
      <c r="D83" s="242"/>
      <c r="E83" s="475"/>
      <c r="F83" s="475"/>
      <c r="G83" s="475"/>
      <c r="H83" s="474"/>
    </row>
    <row r="84" spans="1:10" ht="54.95" customHeight="1" x14ac:dyDescent="0.35">
      <c r="A84" s="467">
        <v>31.1</v>
      </c>
      <c r="B84" s="480">
        <f>A84-A80</f>
        <v>0.23000000000000043</v>
      </c>
      <c r="C84" s="243"/>
      <c r="D84" s="244"/>
      <c r="E84" s="476"/>
      <c r="F84" s="476"/>
      <c r="G84" s="476"/>
      <c r="H84" s="477">
        <f>_КВ2Расстояние-A84</f>
        <v>23.03</v>
      </c>
      <c r="J84" s="238" t="s">
        <v>255</v>
      </c>
    </row>
    <row r="85" spans="1:10" ht="54.95" customHeight="1" x14ac:dyDescent="0.25">
      <c r="A85" s="468"/>
      <c r="B85" s="468"/>
      <c r="C85" s="246">
        <f>'Сектор 1 Про'!C81+1</f>
        <v>33</v>
      </c>
      <c r="D85" s="245"/>
      <c r="E85" s="469"/>
      <c r="F85" s="469"/>
      <c r="G85" s="469"/>
      <c r="H85" s="478"/>
    </row>
    <row r="86" spans="1:10" ht="54.95" customHeight="1" x14ac:dyDescent="0.35">
      <c r="A86" s="467">
        <v>31.32</v>
      </c>
      <c r="B86" s="467">
        <f>A86-A84</f>
        <v>0.21999999999999886</v>
      </c>
      <c r="C86" s="243"/>
      <c r="D86" s="244"/>
      <c r="E86" s="476"/>
      <c r="F86" s="476"/>
      <c r="G86" s="476"/>
      <c r="H86" s="477">
        <f>_КВ2Расстояние-A86</f>
        <v>22.810000000000002</v>
      </c>
    </row>
    <row r="87" spans="1:10" ht="54.95" customHeight="1" x14ac:dyDescent="0.25">
      <c r="A87" s="468"/>
      <c r="B87" s="468"/>
      <c r="C87" s="246">
        <f>'Сектор 1 Про'!C85+1</f>
        <v>34</v>
      </c>
      <c r="D87" s="245"/>
      <c r="E87" s="469"/>
      <c r="F87" s="469"/>
      <c r="G87" s="469"/>
      <c r="H87" s="478"/>
    </row>
    <row r="88" spans="1:10" ht="54.95" customHeight="1" x14ac:dyDescent="0.35">
      <c r="A88" s="467">
        <v>32.01</v>
      </c>
      <c r="B88" s="467">
        <f>A88-A86</f>
        <v>0.68999999999999773</v>
      </c>
      <c r="C88" s="243"/>
      <c r="D88" s="244"/>
      <c r="E88" s="476"/>
      <c r="F88" s="476"/>
      <c r="G88" s="476"/>
      <c r="H88" s="477">
        <f>_КВ2Расстояние-A88</f>
        <v>22.120000000000005</v>
      </c>
    </row>
    <row r="89" spans="1:10" ht="54.95" customHeight="1" x14ac:dyDescent="0.25">
      <c r="A89" s="468"/>
      <c r="B89" s="468"/>
      <c r="C89" s="246">
        <f>'Сектор 1 Про'!C87+1</f>
        <v>35</v>
      </c>
      <c r="D89" s="245"/>
      <c r="E89" s="469"/>
      <c r="F89" s="469"/>
      <c r="G89" s="469"/>
      <c r="H89" s="478"/>
    </row>
    <row r="90" spans="1:10" ht="54.95" customHeight="1" x14ac:dyDescent="0.35">
      <c r="A90" s="467">
        <v>32.770000000000003</v>
      </c>
      <c r="B90" s="467">
        <f>A90-A88</f>
        <v>0.76000000000000512</v>
      </c>
      <c r="C90" s="243"/>
      <c r="D90" s="244"/>
      <c r="E90" s="476"/>
      <c r="F90" s="476"/>
      <c r="G90" s="476"/>
      <c r="H90" s="477">
        <f>_КВ2Расстояние-A90</f>
        <v>21.36</v>
      </c>
    </row>
    <row r="91" spans="1:10" ht="54.95" customHeight="1" x14ac:dyDescent="0.25">
      <c r="A91" s="468"/>
      <c r="B91" s="468"/>
      <c r="C91" s="246">
        <f>'Сектор 1 Про'!C89+1</f>
        <v>36</v>
      </c>
      <c r="D91" s="245"/>
      <c r="E91" s="469"/>
      <c r="F91" s="469"/>
      <c r="G91" s="469"/>
      <c r="H91" s="478"/>
    </row>
    <row r="92" spans="1:10" ht="54.95" customHeight="1" x14ac:dyDescent="0.35">
      <c r="A92" s="467">
        <v>32.950000000000003</v>
      </c>
      <c r="B92" s="467">
        <f>A92-A90</f>
        <v>0.17999999999999972</v>
      </c>
      <c r="C92" s="243"/>
      <c r="D92" s="244"/>
      <c r="E92" s="476" t="s">
        <v>380</v>
      </c>
      <c r="F92" s="476"/>
      <c r="G92" s="476"/>
      <c r="H92" s="477">
        <f>_КВ2Расстояние-A92</f>
        <v>21.18</v>
      </c>
    </row>
    <row r="93" spans="1:10" ht="54.95" customHeight="1" x14ac:dyDescent="0.35">
      <c r="A93" s="468"/>
      <c r="B93" s="468"/>
      <c r="C93" s="246">
        <f>'Сектор 1 Про'!C91+1</f>
        <v>37</v>
      </c>
      <c r="D93" s="245"/>
      <c r="E93" s="511"/>
      <c r="F93" s="511"/>
      <c r="G93" s="511"/>
      <c r="H93" s="478"/>
    </row>
    <row r="94" spans="1:10" ht="54.95" customHeight="1" x14ac:dyDescent="0.35">
      <c r="A94" s="467">
        <v>34.200000000000003</v>
      </c>
      <c r="B94" s="467">
        <f>A94-A92</f>
        <v>1.25</v>
      </c>
      <c r="C94" s="243"/>
      <c r="D94" s="244"/>
      <c r="E94" s="476" t="s">
        <v>498</v>
      </c>
      <c r="F94" s="476"/>
      <c r="G94" s="476"/>
      <c r="H94" s="477">
        <f>_КВ2Расстояние-A94</f>
        <v>19.93</v>
      </c>
    </row>
    <row r="95" spans="1:10" ht="54.95" customHeight="1" x14ac:dyDescent="0.25">
      <c r="A95" s="468"/>
      <c r="B95" s="468"/>
      <c r="C95" s="246">
        <f>'Сектор 1 Про'!C93+1</f>
        <v>38</v>
      </c>
      <c r="D95" s="245"/>
      <c r="E95" s="469"/>
      <c r="F95" s="469"/>
      <c r="G95" s="469"/>
      <c r="H95" s="478"/>
    </row>
    <row r="96" spans="1:10" ht="54.95" customHeight="1" x14ac:dyDescent="0.35">
      <c r="A96" s="467">
        <v>35.619999999999997</v>
      </c>
      <c r="B96" s="467">
        <f>A96-A94</f>
        <v>1.4199999999999946</v>
      </c>
      <c r="C96" s="243"/>
      <c r="D96" s="244"/>
      <c r="E96" s="476"/>
      <c r="F96" s="476"/>
      <c r="G96" s="476"/>
      <c r="H96" s="477">
        <f>_КВ2Расстояние-A96</f>
        <v>18.510000000000005</v>
      </c>
    </row>
    <row r="97" spans="1:10" ht="54.95" customHeight="1" x14ac:dyDescent="0.25">
      <c r="A97" s="468"/>
      <c r="B97" s="468"/>
      <c r="C97" s="246">
        <f>'Сектор 1 Про'!C95+1</f>
        <v>39</v>
      </c>
      <c r="D97" s="245"/>
      <c r="E97" s="469"/>
      <c r="F97" s="469"/>
      <c r="G97" s="469"/>
      <c r="H97" s="478"/>
    </row>
    <row r="98" spans="1:10" ht="54.95" customHeight="1" x14ac:dyDescent="0.35">
      <c r="A98" s="467">
        <v>38.99</v>
      </c>
      <c r="B98" s="467">
        <f>A98-A96</f>
        <v>3.3700000000000045</v>
      </c>
      <c r="C98" s="243"/>
      <c r="D98" s="244"/>
      <c r="E98" s="509" t="s">
        <v>496</v>
      </c>
      <c r="F98" s="509"/>
      <c r="G98" s="509"/>
      <c r="H98" s="477">
        <f>_КВ2Расстояние-A98</f>
        <v>15.14</v>
      </c>
    </row>
    <row r="99" spans="1:10" ht="54.95" customHeight="1" x14ac:dyDescent="0.25">
      <c r="A99" s="468"/>
      <c r="B99" s="468"/>
      <c r="C99" s="246">
        <f>'Сектор 1 Про'!C97+1</f>
        <v>40</v>
      </c>
      <c r="D99" s="245"/>
      <c r="E99" s="510" t="s">
        <v>632</v>
      </c>
      <c r="F99" s="510"/>
      <c r="G99" s="510"/>
      <c r="H99" s="478"/>
    </row>
    <row r="100" spans="1:10" ht="54.95" customHeight="1" x14ac:dyDescent="0.3">
      <c r="A100" s="467">
        <v>39.47</v>
      </c>
      <c r="B100" s="467">
        <f>A100-A98</f>
        <v>0.47999999999999687</v>
      </c>
      <c r="C100" s="243"/>
      <c r="D100" s="244"/>
      <c r="E100" s="514" t="s">
        <v>636</v>
      </c>
      <c r="F100" s="514"/>
      <c r="G100" s="514"/>
      <c r="H100" s="477">
        <f>_КВ2Расстояние-A100</f>
        <v>14.660000000000004</v>
      </c>
    </row>
    <row r="101" spans="1:10" ht="54.95" customHeight="1" x14ac:dyDescent="0.25">
      <c r="A101" s="468"/>
      <c r="B101" s="468"/>
      <c r="C101" s="246">
        <f>'Сектор 1 Про'!C99+1</f>
        <v>41</v>
      </c>
      <c r="D101" s="245"/>
      <c r="E101" s="515" t="s">
        <v>507</v>
      </c>
      <c r="F101" s="515"/>
      <c r="G101" s="515"/>
      <c r="H101" s="478"/>
    </row>
    <row r="102" spans="1:10" ht="54.95" hidden="1" customHeight="1" x14ac:dyDescent="0.35">
      <c r="A102" s="516">
        <v>41.94</v>
      </c>
      <c r="B102" s="516"/>
      <c r="C102" s="240"/>
      <c r="D102" s="241"/>
      <c r="E102" s="472"/>
      <c r="F102" s="472"/>
      <c r="G102" s="472"/>
      <c r="H102" s="518"/>
      <c r="J102" s="238" t="s">
        <v>501</v>
      </c>
    </row>
    <row r="103" spans="1:10" ht="54.95" hidden="1" customHeight="1" x14ac:dyDescent="0.25">
      <c r="A103" s="517"/>
      <c r="B103" s="517"/>
      <c r="C103" s="247"/>
      <c r="D103" s="242"/>
      <c r="E103" s="475"/>
      <c r="F103" s="475"/>
      <c r="G103" s="475"/>
      <c r="H103" s="519"/>
    </row>
    <row r="104" spans="1:10" ht="54.95" customHeight="1" x14ac:dyDescent="0.35">
      <c r="A104" s="459"/>
      <c r="B104" s="461"/>
      <c r="C104" s="321"/>
      <c r="D104" s="322"/>
      <c r="E104" s="463"/>
      <c r="F104" s="463"/>
      <c r="G104" s="463"/>
      <c r="H104" s="464"/>
      <c r="J104" s="238" t="s">
        <v>256</v>
      </c>
    </row>
    <row r="105" spans="1:10" ht="54.95" customHeight="1" x14ac:dyDescent="0.25">
      <c r="A105" s="460"/>
      <c r="B105" s="462"/>
      <c r="C105" s="323"/>
      <c r="D105" s="324"/>
      <c r="E105" s="466"/>
      <c r="F105" s="466"/>
      <c r="G105" s="466"/>
      <c r="H105" s="465"/>
    </row>
    <row r="106" spans="1:10" ht="54.95" customHeight="1" x14ac:dyDescent="0.35">
      <c r="A106" s="451"/>
      <c r="B106" s="453"/>
      <c r="C106" s="331"/>
      <c r="D106" s="324"/>
      <c r="E106" s="455"/>
      <c r="F106" s="455"/>
      <c r="G106" s="455"/>
      <c r="H106" s="456"/>
      <c r="J106" s="238" t="s">
        <v>256</v>
      </c>
    </row>
    <row r="107" spans="1:10" ht="54.95" customHeight="1" x14ac:dyDescent="0.25">
      <c r="A107" s="460"/>
      <c r="B107" s="462"/>
      <c r="C107" s="323"/>
      <c r="D107" s="324"/>
      <c r="E107" s="466"/>
      <c r="F107" s="466"/>
      <c r="G107" s="466"/>
      <c r="H107" s="465"/>
    </row>
    <row r="108" spans="1:10" ht="54.95" customHeight="1" x14ac:dyDescent="0.35">
      <c r="A108" s="451"/>
      <c r="B108" s="453"/>
      <c r="C108" s="331"/>
      <c r="D108" s="324"/>
      <c r="E108" s="455"/>
      <c r="F108" s="455"/>
      <c r="G108" s="455"/>
      <c r="H108" s="456"/>
      <c r="J108" s="238" t="s">
        <v>256</v>
      </c>
    </row>
    <row r="109" spans="1:10" ht="54.95" customHeight="1" x14ac:dyDescent="0.25">
      <c r="A109" s="460"/>
      <c r="B109" s="462"/>
      <c r="C109" s="323"/>
      <c r="D109" s="324"/>
      <c r="E109" s="466"/>
      <c r="F109" s="466"/>
      <c r="G109" s="466"/>
      <c r="H109" s="465"/>
    </row>
    <row r="110" spans="1:10" ht="54.95" customHeight="1" x14ac:dyDescent="0.35">
      <c r="A110" s="467">
        <v>42.54</v>
      </c>
      <c r="B110" s="480">
        <f>A110-A100</f>
        <v>3.0700000000000003</v>
      </c>
      <c r="C110" s="243"/>
      <c r="D110" s="244"/>
      <c r="E110" s="512" t="s">
        <v>411</v>
      </c>
      <c r="F110" s="512"/>
      <c r="G110" s="512"/>
      <c r="H110" s="477">
        <f>_КВ2Расстояние-A110</f>
        <v>11.590000000000003</v>
      </c>
      <c r="J110" s="238" t="s">
        <v>255</v>
      </c>
    </row>
    <row r="111" spans="1:10" ht="54.95" customHeight="1" x14ac:dyDescent="0.25">
      <c r="A111" s="468"/>
      <c r="B111" s="468"/>
      <c r="C111" s="246">
        <f>'Сектор 1 Про'!C101+1</f>
        <v>42</v>
      </c>
      <c r="D111" s="245"/>
      <c r="E111" s="469"/>
      <c r="F111" s="469"/>
      <c r="G111" s="469"/>
      <c r="H111" s="478"/>
    </row>
    <row r="112" spans="1:10" ht="54.95" customHeight="1" x14ac:dyDescent="0.35">
      <c r="A112" s="467">
        <v>43.33</v>
      </c>
      <c r="B112" s="467">
        <f>A112-A110</f>
        <v>0.78999999999999915</v>
      </c>
      <c r="C112" s="243"/>
      <c r="D112" s="244"/>
      <c r="E112" s="476"/>
      <c r="F112" s="476"/>
      <c r="G112" s="476"/>
      <c r="H112" s="477">
        <f>_КВ2Расстояние-A112</f>
        <v>10.800000000000004</v>
      </c>
    </row>
    <row r="113" spans="1:10" ht="54.95" customHeight="1" x14ac:dyDescent="0.25">
      <c r="A113" s="468"/>
      <c r="B113" s="468"/>
      <c r="C113" s="246">
        <f>'Сектор 1 Про'!C111+1</f>
        <v>43</v>
      </c>
      <c r="D113" s="245"/>
      <c r="E113" s="469"/>
      <c r="F113" s="469"/>
      <c r="G113" s="469"/>
      <c r="H113" s="478"/>
    </row>
    <row r="114" spans="1:10" ht="54.95" customHeight="1" x14ac:dyDescent="0.35">
      <c r="A114" s="467">
        <v>43.82</v>
      </c>
      <c r="B114" s="467">
        <f>A114-A112</f>
        <v>0.49000000000000199</v>
      </c>
      <c r="C114" s="243"/>
      <c r="D114" s="244"/>
      <c r="E114" s="476"/>
      <c r="F114" s="476"/>
      <c r="G114" s="476"/>
      <c r="H114" s="477">
        <f>_КВ2Расстояние-A114</f>
        <v>10.310000000000002</v>
      </c>
    </row>
    <row r="115" spans="1:10" ht="54.95" customHeight="1" x14ac:dyDescent="0.25">
      <c r="A115" s="468"/>
      <c r="B115" s="468"/>
      <c r="C115" s="246">
        <f>'Сектор 1 Про'!C113+1</f>
        <v>44</v>
      </c>
      <c r="D115" s="245"/>
      <c r="E115" s="469"/>
      <c r="F115" s="469"/>
      <c r="G115" s="469"/>
      <c r="H115" s="478"/>
    </row>
    <row r="116" spans="1:10" ht="54.95" customHeight="1" x14ac:dyDescent="0.35">
      <c r="A116" s="467">
        <v>47.89</v>
      </c>
      <c r="B116" s="467">
        <f>A116-A114</f>
        <v>4.07</v>
      </c>
      <c r="C116" s="243"/>
      <c r="D116" s="244"/>
      <c r="E116" s="476" t="s">
        <v>497</v>
      </c>
      <c r="F116" s="476"/>
      <c r="G116" s="476"/>
      <c r="H116" s="477">
        <f>_КВ2Расстояние-A116</f>
        <v>6.240000000000002</v>
      </c>
    </row>
    <row r="117" spans="1:10" ht="54.95" customHeight="1" x14ac:dyDescent="0.25">
      <c r="A117" s="468"/>
      <c r="B117" s="468"/>
      <c r="C117" s="246">
        <f>'Сектор 1 Про'!C115+1</f>
        <v>45</v>
      </c>
      <c r="D117" s="245"/>
      <c r="E117" s="469"/>
      <c r="F117" s="469"/>
      <c r="G117" s="469"/>
      <c r="H117" s="478"/>
    </row>
    <row r="118" spans="1:10" ht="54.95" customHeight="1" x14ac:dyDescent="0.35">
      <c r="A118" s="467">
        <v>49.22</v>
      </c>
      <c r="B118" s="467">
        <f>A118-A116</f>
        <v>1.3299999999999983</v>
      </c>
      <c r="C118" s="243"/>
      <c r="D118" s="244"/>
      <c r="E118" s="476"/>
      <c r="F118" s="476"/>
      <c r="G118" s="476"/>
      <c r="H118" s="477">
        <f>_КВ2Расстояние-A118</f>
        <v>4.9100000000000037</v>
      </c>
    </row>
    <row r="119" spans="1:10" ht="54.95" customHeight="1" x14ac:dyDescent="0.25">
      <c r="A119" s="468"/>
      <c r="B119" s="468"/>
      <c r="C119" s="246">
        <f>'Сектор 1 Про'!C117+1</f>
        <v>46</v>
      </c>
      <c r="D119" s="245"/>
      <c r="E119" s="469"/>
      <c r="F119" s="469"/>
      <c r="G119" s="469"/>
      <c r="H119" s="478"/>
    </row>
    <row r="120" spans="1:10" ht="54.95" hidden="1" customHeight="1" x14ac:dyDescent="0.35">
      <c r="A120" s="470">
        <v>53.2</v>
      </c>
      <c r="B120" s="470"/>
      <c r="C120" s="240"/>
      <c r="D120" s="241"/>
      <c r="E120" s="472" t="s">
        <v>375</v>
      </c>
      <c r="F120" s="472"/>
      <c r="G120" s="472"/>
      <c r="H120" s="473">
        <f>_КВ2Расстояние-A120</f>
        <v>0.92999999999999972</v>
      </c>
      <c r="J120" s="238" t="s">
        <v>374</v>
      </c>
    </row>
    <row r="121" spans="1:10" ht="54.95" hidden="1" customHeight="1" x14ac:dyDescent="0.25">
      <c r="A121" s="471"/>
      <c r="B121" s="471"/>
      <c r="C121" s="247"/>
      <c r="D121" s="242"/>
      <c r="E121" s="475"/>
      <c r="F121" s="475"/>
      <c r="G121" s="475"/>
      <c r="H121" s="474"/>
    </row>
    <row r="122" spans="1:10" ht="54.95" customHeight="1" x14ac:dyDescent="0.35">
      <c r="A122" s="467">
        <v>54.13</v>
      </c>
      <c r="B122" s="467">
        <f>A122-A118</f>
        <v>4.9100000000000037</v>
      </c>
      <c r="C122" s="243"/>
      <c r="D122" s="244"/>
      <c r="E122" s="512" t="str">
        <f>_КВ2</f>
        <v>КВ-2 На обочине</v>
      </c>
      <c r="F122" s="512"/>
      <c r="G122" s="512"/>
      <c r="H122" s="477">
        <f>_КВ2Расстояние-A122</f>
        <v>0</v>
      </c>
      <c r="J122" s="238" t="s">
        <v>641</v>
      </c>
    </row>
    <row r="123" spans="1:10" ht="54.95" customHeight="1" x14ac:dyDescent="0.35">
      <c r="A123" s="468"/>
      <c r="B123" s="468"/>
      <c r="C123" s="246">
        <f>'Сектор 1 Про'!C119+1</f>
        <v>47</v>
      </c>
      <c r="D123" s="245"/>
      <c r="E123" s="511"/>
      <c r="F123" s="511"/>
      <c r="G123" s="511"/>
      <c r="H123" s="478"/>
    </row>
    <row r="124" spans="1:10" ht="54.95" customHeight="1" x14ac:dyDescent="0.35">
      <c r="A124" s="459"/>
      <c r="B124" s="461"/>
      <c r="C124" s="321"/>
      <c r="D124" s="322"/>
      <c r="E124" s="463"/>
      <c r="F124" s="463"/>
      <c r="G124" s="463"/>
      <c r="H124" s="464"/>
    </row>
    <row r="125" spans="1:10" ht="54.95" customHeight="1" x14ac:dyDescent="0.25">
      <c r="A125" s="460"/>
      <c r="B125" s="462"/>
      <c r="C125" s="323"/>
      <c r="D125" s="324"/>
      <c r="E125" s="466"/>
      <c r="F125" s="466"/>
      <c r="G125" s="466"/>
      <c r="H125" s="465"/>
    </row>
    <row r="126" spans="1:10" ht="54.95" customHeight="1" x14ac:dyDescent="0.35">
      <c r="A126" s="451"/>
      <c r="B126" s="453"/>
      <c r="C126" s="331"/>
      <c r="D126" s="324"/>
      <c r="E126" s="455"/>
      <c r="F126" s="455"/>
      <c r="G126" s="455"/>
      <c r="H126" s="456"/>
    </row>
    <row r="127" spans="1:10" ht="54.95" customHeight="1" x14ac:dyDescent="0.25">
      <c r="A127" s="460"/>
      <c r="B127" s="462"/>
      <c r="C127" s="323"/>
      <c r="D127" s="324"/>
      <c r="E127" s="466"/>
      <c r="F127" s="466"/>
      <c r="G127" s="466"/>
      <c r="H127" s="465"/>
    </row>
    <row r="128" spans="1:10" ht="54.95" customHeight="1" x14ac:dyDescent="0.35">
      <c r="A128" s="451"/>
      <c r="B128" s="453"/>
      <c r="C128" s="331"/>
      <c r="D128" s="324"/>
      <c r="E128" s="455"/>
      <c r="F128" s="455"/>
      <c r="G128" s="455"/>
      <c r="H128" s="456"/>
    </row>
    <row r="129" spans="1:8" ht="54.95" customHeight="1" x14ac:dyDescent="0.25">
      <c r="A129" s="452"/>
      <c r="B129" s="454"/>
      <c r="C129" s="350"/>
      <c r="D129" s="351"/>
      <c r="E129" s="458"/>
      <c r="F129" s="458"/>
      <c r="G129" s="458"/>
      <c r="H129" s="457"/>
    </row>
  </sheetData>
  <mergeCells count="312">
    <mergeCell ref="A108:A109"/>
    <mergeCell ref="B108:B109"/>
    <mergeCell ref="E108:G108"/>
    <mergeCell ref="H114:H115"/>
    <mergeCell ref="E114:G114"/>
    <mergeCell ref="E115:G115"/>
    <mergeCell ref="A116:A117"/>
    <mergeCell ref="B116:B117"/>
    <mergeCell ref="E116:G116"/>
    <mergeCell ref="H116:H117"/>
    <mergeCell ref="E117:G117"/>
    <mergeCell ref="H112:H113"/>
    <mergeCell ref="E113:G113"/>
    <mergeCell ref="A110:A111"/>
    <mergeCell ref="B110:B111"/>
    <mergeCell ref="E110:G110"/>
    <mergeCell ref="H110:H111"/>
    <mergeCell ref="E111:G111"/>
    <mergeCell ref="A114:A115"/>
    <mergeCell ref="B114:B115"/>
    <mergeCell ref="A102:A103"/>
    <mergeCell ref="B102:B103"/>
    <mergeCell ref="E102:G102"/>
    <mergeCell ref="H102:H103"/>
    <mergeCell ref="E103:G103"/>
    <mergeCell ref="H106:H107"/>
    <mergeCell ref="E107:G107"/>
    <mergeCell ref="H104:H105"/>
    <mergeCell ref="E105:G105"/>
    <mergeCell ref="A106:A107"/>
    <mergeCell ref="B106:B107"/>
    <mergeCell ref="A104:A105"/>
    <mergeCell ref="B104:B105"/>
    <mergeCell ref="E104:G104"/>
    <mergeCell ref="B100:B101"/>
    <mergeCell ref="E100:G100"/>
    <mergeCell ref="A90:A91"/>
    <mergeCell ref="B90:B91"/>
    <mergeCell ref="E90:G90"/>
    <mergeCell ref="A66:A67"/>
    <mergeCell ref="B66:B67"/>
    <mergeCell ref="E66:G66"/>
    <mergeCell ref="E67:G67"/>
    <mergeCell ref="A68:A69"/>
    <mergeCell ref="B68:B69"/>
    <mergeCell ref="A72:A73"/>
    <mergeCell ref="B72:B73"/>
    <mergeCell ref="E72:G72"/>
    <mergeCell ref="E70:G70"/>
    <mergeCell ref="E68:G68"/>
    <mergeCell ref="E76:G76"/>
    <mergeCell ref="E77:G77"/>
    <mergeCell ref="E84:G84"/>
    <mergeCell ref="E101:G101"/>
    <mergeCell ref="A122:A123"/>
    <mergeCell ref="B122:B123"/>
    <mergeCell ref="A94:A95"/>
    <mergeCell ref="B94:B95"/>
    <mergeCell ref="E94:G94"/>
    <mergeCell ref="E95:G95"/>
    <mergeCell ref="A80:A81"/>
    <mergeCell ref="B80:B81"/>
    <mergeCell ref="E80:G80"/>
    <mergeCell ref="E81:G81"/>
    <mergeCell ref="A112:A113"/>
    <mergeCell ref="B112:B113"/>
    <mergeCell ref="E112:G112"/>
    <mergeCell ref="E106:G106"/>
    <mergeCell ref="E87:G87"/>
    <mergeCell ref="A120:A121"/>
    <mergeCell ref="B84:B85"/>
    <mergeCell ref="A82:A83"/>
    <mergeCell ref="E85:G85"/>
    <mergeCell ref="A96:A97"/>
    <mergeCell ref="B86:B87"/>
    <mergeCell ref="E93:G93"/>
    <mergeCell ref="B96:B97"/>
    <mergeCell ref="A100:A101"/>
    <mergeCell ref="H122:H123"/>
    <mergeCell ref="E123:G123"/>
    <mergeCell ref="E122:G122"/>
    <mergeCell ref="H50:H51"/>
    <mergeCell ref="H62:H63"/>
    <mergeCell ref="E63:G63"/>
    <mergeCell ref="E64:G64"/>
    <mergeCell ref="H64:H65"/>
    <mergeCell ref="E65:G65"/>
    <mergeCell ref="E83:G83"/>
    <mergeCell ref="H56:H57"/>
    <mergeCell ref="E57:G57"/>
    <mergeCell ref="H68:H69"/>
    <mergeCell ref="E69:G69"/>
    <mergeCell ref="E60:G60"/>
    <mergeCell ref="H60:H61"/>
    <mergeCell ref="E61:G61"/>
    <mergeCell ref="H98:H99"/>
    <mergeCell ref="H94:H95"/>
    <mergeCell ref="H86:H87"/>
    <mergeCell ref="H100:H101"/>
    <mergeCell ref="H108:H109"/>
    <mergeCell ref="E109:G109"/>
    <mergeCell ref="B60:B61"/>
    <mergeCell ref="E54:G54"/>
    <mergeCell ref="E50:G50"/>
    <mergeCell ref="B36:B37"/>
    <mergeCell ref="E49:G49"/>
    <mergeCell ref="E51:G51"/>
    <mergeCell ref="E55:G55"/>
    <mergeCell ref="B50:B51"/>
    <mergeCell ref="B70:B71"/>
    <mergeCell ref="B54:B55"/>
    <mergeCell ref="B58:B59"/>
    <mergeCell ref="E53:G53"/>
    <mergeCell ref="E56:G56"/>
    <mergeCell ref="E48:G48"/>
    <mergeCell ref="A28:A29"/>
    <mergeCell ref="B28:B29"/>
    <mergeCell ref="A30:A31"/>
    <mergeCell ref="B30:B31"/>
    <mergeCell ref="A32:A33"/>
    <mergeCell ref="B32:B33"/>
    <mergeCell ref="E82:G82"/>
    <mergeCell ref="E98:G98"/>
    <mergeCell ref="E86:G86"/>
    <mergeCell ref="E33:G33"/>
    <mergeCell ref="E32:G32"/>
    <mergeCell ref="A34:A35"/>
    <mergeCell ref="B34:B35"/>
    <mergeCell ref="E37:G37"/>
    <mergeCell ref="A98:A99"/>
    <mergeCell ref="B98:B99"/>
    <mergeCell ref="A36:A37"/>
    <mergeCell ref="E96:G96"/>
    <mergeCell ref="A50:A51"/>
    <mergeCell ref="A60:A61"/>
    <mergeCell ref="A70:A71"/>
    <mergeCell ref="A54:A55"/>
    <mergeCell ref="A86:A87"/>
    <mergeCell ref="E99:G99"/>
    <mergeCell ref="H26:H27"/>
    <mergeCell ref="H76:H77"/>
    <mergeCell ref="H24:H25"/>
    <mergeCell ref="H28:H29"/>
    <mergeCell ref="H30:H31"/>
    <mergeCell ref="H32:H33"/>
    <mergeCell ref="H54:H55"/>
    <mergeCell ref="H84:H85"/>
    <mergeCell ref="H82:H83"/>
    <mergeCell ref="H52:H53"/>
    <mergeCell ref="H58:H59"/>
    <mergeCell ref="H66:H67"/>
    <mergeCell ref="H34:H35"/>
    <mergeCell ref="H80:H81"/>
    <mergeCell ref="A22:A23"/>
    <mergeCell ref="B22:B23"/>
    <mergeCell ref="A24:A25"/>
    <mergeCell ref="B24:B25"/>
    <mergeCell ref="A12:A13"/>
    <mergeCell ref="B12:B13"/>
    <mergeCell ref="A14:A15"/>
    <mergeCell ref="B14:B15"/>
    <mergeCell ref="H10:H11"/>
    <mergeCell ref="H12:H13"/>
    <mergeCell ref="H14:H15"/>
    <mergeCell ref="E17:G17"/>
    <mergeCell ref="A18:A19"/>
    <mergeCell ref="B18:B19"/>
    <mergeCell ref="E18:G18"/>
    <mergeCell ref="H18:H19"/>
    <mergeCell ref="E19:G19"/>
    <mergeCell ref="H20:H21"/>
    <mergeCell ref="H22:H23"/>
    <mergeCell ref="E23:G23"/>
    <mergeCell ref="E25:G25"/>
    <mergeCell ref="E24:G24"/>
    <mergeCell ref="E10:G10"/>
    <mergeCell ref="E12:G12"/>
    <mergeCell ref="A26:A27"/>
    <mergeCell ref="B26:B27"/>
    <mergeCell ref="A76:A77"/>
    <mergeCell ref="B76:B77"/>
    <mergeCell ref="E36:G36"/>
    <mergeCell ref="E35:G35"/>
    <mergeCell ref="E46:G46"/>
    <mergeCell ref="E47:G47"/>
    <mergeCell ref="E38:G38"/>
    <mergeCell ref="A40:A41"/>
    <mergeCell ref="B40:B41"/>
    <mergeCell ref="A42:A43"/>
    <mergeCell ref="B42:B43"/>
    <mergeCell ref="E42:G42"/>
    <mergeCell ref="E43:G43"/>
    <mergeCell ref="E34:G34"/>
    <mergeCell ref="E29:G29"/>
    <mergeCell ref="E31:G31"/>
    <mergeCell ref="E28:G28"/>
    <mergeCell ref="E30:G30"/>
    <mergeCell ref="E26:G26"/>
    <mergeCell ref="E27:G27"/>
    <mergeCell ref="B62:B63"/>
    <mergeCell ref="E62:G62"/>
    <mergeCell ref="A1:B2"/>
    <mergeCell ref="F1:F2"/>
    <mergeCell ref="G1:G2"/>
    <mergeCell ref="H1:H2"/>
    <mergeCell ref="A3:B4"/>
    <mergeCell ref="F3:F4"/>
    <mergeCell ref="G3:G4"/>
    <mergeCell ref="H3:H4"/>
    <mergeCell ref="E21:G21"/>
    <mergeCell ref="A8:B8"/>
    <mergeCell ref="C8:D9"/>
    <mergeCell ref="E8:G9"/>
    <mergeCell ref="H8:H9"/>
    <mergeCell ref="E11:G11"/>
    <mergeCell ref="E13:G13"/>
    <mergeCell ref="E15:G15"/>
    <mergeCell ref="A10:A11"/>
    <mergeCell ref="B10:B11"/>
    <mergeCell ref="A20:A21"/>
    <mergeCell ref="B20:B21"/>
    <mergeCell ref="A16:A17"/>
    <mergeCell ref="B16:B17"/>
    <mergeCell ref="E16:G16"/>
    <mergeCell ref="H16:H17"/>
    <mergeCell ref="E14:G14"/>
    <mergeCell ref="H70:H71"/>
    <mergeCell ref="E71:G71"/>
    <mergeCell ref="A78:A79"/>
    <mergeCell ref="B78:B79"/>
    <mergeCell ref="E78:G78"/>
    <mergeCell ref="H78:H79"/>
    <mergeCell ref="E79:G79"/>
    <mergeCell ref="H72:H73"/>
    <mergeCell ref="E73:G73"/>
    <mergeCell ref="A74:A75"/>
    <mergeCell ref="B74:B75"/>
    <mergeCell ref="E74:G74"/>
    <mergeCell ref="H74:H75"/>
    <mergeCell ref="E75:G75"/>
    <mergeCell ref="E20:G20"/>
    <mergeCell ref="E22:G22"/>
    <mergeCell ref="B64:B65"/>
    <mergeCell ref="A62:A63"/>
    <mergeCell ref="A48:A49"/>
    <mergeCell ref="A52:A53"/>
    <mergeCell ref="B52:B53"/>
    <mergeCell ref="E52:G52"/>
    <mergeCell ref="B48:B49"/>
    <mergeCell ref="A58:A59"/>
    <mergeCell ref="E58:G58"/>
    <mergeCell ref="E59:G59"/>
    <mergeCell ref="H90:H91"/>
    <mergeCell ref="H36:H37"/>
    <mergeCell ref="H44:H45"/>
    <mergeCell ref="E44:G44"/>
    <mergeCell ref="E45:G45"/>
    <mergeCell ref="A38:A39"/>
    <mergeCell ref="B38:B39"/>
    <mergeCell ref="H40:H41"/>
    <mergeCell ref="E40:G40"/>
    <mergeCell ref="E39:G39"/>
    <mergeCell ref="E41:G41"/>
    <mergeCell ref="H42:H43"/>
    <mergeCell ref="H46:H47"/>
    <mergeCell ref="H48:H49"/>
    <mergeCell ref="H38:H39"/>
    <mergeCell ref="A46:A47"/>
    <mergeCell ref="B46:B47"/>
    <mergeCell ref="A44:A45"/>
    <mergeCell ref="B44:B45"/>
    <mergeCell ref="A56:A57"/>
    <mergeCell ref="B56:B57"/>
    <mergeCell ref="A64:A65"/>
    <mergeCell ref="E91:G91"/>
    <mergeCell ref="B120:B121"/>
    <mergeCell ref="E120:G120"/>
    <mergeCell ref="H120:H121"/>
    <mergeCell ref="E121:G121"/>
    <mergeCell ref="A84:A85"/>
    <mergeCell ref="A118:A119"/>
    <mergeCell ref="B118:B119"/>
    <mergeCell ref="E118:G118"/>
    <mergeCell ref="H118:H119"/>
    <mergeCell ref="E119:G119"/>
    <mergeCell ref="A88:A89"/>
    <mergeCell ref="B88:B89"/>
    <mergeCell ref="E88:G88"/>
    <mergeCell ref="H88:H89"/>
    <mergeCell ref="E89:G89"/>
    <mergeCell ref="A92:A93"/>
    <mergeCell ref="B92:B93"/>
    <mergeCell ref="E92:G92"/>
    <mergeCell ref="H92:H93"/>
    <mergeCell ref="H96:H97"/>
    <mergeCell ref="E97:G97"/>
    <mergeCell ref="B82:B83"/>
    <mergeCell ref="A128:A129"/>
    <mergeCell ref="B128:B129"/>
    <mergeCell ref="E128:G128"/>
    <mergeCell ref="H128:H129"/>
    <mergeCell ref="E129:G129"/>
    <mergeCell ref="A124:A125"/>
    <mergeCell ref="B124:B125"/>
    <mergeCell ref="E124:G124"/>
    <mergeCell ref="H124:H125"/>
    <mergeCell ref="E125:G125"/>
    <mergeCell ref="A126:A127"/>
    <mergeCell ref="B126:B127"/>
    <mergeCell ref="E126:G126"/>
    <mergeCell ref="H126:H127"/>
    <mergeCell ref="E127:G127"/>
  </mergeCells>
  <conditionalFormatting sqref="J44:J51 J1:J9 J12:J15 J20:J25 J28:J41 J122:J123 J130:J1048576">
    <cfRule type="containsText" dxfId="138" priority="71" operator="containsText" text="скр">
      <formula>NOT(ISERROR(SEARCH("скр",J1)))</formula>
    </cfRule>
  </conditionalFormatting>
  <conditionalFormatting sqref="J56:J57">
    <cfRule type="containsText" dxfId="137" priority="65" operator="containsText" text="скр">
      <formula>NOT(ISERROR(SEARCH("скр",J56)))</formula>
    </cfRule>
  </conditionalFormatting>
  <conditionalFormatting sqref="J62:J63">
    <cfRule type="containsText" dxfId="136" priority="64" operator="containsText" text="скр">
      <formula>NOT(ISERROR(SEARCH("скр",J62)))</formula>
    </cfRule>
  </conditionalFormatting>
  <conditionalFormatting sqref="J64:J65">
    <cfRule type="containsText" dxfId="135" priority="63" operator="containsText" text="скр">
      <formula>NOT(ISERROR(SEARCH("скр",J64)))</formula>
    </cfRule>
  </conditionalFormatting>
  <conditionalFormatting sqref="J70:J71">
    <cfRule type="containsText" dxfId="134" priority="62" operator="containsText" text="скр">
      <formula>NOT(ISERROR(SEARCH("скр",J70)))</formula>
    </cfRule>
  </conditionalFormatting>
  <conditionalFormatting sqref="J72:J73">
    <cfRule type="containsText" dxfId="133" priority="61" operator="containsText" text="скр">
      <formula>NOT(ISERROR(SEARCH("скр",J72)))</formula>
    </cfRule>
  </conditionalFormatting>
  <conditionalFormatting sqref="J74:J75">
    <cfRule type="containsText" dxfId="132" priority="60" operator="containsText" text="скр">
      <formula>NOT(ISERROR(SEARCH("скр",J74)))</formula>
    </cfRule>
  </conditionalFormatting>
  <conditionalFormatting sqref="J76:J77">
    <cfRule type="containsText" dxfId="131" priority="59" operator="containsText" text="скр">
      <formula>NOT(ISERROR(SEARCH("скр",J76)))</formula>
    </cfRule>
  </conditionalFormatting>
  <conditionalFormatting sqref="J42:J43">
    <cfRule type="containsText" dxfId="130" priority="58" operator="containsText" text="скр">
      <formula>NOT(ISERROR(SEARCH("скр",J42)))</formula>
    </cfRule>
  </conditionalFormatting>
  <conditionalFormatting sqref="J80:J81">
    <cfRule type="containsText" dxfId="129" priority="49" operator="containsText" text="скр">
      <formula>NOT(ISERROR(SEARCH("скр",J80)))</formula>
    </cfRule>
  </conditionalFormatting>
  <conditionalFormatting sqref="J82:J83">
    <cfRule type="containsText" dxfId="128" priority="48" operator="containsText" text="скр">
      <formula>NOT(ISERROR(SEARCH("скр",J82)))</formula>
    </cfRule>
  </conditionalFormatting>
  <conditionalFormatting sqref="J84:J85">
    <cfRule type="containsText" dxfId="127" priority="47" operator="containsText" text="скр">
      <formula>NOT(ISERROR(SEARCH("скр",J84)))</formula>
    </cfRule>
  </conditionalFormatting>
  <conditionalFormatting sqref="J86:J87">
    <cfRule type="containsText" dxfId="126" priority="44" operator="containsText" text="скр">
      <formula>NOT(ISERROR(SEARCH("скр",J86)))</formula>
    </cfRule>
  </conditionalFormatting>
  <conditionalFormatting sqref="J96:J97">
    <cfRule type="containsText" dxfId="125" priority="43" operator="containsText" text="скр">
      <formula>NOT(ISERROR(SEARCH("скр",J96)))</formula>
    </cfRule>
  </conditionalFormatting>
  <conditionalFormatting sqref="J98:J99">
    <cfRule type="containsText" dxfId="124" priority="42" operator="containsText" text="скр">
      <formula>NOT(ISERROR(SEARCH("скр",J98)))</formula>
    </cfRule>
  </conditionalFormatting>
  <conditionalFormatting sqref="J114:J115">
    <cfRule type="containsText" dxfId="123" priority="41" operator="containsText" text="скр">
      <formula>NOT(ISERROR(SEARCH("скр",J114)))</formula>
    </cfRule>
  </conditionalFormatting>
  <conditionalFormatting sqref="J60:J61">
    <cfRule type="containsText" dxfId="122" priority="39" operator="containsText" text="скр">
      <formula>NOT(ISERROR(SEARCH("скр",J60)))</formula>
    </cfRule>
  </conditionalFormatting>
  <conditionalFormatting sqref="J79">
    <cfRule type="containsText" dxfId="121" priority="38" operator="containsText" text="скр">
      <formula>NOT(ISERROR(SEARCH("скр",J79)))</formula>
    </cfRule>
  </conditionalFormatting>
  <conditionalFormatting sqref="J78">
    <cfRule type="containsText" dxfId="120" priority="37" operator="containsText" text="скр">
      <formula>NOT(ISERROR(SEARCH("скр",J78)))</formula>
    </cfRule>
  </conditionalFormatting>
  <conditionalFormatting sqref="J119">
    <cfRule type="containsText" dxfId="119" priority="36" operator="containsText" text="скр">
      <formula>NOT(ISERROR(SEARCH("скр",J119)))</formula>
    </cfRule>
  </conditionalFormatting>
  <conditionalFormatting sqref="J118">
    <cfRule type="containsText" dxfId="118" priority="35" operator="containsText" text="скр">
      <formula>NOT(ISERROR(SEARCH("скр",J118)))</formula>
    </cfRule>
  </conditionalFormatting>
  <conditionalFormatting sqref="J120:J121">
    <cfRule type="containsText" dxfId="117" priority="32" operator="containsText" text="скр">
      <formula>NOT(ISERROR(SEARCH("скр",J120)))</formula>
    </cfRule>
  </conditionalFormatting>
  <conditionalFormatting sqref="J10:J11">
    <cfRule type="containsText" dxfId="116" priority="30" operator="containsText" text="скр">
      <formula>NOT(ISERROR(SEARCH("скр",J10)))</formula>
    </cfRule>
  </conditionalFormatting>
  <conditionalFormatting sqref="J52:J53">
    <cfRule type="containsText" dxfId="115" priority="29" operator="containsText" text="скр">
      <formula>NOT(ISERROR(SEARCH("скр",J52)))</formula>
    </cfRule>
  </conditionalFormatting>
  <conditionalFormatting sqref="J54:J55">
    <cfRule type="containsText" dxfId="114" priority="28" operator="containsText" text="скр">
      <formula>NOT(ISERROR(SEARCH("скр",J54)))</formula>
    </cfRule>
  </conditionalFormatting>
  <conditionalFormatting sqref="J26:J27">
    <cfRule type="containsText" dxfId="113" priority="26" operator="containsText" text="скр">
      <formula>NOT(ISERROR(SEARCH("скр",J26)))</formula>
    </cfRule>
  </conditionalFormatting>
  <conditionalFormatting sqref="J16:J17">
    <cfRule type="containsText" dxfId="112" priority="24" operator="containsText" text="скр">
      <formula>NOT(ISERROR(SEARCH("скр",J16)))</formula>
    </cfRule>
  </conditionalFormatting>
  <conditionalFormatting sqref="J18:J19">
    <cfRule type="containsText" dxfId="111" priority="22" operator="containsText" text="скр">
      <formula>NOT(ISERROR(SEARCH("скр",J18)))</formula>
    </cfRule>
  </conditionalFormatting>
  <conditionalFormatting sqref="J66:J67">
    <cfRule type="containsText" dxfId="110" priority="21" operator="containsText" text="скр">
      <formula>NOT(ISERROR(SEARCH("скр",J66)))</formula>
    </cfRule>
  </conditionalFormatting>
  <conditionalFormatting sqref="J68:J69">
    <cfRule type="containsText" dxfId="109" priority="20" operator="containsText" text="скр">
      <formula>NOT(ISERROR(SEARCH("скр",J68)))</formula>
    </cfRule>
  </conditionalFormatting>
  <conditionalFormatting sqref="J94:J95">
    <cfRule type="containsText" dxfId="108" priority="18" operator="containsText" text="скр">
      <formula>NOT(ISERROR(SEARCH("скр",J94)))</formula>
    </cfRule>
  </conditionalFormatting>
  <conditionalFormatting sqref="J112:J113">
    <cfRule type="containsText" dxfId="107" priority="15" operator="containsText" text="скр">
      <formula>NOT(ISERROR(SEARCH("скр",J112)))</formula>
    </cfRule>
  </conditionalFormatting>
  <conditionalFormatting sqref="J88:J89">
    <cfRule type="containsText" dxfId="106" priority="7" operator="containsText" text="скр">
      <formula>NOT(ISERROR(SEARCH("скр",J88)))</formula>
    </cfRule>
  </conditionalFormatting>
  <conditionalFormatting sqref="J93">
    <cfRule type="containsText" dxfId="105" priority="6" operator="containsText" text="скр">
      <formula>NOT(ISERROR(SEARCH("скр",J93)))</formula>
    </cfRule>
  </conditionalFormatting>
  <conditionalFormatting sqref="J92">
    <cfRule type="containsText" dxfId="104" priority="5" operator="containsText" text="скр">
      <formula>NOT(ISERROR(SEARCH("скр",J92)))</formula>
    </cfRule>
  </conditionalFormatting>
  <conditionalFormatting sqref="J91">
    <cfRule type="containsText" dxfId="103" priority="4" operator="containsText" text="скр">
      <formula>NOT(ISERROR(SEARCH("скр",J91)))</formula>
    </cfRule>
  </conditionalFormatting>
  <conditionalFormatting sqref="J90">
    <cfRule type="containsText" dxfId="102" priority="3" operator="containsText" text="скр">
      <formula>NOT(ISERROR(SEARCH("скр",J90)))</formula>
    </cfRule>
  </conditionalFormatting>
  <conditionalFormatting sqref="J125 J127 J129">
    <cfRule type="containsText" dxfId="101" priority="2" operator="containsText" text="скр">
      <formula>NOT(ISERROR(SEARCH("скр",J125)))</formula>
    </cfRule>
  </conditionalFormatting>
  <conditionalFormatting sqref="J124 J126 J128">
    <cfRule type="containsText" dxfId="100" priority="1" operator="containsText" text="скр">
      <formula>NOT(ISERROR(SEARCH("скр",J124)))</formula>
    </cfRule>
  </conditionalFormatting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text="скр" id="{9DFB840C-A303-4B8B-8C28-41F1631DE4DD}">
            <xm:f>NOT(ISERROR(SEARCH("скр",'Сектор 2 Про'!J72)))</xm:f>
            <x14:dxf>
              <font>
                <b/>
                <i/>
              </font>
            </x14:dxf>
          </x14:cfRule>
          <xm:sqref>J58:J59</xm:sqref>
        </x14:conditionalFormatting>
        <x14:conditionalFormatting xmlns:xm="http://schemas.microsoft.com/office/excel/2006/main">
          <x14:cfRule type="containsText" priority="14" operator="containsText" text="скр" id="{59007157-5321-4E89-BC3F-8F46DAC48820}">
            <xm:f>NOT(ISERROR(SEARCH("скр",'Сектор 2 Про'!J112)))</xm:f>
            <x14:dxf>
              <font>
                <b/>
                <i/>
              </font>
            </x14:dxf>
          </x14:cfRule>
          <xm:sqref>J100:J109 J116:J117</xm:sqref>
        </x14:conditionalFormatting>
        <x14:conditionalFormatting xmlns:xm="http://schemas.microsoft.com/office/excel/2006/main">
          <x14:cfRule type="containsText" priority="12" operator="containsText" text="скр" id="{1CBB27E3-5841-46FA-944B-959EA6F867D5}">
            <xm:f>NOT(ISERROR(SEARCH("скр",'Сектор 2 Про'!J116)))</xm:f>
            <x14:dxf>
              <font>
                <b/>
                <i/>
              </font>
            </x14:dxf>
          </x14:cfRule>
          <xm:sqref>J110:J111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</sheetPr>
  <dimension ref="A1:J189"/>
  <sheetViews>
    <sheetView view="pageBreakPreview" topLeftCell="A44" zoomScale="70" zoomScaleNormal="100" zoomScaleSheetLayoutView="70" zoomScalePageLayoutView="40" workbookViewId="0">
      <selection activeCell="J123" sqref="J123"/>
    </sheetView>
  </sheetViews>
  <sheetFormatPr defaultRowHeight="15" x14ac:dyDescent="0.25"/>
  <cols>
    <col min="1" max="1" width="10.7109375" style="121" customWidth="1"/>
    <col min="2" max="2" width="10.7109375" style="122" customWidth="1"/>
    <col min="3" max="3" width="8.7109375" style="122" customWidth="1"/>
    <col min="4" max="4" width="8.7109375" style="121" customWidth="1"/>
    <col min="5" max="5" width="17.140625" style="122" customWidth="1"/>
    <col min="6" max="6" width="8.7109375" style="122" customWidth="1"/>
    <col min="7" max="7" width="9.7109375" style="122" customWidth="1"/>
    <col min="8" max="8" width="10.7109375" style="122" customWidth="1"/>
    <col min="9" max="9" width="9.140625" style="122"/>
    <col min="10" max="10" width="36.5703125" style="238" customWidth="1"/>
    <col min="11" max="11" width="8" style="122" customWidth="1"/>
    <col min="12" max="16384" width="9.140625" style="122"/>
  </cols>
  <sheetData>
    <row r="1" spans="1:10" ht="17.45" customHeight="1" x14ac:dyDescent="0.25">
      <c r="A1" s="485" t="s">
        <v>254</v>
      </c>
      <c r="B1" s="486"/>
      <c r="C1" s="120" t="str">
        <f>_КВ2</f>
        <v>КВ-2 На обочине</v>
      </c>
      <c r="D1" s="119"/>
      <c r="E1" s="119"/>
      <c r="F1" s="489" t="s">
        <v>98</v>
      </c>
      <c r="G1" s="491">
        <f>_КВ3Расстояние</f>
        <v>78.8</v>
      </c>
      <c r="H1" s="493" t="s">
        <v>260</v>
      </c>
      <c r="J1" s="237" t="s">
        <v>261</v>
      </c>
    </row>
    <row r="2" spans="1:10" ht="17.45" customHeight="1" x14ac:dyDescent="0.25">
      <c r="A2" s="487"/>
      <c r="B2" s="488"/>
      <c r="C2" s="120" t="str">
        <f>_КВ3</f>
        <v>КВ-3 Финиш</v>
      </c>
      <c r="D2" s="119"/>
      <c r="E2" s="119"/>
      <c r="F2" s="490"/>
      <c r="G2" s="492"/>
      <c r="H2" s="494"/>
    </row>
    <row r="3" spans="1:10" ht="17.45" customHeight="1" x14ac:dyDescent="0.25">
      <c r="A3" s="495" t="s">
        <v>253</v>
      </c>
      <c r="B3" s="496"/>
      <c r="C3" s="325" t="str">
        <f>getMpWoName(_ДС2)</f>
        <v>ДС-2 КСЛ</v>
      </c>
      <c r="D3" s="266"/>
      <c r="E3" s="266"/>
      <c r="F3" s="489" t="s">
        <v>7</v>
      </c>
      <c r="G3" s="499">
        <f>_КВ3Время</f>
        <v>8.3333335816860199E-2</v>
      </c>
      <c r="H3" s="501"/>
    </row>
    <row r="4" spans="1:10" ht="17.45" customHeight="1" x14ac:dyDescent="0.25">
      <c r="A4" s="497"/>
      <c r="B4" s="498"/>
      <c r="C4" s="326" t="str">
        <f>getMpWoName(_ДС3)</f>
        <v>ДС-3 РДС</v>
      </c>
      <c r="D4" s="267"/>
      <c r="E4" s="267"/>
      <c r="F4" s="490"/>
      <c r="G4" s="500"/>
      <c r="H4" s="502"/>
    </row>
    <row r="5" spans="1:10" s="239" customFormat="1" ht="0.95" customHeight="1" x14ac:dyDescent="0.25">
      <c r="A5" s="107"/>
      <c r="B5" s="107"/>
      <c r="C5" s="107"/>
      <c r="D5" s="107"/>
      <c r="E5" s="108"/>
      <c r="F5" s="110"/>
      <c r="G5" s="110"/>
      <c r="H5" s="109"/>
      <c r="J5" s="238"/>
    </row>
    <row r="6" spans="1:10" s="239" customFormat="1" ht="0.95" customHeight="1" x14ac:dyDescent="0.25">
      <c r="A6" s="111"/>
      <c r="B6" s="111"/>
      <c r="C6" s="111"/>
      <c r="D6" s="111"/>
      <c r="E6" s="112"/>
      <c r="F6" s="114"/>
      <c r="G6" s="114"/>
      <c r="H6" s="113"/>
      <c r="J6" s="238"/>
    </row>
    <row r="7" spans="1:10" s="239" customFormat="1" ht="0.95" customHeight="1" x14ac:dyDescent="0.25">
      <c r="A7" s="115"/>
      <c r="B7" s="115"/>
      <c r="C7" s="115"/>
      <c r="D7" s="115"/>
      <c r="E7" s="116"/>
      <c r="F7" s="118"/>
      <c r="G7" s="118"/>
      <c r="H7" s="117"/>
      <c r="J7" s="238"/>
    </row>
    <row r="8" spans="1:10" ht="17.45" customHeight="1" x14ac:dyDescent="0.25">
      <c r="A8" s="503" t="s">
        <v>98</v>
      </c>
      <c r="B8" s="503"/>
      <c r="C8" s="504" t="s">
        <v>3</v>
      </c>
      <c r="D8" s="504"/>
      <c r="E8" s="505" t="s">
        <v>4</v>
      </c>
      <c r="F8" s="505"/>
      <c r="G8" s="505"/>
      <c r="H8" s="505" t="s">
        <v>5</v>
      </c>
    </row>
    <row r="9" spans="1:10" ht="17.45" customHeight="1" x14ac:dyDescent="0.25">
      <c r="A9" s="327" t="s">
        <v>1</v>
      </c>
      <c r="B9" s="328" t="s">
        <v>2</v>
      </c>
      <c r="C9" s="504"/>
      <c r="D9" s="504"/>
      <c r="E9" s="505"/>
      <c r="F9" s="505"/>
      <c r="G9" s="505"/>
      <c r="H9" s="505"/>
    </row>
    <row r="10" spans="1:10" ht="54.95" customHeight="1" x14ac:dyDescent="0.35">
      <c r="A10" s="467">
        <v>0</v>
      </c>
      <c r="B10" s="467">
        <v>0</v>
      </c>
      <c r="C10" s="243"/>
      <c r="D10" s="244"/>
      <c r="E10" s="508" t="str">
        <f>_КВ2</f>
        <v>КВ-2 На обочине</v>
      </c>
      <c r="F10" s="508"/>
      <c r="G10" s="508"/>
      <c r="H10" s="477">
        <f>_КВ3Расстояние-A10</f>
        <v>78.8</v>
      </c>
      <c r="J10" s="238" t="s">
        <v>379</v>
      </c>
    </row>
    <row r="11" spans="1:10" ht="54.95" customHeight="1" x14ac:dyDescent="0.25">
      <c r="A11" s="468"/>
      <c r="B11" s="468"/>
      <c r="C11" s="246">
        <f>'Сектор 1 Про'!C123+1</f>
        <v>48</v>
      </c>
      <c r="D11" s="245"/>
      <c r="E11" s="482" t="s">
        <v>508</v>
      </c>
      <c r="F11" s="482"/>
      <c r="G11" s="482"/>
      <c r="H11" s="478"/>
    </row>
    <row r="12" spans="1:10" ht="54.95" customHeight="1" x14ac:dyDescent="0.35">
      <c r="A12" s="467">
        <v>0.25</v>
      </c>
      <c r="B12" s="467">
        <f>A12-A10</f>
        <v>0.25</v>
      </c>
      <c r="C12" s="243"/>
      <c r="D12" s="244"/>
      <c r="E12" s="476" t="s">
        <v>440</v>
      </c>
      <c r="F12" s="476"/>
      <c r="G12" s="476"/>
      <c r="H12" s="477">
        <f>_КВ3Расстояние-A12</f>
        <v>78.55</v>
      </c>
    </row>
    <row r="13" spans="1:10" ht="54.95" customHeight="1" x14ac:dyDescent="0.25">
      <c r="A13" s="468"/>
      <c r="B13" s="468"/>
      <c r="C13" s="246">
        <f>'Сектор 2 Про'!C11+1</f>
        <v>49</v>
      </c>
      <c r="D13" s="245"/>
      <c r="E13" s="469"/>
      <c r="F13" s="469"/>
      <c r="G13" s="469"/>
      <c r="H13" s="478"/>
    </row>
    <row r="14" spans="1:10" ht="54.95" customHeight="1" x14ac:dyDescent="0.25">
      <c r="A14" s="467">
        <v>0.45</v>
      </c>
      <c r="B14" s="467">
        <f>A14-A12</f>
        <v>0.2</v>
      </c>
      <c r="C14" s="243"/>
      <c r="D14" s="244"/>
      <c r="E14" s="524"/>
      <c r="F14" s="524"/>
      <c r="G14" s="524"/>
      <c r="H14" s="477">
        <f>_КВ3Расстояние-A14</f>
        <v>78.349999999999994</v>
      </c>
    </row>
    <row r="15" spans="1:10" ht="54.95" customHeight="1" x14ac:dyDescent="0.25">
      <c r="A15" s="468"/>
      <c r="B15" s="468"/>
      <c r="C15" s="246">
        <f>'Сектор 2 Про'!C13+1</f>
        <v>50</v>
      </c>
      <c r="D15" s="245"/>
      <c r="E15" s="469"/>
      <c r="F15" s="469"/>
      <c r="G15" s="469"/>
      <c r="H15" s="478"/>
    </row>
    <row r="16" spans="1:10" ht="54.95" customHeight="1" x14ac:dyDescent="0.35">
      <c r="A16" s="467">
        <v>1.87</v>
      </c>
      <c r="B16" s="467">
        <f>A16-A14</f>
        <v>1.4200000000000002</v>
      </c>
      <c r="C16" s="243"/>
      <c r="D16" s="244"/>
      <c r="E16" s="476"/>
      <c r="F16" s="476"/>
      <c r="G16" s="476"/>
      <c r="H16" s="477">
        <f>_КВ3Расстояние-A16</f>
        <v>76.929999999999993</v>
      </c>
    </row>
    <row r="17" spans="1:10" ht="54.95" customHeight="1" x14ac:dyDescent="0.25">
      <c r="A17" s="468"/>
      <c r="B17" s="468"/>
      <c r="C17" s="246">
        <f>'Сектор 2 Про'!C15+1</f>
        <v>51</v>
      </c>
      <c r="D17" s="245"/>
      <c r="E17" s="469"/>
      <c r="F17" s="469"/>
      <c r="G17" s="469"/>
      <c r="H17" s="478"/>
    </row>
    <row r="18" spans="1:10" ht="54.95" customHeight="1" x14ac:dyDescent="0.35">
      <c r="A18" s="480">
        <v>6.7</v>
      </c>
      <c r="B18" s="480">
        <f>A18-A16</f>
        <v>4.83</v>
      </c>
      <c r="C18" s="243"/>
      <c r="D18" s="244"/>
      <c r="E18" s="483"/>
      <c r="F18" s="483"/>
      <c r="G18" s="483"/>
      <c r="H18" s="479">
        <f>_КВ3Расстояние-A18</f>
        <v>72.099999999999994</v>
      </c>
      <c r="J18" s="238" t="s">
        <v>273</v>
      </c>
    </row>
    <row r="19" spans="1:10" ht="54.95" customHeight="1" x14ac:dyDescent="0.25">
      <c r="A19" s="525"/>
      <c r="B19" s="525"/>
      <c r="C19" s="246">
        <f>'Сектор 2 Про'!C17+1</f>
        <v>52</v>
      </c>
      <c r="D19" s="245"/>
      <c r="E19" s="482" t="s">
        <v>528</v>
      </c>
      <c r="F19" s="482"/>
      <c r="G19" s="482"/>
      <c r="H19" s="478"/>
    </row>
    <row r="20" spans="1:10" ht="54.95" customHeight="1" x14ac:dyDescent="0.35">
      <c r="A20" s="480">
        <v>7.79</v>
      </c>
      <c r="B20" s="467">
        <f>A20-A18</f>
        <v>1.0899999999999999</v>
      </c>
      <c r="C20" s="243"/>
      <c r="D20" s="244"/>
      <c r="E20" s="476"/>
      <c r="F20" s="476"/>
      <c r="G20" s="476"/>
      <c r="H20" s="479">
        <f>_КВ3Расстояние-A20</f>
        <v>71.009999999999991</v>
      </c>
      <c r="J20" s="238" t="s">
        <v>361</v>
      </c>
    </row>
    <row r="21" spans="1:10" ht="54.95" customHeight="1" x14ac:dyDescent="0.25">
      <c r="A21" s="468"/>
      <c r="B21" s="525"/>
      <c r="C21" s="246">
        <f>'Сектор 2 Про'!C19+1</f>
        <v>53</v>
      </c>
      <c r="D21" s="245"/>
      <c r="E21" s="469"/>
      <c r="F21" s="469"/>
      <c r="G21" s="469"/>
      <c r="H21" s="478"/>
    </row>
    <row r="22" spans="1:10" ht="54.95" customHeight="1" x14ac:dyDescent="0.25">
      <c r="A22" s="480">
        <v>9.19</v>
      </c>
      <c r="B22" s="467">
        <f>A22-A20</f>
        <v>1.3999999999999995</v>
      </c>
      <c r="C22" s="243"/>
      <c r="D22" s="244"/>
      <c r="E22" s="484"/>
      <c r="F22" s="484"/>
      <c r="G22" s="484"/>
      <c r="H22" s="479">
        <f>_КВ3Расстояние-A22</f>
        <v>69.61</v>
      </c>
      <c r="J22" s="238" t="s">
        <v>361</v>
      </c>
    </row>
    <row r="23" spans="1:10" ht="54.95" customHeight="1" x14ac:dyDescent="0.25">
      <c r="A23" s="468"/>
      <c r="B23" s="468"/>
      <c r="C23" s="246">
        <f>'Сектор 2 Про'!C21+1</f>
        <v>54</v>
      </c>
      <c r="D23" s="245"/>
      <c r="E23" s="469"/>
      <c r="F23" s="469"/>
      <c r="G23" s="469"/>
      <c r="H23" s="478"/>
    </row>
    <row r="24" spans="1:10" ht="54.95" customHeight="1" x14ac:dyDescent="0.25">
      <c r="A24" s="480">
        <v>9.69</v>
      </c>
      <c r="B24" s="467">
        <f>A24-A22</f>
        <v>0.5</v>
      </c>
      <c r="C24" s="243"/>
      <c r="D24" s="244"/>
      <c r="E24" s="484"/>
      <c r="F24" s="484"/>
      <c r="G24" s="484"/>
      <c r="H24" s="479">
        <f>_КВ3Расстояние-A24</f>
        <v>69.11</v>
      </c>
      <c r="J24" s="238" t="s">
        <v>361</v>
      </c>
    </row>
    <row r="25" spans="1:10" ht="54.95" customHeight="1" x14ac:dyDescent="0.25">
      <c r="A25" s="468"/>
      <c r="B25" s="468"/>
      <c r="C25" s="246">
        <f>'Сектор 2 Про'!C23+1</f>
        <v>55</v>
      </c>
      <c r="D25" s="245"/>
      <c r="E25" s="469"/>
      <c r="F25" s="469"/>
      <c r="G25" s="469"/>
      <c r="H25" s="478"/>
    </row>
    <row r="26" spans="1:10" ht="54.95" customHeight="1" x14ac:dyDescent="0.35">
      <c r="A26" s="480">
        <v>9.9499999999999993</v>
      </c>
      <c r="B26" s="467">
        <f>A26-A24</f>
        <v>0.25999999999999979</v>
      </c>
      <c r="C26" s="243"/>
      <c r="D26" s="244"/>
      <c r="E26" s="476" t="s">
        <v>407</v>
      </c>
      <c r="F26" s="476"/>
      <c r="G26" s="476"/>
      <c r="H26" s="479">
        <f>_КВ3Расстояние-A26</f>
        <v>68.849999999999994</v>
      </c>
      <c r="J26" s="238" t="s">
        <v>361</v>
      </c>
    </row>
    <row r="27" spans="1:10" ht="54.95" customHeight="1" x14ac:dyDescent="0.25">
      <c r="A27" s="468"/>
      <c r="B27" s="468"/>
      <c r="C27" s="246">
        <f>'Сектор 2 Про'!C25+1</f>
        <v>56</v>
      </c>
      <c r="D27" s="245"/>
      <c r="E27" s="469"/>
      <c r="F27" s="469"/>
      <c r="G27" s="469"/>
      <c r="H27" s="478"/>
    </row>
    <row r="28" spans="1:10" ht="54.95" customHeight="1" x14ac:dyDescent="0.35">
      <c r="A28" s="480">
        <v>10.32</v>
      </c>
      <c r="B28" s="467">
        <f>A28-A26</f>
        <v>0.37000000000000099</v>
      </c>
      <c r="C28" s="243"/>
      <c r="D28" s="244"/>
      <c r="E28" s="476" t="str">
        <f>"старт"&amp;CHAR(10)&amp;_ДС2</f>
        <v>старт
ДС-2 КСЛ Дави!</v>
      </c>
      <c r="F28" s="476"/>
      <c r="G28" s="476"/>
      <c r="H28" s="479">
        <f>_КВ3Расстояние-A28</f>
        <v>68.47999999999999</v>
      </c>
      <c r="J28" s="238" t="s">
        <v>529</v>
      </c>
    </row>
    <row r="29" spans="1:10" ht="54.95" customHeight="1" x14ac:dyDescent="0.25">
      <c r="A29" s="468"/>
      <c r="B29" s="468"/>
      <c r="C29" s="246">
        <f>'Сектор 2 Про'!C27+1</f>
        <v>57</v>
      </c>
      <c r="D29" s="245"/>
      <c r="E29" s="469"/>
      <c r="F29" s="469"/>
      <c r="G29" s="469"/>
      <c r="H29" s="478"/>
    </row>
    <row r="30" spans="1:10" ht="54.95" customHeight="1" x14ac:dyDescent="0.35">
      <c r="A30" s="480">
        <v>10.4</v>
      </c>
      <c r="B30" s="467">
        <f>A30-A28</f>
        <v>8.0000000000000071E-2</v>
      </c>
      <c r="C30" s="243"/>
      <c r="D30" s="244"/>
      <c r="E30" s="483" t="str">
        <f>"финиш"&amp;CHAR(10)&amp;_ДС2</f>
        <v>финиш
ДС-2 КСЛ Дави!</v>
      </c>
      <c r="F30" s="483"/>
      <c r="G30" s="483"/>
      <c r="H30" s="479">
        <f>_КВ3Расстояние-A30</f>
        <v>68.399999999999991</v>
      </c>
      <c r="J30" s="238" t="s">
        <v>361</v>
      </c>
    </row>
    <row r="31" spans="1:10" ht="54.95" customHeight="1" x14ac:dyDescent="0.25">
      <c r="A31" s="468"/>
      <c r="B31" s="468"/>
      <c r="C31" s="246">
        <f>'Сектор 2 Про'!C29+1</f>
        <v>58</v>
      </c>
      <c r="D31" s="245"/>
      <c r="E31" s="482" t="s">
        <v>465</v>
      </c>
      <c r="F31" s="482"/>
      <c r="G31" s="482"/>
      <c r="H31" s="478"/>
    </row>
    <row r="32" spans="1:10" ht="54.95" customHeight="1" x14ac:dyDescent="0.35">
      <c r="A32" s="480">
        <v>10.41</v>
      </c>
      <c r="B32" s="467">
        <f>A32-A30</f>
        <v>9.9999999999997868E-3</v>
      </c>
      <c r="C32" s="243"/>
      <c r="D32" s="244"/>
      <c r="E32" s="476"/>
      <c r="F32" s="476"/>
      <c r="G32" s="476"/>
      <c r="H32" s="479">
        <f>_КВ3Расстояние-A32</f>
        <v>68.39</v>
      </c>
      <c r="J32" s="238" t="s">
        <v>361</v>
      </c>
    </row>
    <row r="33" spans="1:10" ht="54.95" customHeight="1" x14ac:dyDescent="0.25">
      <c r="A33" s="468"/>
      <c r="B33" s="468"/>
      <c r="C33" s="246">
        <f>'Сектор 2 Про'!C31+1</f>
        <v>59</v>
      </c>
      <c r="D33" s="245"/>
      <c r="E33" s="469"/>
      <c r="F33" s="469"/>
      <c r="G33" s="469"/>
      <c r="H33" s="478"/>
    </row>
    <row r="34" spans="1:10" ht="54.95" customHeight="1" x14ac:dyDescent="0.35">
      <c r="A34" s="467">
        <v>10.85</v>
      </c>
      <c r="B34" s="467">
        <f>A34-A32</f>
        <v>0.4399999999999995</v>
      </c>
      <c r="C34" s="243"/>
      <c r="D34" s="244"/>
      <c r="E34" s="476" t="s">
        <v>407</v>
      </c>
      <c r="F34" s="476"/>
      <c r="G34" s="476"/>
      <c r="H34" s="477">
        <f>_КВ3Расстояние-A34</f>
        <v>67.95</v>
      </c>
    </row>
    <row r="35" spans="1:10" ht="54.95" customHeight="1" x14ac:dyDescent="0.25">
      <c r="A35" s="468"/>
      <c r="B35" s="468"/>
      <c r="C35" s="246">
        <f>'Сектор 2 Про'!C33+1</f>
        <v>60</v>
      </c>
      <c r="D35" s="245"/>
      <c r="E35" s="469"/>
      <c r="F35" s="469"/>
      <c r="G35" s="469"/>
      <c r="H35" s="478"/>
    </row>
    <row r="36" spans="1:10" ht="54.95" customHeight="1" x14ac:dyDescent="0.35">
      <c r="A36" s="467">
        <v>11.1</v>
      </c>
      <c r="B36" s="467">
        <f>A36-A34</f>
        <v>0.25</v>
      </c>
      <c r="C36" s="243"/>
      <c r="D36" s="244"/>
      <c r="E36" s="476"/>
      <c r="F36" s="476"/>
      <c r="G36" s="476"/>
      <c r="H36" s="477">
        <f>_КВ3Расстояние-A36</f>
        <v>67.7</v>
      </c>
    </row>
    <row r="37" spans="1:10" ht="54.95" customHeight="1" x14ac:dyDescent="0.25">
      <c r="A37" s="468"/>
      <c r="B37" s="468"/>
      <c r="C37" s="246">
        <f>'Сектор 2 Про'!C35+1</f>
        <v>61</v>
      </c>
      <c r="D37" s="245"/>
      <c r="E37" s="469"/>
      <c r="F37" s="469"/>
      <c r="G37" s="469"/>
      <c r="H37" s="478"/>
    </row>
    <row r="38" spans="1:10" ht="54.95" customHeight="1" x14ac:dyDescent="0.35">
      <c r="A38" s="467">
        <v>13.73</v>
      </c>
      <c r="B38" s="467">
        <f>A38-A36</f>
        <v>2.6300000000000008</v>
      </c>
      <c r="C38" s="243"/>
      <c r="D38" s="244"/>
      <c r="E38" s="476"/>
      <c r="F38" s="476"/>
      <c r="G38" s="476"/>
      <c r="H38" s="477">
        <f>_КВ3Расстояние-A38</f>
        <v>65.069999999999993</v>
      </c>
    </row>
    <row r="39" spans="1:10" ht="54.95" customHeight="1" x14ac:dyDescent="0.25">
      <c r="A39" s="468"/>
      <c r="B39" s="468"/>
      <c r="C39" s="246">
        <f>'Сектор 2 Про'!C37+1</f>
        <v>62</v>
      </c>
      <c r="D39" s="245"/>
      <c r="E39" s="469"/>
      <c r="F39" s="469"/>
      <c r="G39" s="469"/>
      <c r="H39" s="478"/>
    </row>
    <row r="40" spans="1:10" ht="54.95" customHeight="1" x14ac:dyDescent="0.35">
      <c r="A40" s="467">
        <v>15.14</v>
      </c>
      <c r="B40" s="467">
        <f>A40-A38</f>
        <v>1.4100000000000001</v>
      </c>
      <c r="C40" s="243"/>
      <c r="D40" s="244"/>
      <c r="E40" s="483" t="s">
        <v>471</v>
      </c>
      <c r="F40" s="483"/>
      <c r="G40" s="483"/>
      <c r="H40" s="477">
        <f>_КВ3Расстояние-A40</f>
        <v>63.66</v>
      </c>
    </row>
    <row r="41" spans="1:10" ht="54.95" customHeight="1" x14ac:dyDescent="0.25">
      <c r="A41" s="468"/>
      <c r="B41" s="468"/>
      <c r="C41" s="246">
        <f>'Сектор 2 Про'!C39+1</f>
        <v>63</v>
      </c>
      <c r="D41" s="245"/>
      <c r="E41" s="482" t="s">
        <v>472</v>
      </c>
      <c r="F41" s="482"/>
      <c r="G41" s="482"/>
      <c r="H41" s="478"/>
    </row>
    <row r="42" spans="1:10" ht="54.95" customHeight="1" x14ac:dyDescent="0.3">
      <c r="A42" s="467">
        <v>15.17</v>
      </c>
      <c r="B42" s="467">
        <f>A42-A40</f>
        <v>2.9999999999999361E-2</v>
      </c>
      <c r="C42" s="243"/>
      <c r="D42" s="244"/>
      <c r="E42" s="526" t="str">
        <f>"старт"&amp;CHAR(10)&amp;_ДС3</f>
        <v>старт
ДС-3 РДС Загородный</v>
      </c>
      <c r="F42" s="526"/>
      <c r="G42" s="526"/>
      <c r="H42" s="477">
        <f>_КВ3Расстояние-A42</f>
        <v>63.629999999999995</v>
      </c>
      <c r="J42" s="238" t="s">
        <v>466</v>
      </c>
    </row>
    <row r="43" spans="1:10" ht="54.95" customHeight="1" x14ac:dyDescent="0.25">
      <c r="A43" s="468"/>
      <c r="B43" s="468"/>
      <c r="C43" s="246">
        <f>'Сектор 2 Про'!C41+1</f>
        <v>64</v>
      </c>
      <c r="D43" s="245"/>
      <c r="E43" s="482" t="s">
        <v>156</v>
      </c>
      <c r="F43" s="482"/>
      <c r="G43" s="482"/>
      <c r="H43" s="478"/>
    </row>
    <row r="44" spans="1:10" ht="54.95" customHeight="1" x14ac:dyDescent="0.35">
      <c r="A44" s="467">
        <v>15.86</v>
      </c>
      <c r="B44" s="467">
        <f>A44-A42</f>
        <v>0.6899999999999995</v>
      </c>
      <c r="C44" s="243"/>
      <c r="D44" s="244"/>
      <c r="E44" s="509"/>
      <c r="F44" s="509"/>
      <c r="G44" s="509"/>
      <c r="H44" s="477">
        <f>_КВ3Расстояние-A44</f>
        <v>62.94</v>
      </c>
      <c r="J44" s="238" t="s">
        <v>474</v>
      </c>
    </row>
    <row r="45" spans="1:10" ht="54.95" customHeight="1" x14ac:dyDescent="0.25">
      <c r="A45" s="468"/>
      <c r="B45" s="468"/>
      <c r="C45" s="246">
        <f>'Сектор 2 Про'!C43+1</f>
        <v>65</v>
      </c>
      <c r="D45" s="245"/>
      <c r="E45" s="520" t="s">
        <v>405</v>
      </c>
      <c r="F45" s="520"/>
      <c r="G45" s="520"/>
      <c r="H45" s="478"/>
    </row>
    <row r="46" spans="1:10" ht="54.95" customHeight="1" x14ac:dyDescent="0.35">
      <c r="A46" s="467">
        <v>16.41</v>
      </c>
      <c r="B46" s="467">
        <f>A46-A44</f>
        <v>0.55000000000000071</v>
      </c>
      <c r="C46" s="243"/>
      <c r="D46" s="244"/>
      <c r="E46" s="512" t="s">
        <v>484</v>
      </c>
      <c r="F46" s="512"/>
      <c r="G46" s="512"/>
      <c r="H46" s="477">
        <f>_КВ3Расстояние-A46</f>
        <v>62.39</v>
      </c>
    </row>
    <row r="47" spans="1:10" ht="54.95" customHeight="1" x14ac:dyDescent="0.25">
      <c r="A47" s="468"/>
      <c r="B47" s="468"/>
      <c r="C47" s="246">
        <f>'Сектор 2 Про'!C45+1</f>
        <v>66</v>
      </c>
      <c r="D47" s="245"/>
      <c r="E47" s="469"/>
      <c r="F47" s="469"/>
      <c r="G47" s="469"/>
      <c r="H47" s="478"/>
    </row>
    <row r="48" spans="1:10" ht="54.95" hidden="1" customHeight="1" x14ac:dyDescent="0.35">
      <c r="A48" s="516">
        <v>16.53</v>
      </c>
      <c r="B48" s="516"/>
      <c r="C48" s="240"/>
      <c r="D48" s="241"/>
      <c r="E48" s="472"/>
      <c r="F48" s="472"/>
      <c r="G48" s="472"/>
      <c r="H48" s="518"/>
      <c r="J48" s="238" t="s">
        <v>639</v>
      </c>
    </row>
    <row r="49" spans="1:10" ht="54.95" hidden="1" customHeight="1" x14ac:dyDescent="0.25">
      <c r="A49" s="517"/>
      <c r="B49" s="517"/>
      <c r="C49" s="247"/>
      <c r="D49" s="242"/>
      <c r="E49" s="475"/>
      <c r="F49" s="475"/>
      <c r="G49" s="475"/>
      <c r="H49" s="519"/>
    </row>
    <row r="50" spans="1:10" ht="54.95" hidden="1" customHeight="1" x14ac:dyDescent="0.35">
      <c r="A50" s="516">
        <v>19.62</v>
      </c>
      <c r="B50" s="516"/>
      <c r="C50" s="240"/>
      <c r="D50" s="241"/>
      <c r="E50" s="472"/>
      <c r="F50" s="472"/>
      <c r="G50" s="472"/>
      <c r="H50" s="518"/>
      <c r="J50" s="238" t="s">
        <v>412</v>
      </c>
    </row>
    <row r="51" spans="1:10" ht="54.95" hidden="1" customHeight="1" x14ac:dyDescent="0.25">
      <c r="A51" s="517"/>
      <c r="B51" s="517"/>
      <c r="C51" s="247"/>
      <c r="D51" s="242"/>
      <c r="E51" s="475"/>
      <c r="F51" s="475"/>
      <c r="G51" s="475"/>
      <c r="H51" s="519"/>
    </row>
    <row r="52" spans="1:10" ht="54.95" customHeight="1" x14ac:dyDescent="0.35">
      <c r="A52" s="459"/>
      <c r="B52" s="461"/>
      <c r="C52" s="321"/>
      <c r="D52" s="322"/>
      <c r="E52" s="463"/>
      <c r="F52" s="463"/>
      <c r="G52" s="463"/>
      <c r="H52" s="464"/>
      <c r="J52" s="238" t="s">
        <v>256</v>
      </c>
    </row>
    <row r="53" spans="1:10" ht="54.95" customHeight="1" x14ac:dyDescent="0.25">
      <c r="A53" s="460"/>
      <c r="B53" s="462"/>
      <c r="C53" s="323"/>
      <c r="D53" s="324"/>
      <c r="E53" s="466"/>
      <c r="F53" s="466"/>
      <c r="G53" s="466"/>
      <c r="H53" s="465"/>
    </row>
    <row r="54" spans="1:10" ht="54.95" customHeight="1" x14ac:dyDescent="0.35">
      <c r="A54" s="451"/>
      <c r="B54" s="453"/>
      <c r="C54" s="331"/>
      <c r="D54" s="324"/>
      <c r="E54" s="455"/>
      <c r="F54" s="455"/>
      <c r="G54" s="455"/>
      <c r="H54" s="456"/>
      <c r="J54" s="238" t="s">
        <v>256</v>
      </c>
    </row>
    <row r="55" spans="1:10" ht="54.95" customHeight="1" x14ac:dyDescent="0.25">
      <c r="A55" s="460"/>
      <c r="B55" s="462"/>
      <c r="C55" s="323"/>
      <c r="D55" s="324"/>
      <c r="E55" s="466"/>
      <c r="F55" s="466"/>
      <c r="G55" s="466"/>
      <c r="H55" s="465"/>
    </row>
    <row r="56" spans="1:10" ht="54.95" customHeight="1" x14ac:dyDescent="0.35">
      <c r="A56" s="451"/>
      <c r="B56" s="453"/>
      <c r="C56" s="331"/>
      <c r="D56" s="324"/>
      <c r="E56" s="455"/>
      <c r="F56" s="455"/>
      <c r="G56" s="455"/>
      <c r="H56" s="456"/>
      <c r="J56" s="238" t="s">
        <v>256</v>
      </c>
    </row>
    <row r="57" spans="1:10" ht="54.95" customHeight="1" x14ac:dyDescent="0.25">
      <c r="A57" s="460"/>
      <c r="B57" s="462"/>
      <c r="C57" s="323"/>
      <c r="D57" s="324"/>
      <c r="E57" s="466"/>
      <c r="F57" s="466"/>
      <c r="G57" s="466"/>
      <c r="H57" s="465"/>
    </row>
    <row r="58" spans="1:10" ht="54.95" customHeight="1" x14ac:dyDescent="0.35">
      <c r="A58" s="467">
        <v>21.6</v>
      </c>
      <c r="B58" s="480">
        <f>A58-A46</f>
        <v>5.1900000000000013</v>
      </c>
      <c r="C58" s="243"/>
      <c r="D58" s="244"/>
      <c r="E58" s="527" t="s">
        <v>411</v>
      </c>
      <c r="F58" s="527"/>
      <c r="G58" s="527"/>
      <c r="H58" s="477">
        <f>_КВ3Расстояние-A58</f>
        <v>57.199999999999996</v>
      </c>
      <c r="J58" s="238" t="s">
        <v>475</v>
      </c>
    </row>
    <row r="59" spans="1:10" ht="54.95" customHeight="1" x14ac:dyDescent="0.25">
      <c r="A59" s="468"/>
      <c r="B59" s="468"/>
      <c r="C59" s="246">
        <f>'Сектор 2 Про'!C47+1</f>
        <v>67</v>
      </c>
      <c r="D59" s="245"/>
      <c r="E59" s="520" t="s">
        <v>425</v>
      </c>
      <c r="F59" s="520"/>
      <c r="G59" s="520"/>
      <c r="H59" s="478"/>
    </row>
    <row r="60" spans="1:10" ht="54.95" hidden="1" customHeight="1" x14ac:dyDescent="0.35">
      <c r="A60" s="470">
        <v>22.94</v>
      </c>
      <c r="B60" s="470"/>
      <c r="C60" s="240"/>
      <c r="D60" s="241"/>
      <c r="E60" s="472"/>
      <c r="F60" s="472"/>
      <c r="G60" s="472"/>
      <c r="H60" s="473"/>
      <c r="J60" s="238" t="s">
        <v>413</v>
      </c>
    </row>
    <row r="61" spans="1:10" ht="54.95" hidden="1" customHeight="1" x14ac:dyDescent="0.25">
      <c r="A61" s="471"/>
      <c r="B61" s="471"/>
      <c r="C61" s="247"/>
      <c r="D61" s="242"/>
      <c r="E61" s="475"/>
      <c r="F61" s="475"/>
      <c r="G61" s="475"/>
      <c r="H61" s="474"/>
    </row>
    <row r="62" spans="1:10" ht="54.95" customHeight="1" x14ac:dyDescent="0.35">
      <c r="A62" s="467">
        <v>23.33</v>
      </c>
      <c r="B62" s="467">
        <f>A62-A58</f>
        <v>1.7299999999999969</v>
      </c>
      <c r="C62" s="243"/>
      <c r="D62" s="244"/>
      <c r="E62" s="476"/>
      <c r="F62" s="476"/>
      <c r="G62" s="476"/>
      <c r="H62" s="477">
        <f>_КВ3Расстояние-A62</f>
        <v>55.47</v>
      </c>
    </row>
    <row r="63" spans="1:10" ht="54.95" customHeight="1" x14ac:dyDescent="0.25">
      <c r="A63" s="468"/>
      <c r="B63" s="468"/>
      <c r="C63" s="246">
        <f>'Сектор 2 Про'!C59+1</f>
        <v>68</v>
      </c>
      <c r="D63" s="245"/>
      <c r="E63" s="469"/>
      <c r="F63" s="469"/>
      <c r="G63" s="469"/>
      <c r="H63" s="478"/>
    </row>
    <row r="64" spans="1:10" ht="54.95" customHeight="1" x14ac:dyDescent="0.35">
      <c r="A64" s="467">
        <v>23.6</v>
      </c>
      <c r="B64" s="467">
        <f>A64-A62</f>
        <v>0.27000000000000313</v>
      </c>
      <c r="C64" s="243"/>
      <c r="D64" s="244"/>
      <c r="E64" s="476" t="s">
        <v>467</v>
      </c>
      <c r="F64" s="476"/>
      <c r="G64" s="476"/>
      <c r="H64" s="477">
        <f>_КВ3Расстояние-A64</f>
        <v>55.199999999999996</v>
      </c>
      <c r="J64" s="238" t="s">
        <v>468</v>
      </c>
    </row>
    <row r="65" spans="1:10" ht="54.75" customHeight="1" x14ac:dyDescent="0.25">
      <c r="A65" s="468"/>
      <c r="B65" s="468"/>
      <c r="C65" s="246">
        <f>'Сектор 2 Про'!C63+1</f>
        <v>69</v>
      </c>
      <c r="D65" s="245"/>
      <c r="E65" s="469"/>
      <c r="F65" s="469"/>
      <c r="G65" s="469"/>
      <c r="H65" s="478"/>
    </row>
    <row r="66" spans="1:10" ht="54.95" customHeight="1" x14ac:dyDescent="0.35">
      <c r="A66" s="467">
        <v>23.92</v>
      </c>
      <c r="B66" s="467">
        <f>A66-A64</f>
        <v>0.32000000000000028</v>
      </c>
      <c r="C66" s="243"/>
      <c r="D66" s="244"/>
      <c r="E66" s="476"/>
      <c r="F66" s="476"/>
      <c r="G66" s="476"/>
      <c r="H66" s="477">
        <f>_КВ3Расстояние-A66</f>
        <v>54.879999999999995</v>
      </c>
      <c r="J66" s="238" t="s">
        <v>476</v>
      </c>
    </row>
    <row r="67" spans="1:10" ht="54.95" customHeight="1" x14ac:dyDescent="0.25">
      <c r="A67" s="468"/>
      <c r="B67" s="468"/>
      <c r="C67" s="246">
        <f>'Сектор 2 Про'!C65+1</f>
        <v>70</v>
      </c>
      <c r="D67" s="245"/>
      <c r="E67" s="520" t="s">
        <v>425</v>
      </c>
      <c r="F67" s="520"/>
      <c r="G67" s="520"/>
      <c r="H67" s="478"/>
    </row>
    <row r="68" spans="1:10" ht="54.95" hidden="1" customHeight="1" x14ac:dyDescent="0.35">
      <c r="A68" s="470">
        <v>24.3</v>
      </c>
      <c r="B68" s="470"/>
      <c r="C68" s="240"/>
      <c r="D68" s="241"/>
      <c r="E68" s="472"/>
      <c r="F68" s="472"/>
      <c r="G68" s="472"/>
      <c r="H68" s="473"/>
      <c r="J68" s="238" t="s">
        <v>414</v>
      </c>
    </row>
    <row r="69" spans="1:10" ht="54.95" hidden="1" customHeight="1" x14ac:dyDescent="0.25">
      <c r="A69" s="471"/>
      <c r="B69" s="471"/>
      <c r="C69" s="247"/>
      <c r="D69" s="242"/>
      <c r="E69" s="475"/>
      <c r="F69" s="475"/>
      <c r="G69" s="475"/>
      <c r="H69" s="474"/>
    </row>
    <row r="70" spans="1:10" ht="54.95" customHeight="1" x14ac:dyDescent="0.35">
      <c r="A70" s="480">
        <v>24.59</v>
      </c>
      <c r="B70" s="480">
        <f>A70-A66</f>
        <v>0.66999999999999815</v>
      </c>
      <c r="C70" s="243"/>
      <c r="D70" s="244"/>
      <c r="E70" s="476"/>
      <c r="F70" s="476"/>
      <c r="G70" s="476"/>
      <c r="H70" s="479">
        <f>_КВ3Расстояние-A70</f>
        <v>54.209999999999994</v>
      </c>
      <c r="J70" s="238" t="s">
        <v>273</v>
      </c>
    </row>
    <row r="71" spans="1:10" ht="54.95" customHeight="1" x14ac:dyDescent="0.25">
      <c r="A71" s="468"/>
      <c r="B71" s="468"/>
      <c r="C71" s="246">
        <f>'Сектор 2 Про'!C67+1</f>
        <v>71</v>
      </c>
      <c r="D71" s="245"/>
      <c r="E71" s="469"/>
      <c r="F71" s="469"/>
      <c r="G71" s="469"/>
      <c r="H71" s="478"/>
    </row>
    <row r="72" spans="1:10" ht="54.95" customHeight="1" x14ac:dyDescent="0.35">
      <c r="A72" s="480">
        <v>24.87</v>
      </c>
      <c r="B72" s="480">
        <f>A72-A70</f>
        <v>0.28000000000000114</v>
      </c>
      <c r="C72" s="243"/>
      <c r="D72" s="244"/>
      <c r="E72" s="476"/>
      <c r="F72" s="476"/>
      <c r="G72" s="476"/>
      <c r="H72" s="479">
        <f>_КВ3Расстояние-A72</f>
        <v>53.929999999999993</v>
      </c>
      <c r="J72" s="238" t="s">
        <v>273</v>
      </c>
    </row>
    <row r="73" spans="1:10" ht="54.95" customHeight="1" x14ac:dyDescent="0.25">
      <c r="A73" s="468"/>
      <c r="B73" s="468"/>
      <c r="C73" s="246">
        <f>'Сектор 2 Про'!C71+1</f>
        <v>72</v>
      </c>
      <c r="D73" s="245"/>
      <c r="E73" s="469"/>
      <c r="F73" s="469"/>
      <c r="G73" s="469"/>
      <c r="H73" s="478"/>
    </row>
    <row r="74" spans="1:10" ht="54.95" hidden="1" customHeight="1" x14ac:dyDescent="0.35">
      <c r="A74" s="470">
        <v>25.06</v>
      </c>
      <c r="B74" s="470"/>
      <c r="C74" s="240"/>
      <c r="D74" s="241"/>
      <c r="E74" s="472"/>
      <c r="F74" s="472"/>
      <c r="G74" s="472"/>
      <c r="H74" s="473"/>
      <c r="J74" s="238" t="s">
        <v>415</v>
      </c>
    </row>
    <row r="75" spans="1:10" ht="54.95" hidden="1" customHeight="1" x14ac:dyDescent="0.25">
      <c r="A75" s="471"/>
      <c r="B75" s="471"/>
      <c r="C75" s="247"/>
      <c r="D75" s="242"/>
      <c r="E75" s="475"/>
      <c r="F75" s="475"/>
      <c r="G75" s="475"/>
      <c r="H75" s="474"/>
    </row>
    <row r="76" spans="1:10" ht="54.95" customHeight="1" x14ac:dyDescent="0.35">
      <c r="A76" s="480">
        <v>26.21</v>
      </c>
      <c r="B76" s="480">
        <f>A76-A72</f>
        <v>1.3399999999999999</v>
      </c>
      <c r="C76" s="243"/>
      <c r="D76" s="244"/>
      <c r="E76" s="476"/>
      <c r="F76" s="476"/>
      <c r="G76" s="476"/>
      <c r="H76" s="479">
        <f>_КВ3Расстояние-A76</f>
        <v>52.589999999999996</v>
      </c>
      <c r="J76" s="238" t="s">
        <v>273</v>
      </c>
    </row>
    <row r="77" spans="1:10" ht="54.95" customHeight="1" x14ac:dyDescent="0.25">
      <c r="A77" s="468"/>
      <c r="B77" s="468"/>
      <c r="C77" s="246">
        <f>'Сектор 2 Про'!C73+1</f>
        <v>73</v>
      </c>
      <c r="D77" s="245"/>
      <c r="E77" s="469"/>
      <c r="F77" s="469"/>
      <c r="G77" s="469"/>
      <c r="H77" s="478"/>
    </row>
    <row r="78" spans="1:10" ht="54.95" customHeight="1" x14ac:dyDescent="0.35">
      <c r="A78" s="480">
        <v>26.4</v>
      </c>
      <c r="B78" s="480">
        <f>A78-A76</f>
        <v>0.18999999999999773</v>
      </c>
      <c r="C78" s="243"/>
      <c r="D78" s="244"/>
      <c r="E78" s="476"/>
      <c r="F78" s="476"/>
      <c r="G78" s="476"/>
      <c r="H78" s="479">
        <f>_КВ3Расстояние-A78</f>
        <v>52.4</v>
      </c>
      <c r="J78" s="238" t="s">
        <v>273</v>
      </c>
    </row>
    <row r="79" spans="1:10" ht="54.95" customHeight="1" x14ac:dyDescent="0.25">
      <c r="A79" s="468"/>
      <c r="B79" s="468"/>
      <c r="C79" s="246">
        <f>'Сектор 2 Про'!C77+1</f>
        <v>74</v>
      </c>
      <c r="D79" s="245"/>
      <c r="E79" s="469"/>
      <c r="F79" s="469"/>
      <c r="G79" s="469"/>
      <c r="H79" s="478"/>
    </row>
    <row r="80" spans="1:10" ht="54.95" hidden="1" customHeight="1" x14ac:dyDescent="0.35">
      <c r="A80" s="516">
        <v>27.4</v>
      </c>
      <c r="B80" s="516"/>
      <c r="C80" s="240"/>
      <c r="D80" s="241"/>
      <c r="E80" s="472"/>
      <c r="F80" s="472"/>
      <c r="G80" s="472"/>
      <c r="H80" s="518"/>
      <c r="J80" s="238" t="s">
        <v>421</v>
      </c>
    </row>
    <row r="81" spans="1:10" ht="54.95" hidden="1" customHeight="1" x14ac:dyDescent="0.25">
      <c r="A81" s="517"/>
      <c r="B81" s="517"/>
      <c r="C81" s="247"/>
      <c r="D81" s="242"/>
      <c r="E81" s="475"/>
      <c r="F81" s="475"/>
      <c r="G81" s="475"/>
      <c r="H81" s="519"/>
    </row>
    <row r="82" spans="1:10" ht="54.95" hidden="1" customHeight="1" x14ac:dyDescent="0.35">
      <c r="A82" s="470">
        <v>27.450000000000003</v>
      </c>
      <c r="B82" s="470"/>
      <c r="C82" s="240"/>
      <c r="D82" s="241"/>
      <c r="E82" s="472"/>
      <c r="F82" s="472"/>
      <c r="G82" s="472"/>
      <c r="H82" s="473"/>
      <c r="J82" s="238" t="s">
        <v>416</v>
      </c>
    </row>
    <row r="83" spans="1:10" ht="54.95" hidden="1" customHeight="1" x14ac:dyDescent="0.25">
      <c r="A83" s="471"/>
      <c r="B83" s="471"/>
      <c r="C83" s="247"/>
      <c r="D83" s="242"/>
      <c r="E83" s="475"/>
      <c r="F83" s="475"/>
      <c r="G83" s="475"/>
      <c r="H83" s="474"/>
    </row>
    <row r="84" spans="1:10" ht="54.95" hidden="1" customHeight="1" x14ac:dyDescent="0.35">
      <c r="A84" s="470">
        <v>28.09</v>
      </c>
      <c r="B84" s="470"/>
      <c r="C84" s="240"/>
      <c r="D84" s="241"/>
      <c r="E84" s="472"/>
      <c r="F84" s="472"/>
      <c r="G84" s="472"/>
      <c r="H84" s="473"/>
      <c r="J84" s="238" t="s">
        <v>417</v>
      </c>
    </row>
    <row r="85" spans="1:10" ht="54.95" hidden="1" customHeight="1" x14ac:dyDescent="0.25">
      <c r="A85" s="471"/>
      <c r="B85" s="471"/>
      <c r="C85" s="247"/>
      <c r="D85" s="242"/>
      <c r="E85" s="475"/>
      <c r="F85" s="475"/>
      <c r="G85" s="475"/>
      <c r="H85" s="474"/>
    </row>
    <row r="86" spans="1:10" ht="54.95" customHeight="1" x14ac:dyDescent="0.35">
      <c r="A86" s="480">
        <v>26.71</v>
      </c>
      <c r="B86" s="480">
        <f>A86-A78</f>
        <v>0.31000000000000227</v>
      </c>
      <c r="C86" s="243"/>
      <c r="D86" s="244"/>
      <c r="E86" s="476"/>
      <c r="F86" s="476"/>
      <c r="G86" s="476"/>
      <c r="H86" s="479">
        <f>_КВ3Расстояние-A86</f>
        <v>52.089999999999996</v>
      </c>
      <c r="J86" s="238" t="s">
        <v>273</v>
      </c>
    </row>
    <row r="87" spans="1:10" ht="54.95" customHeight="1" x14ac:dyDescent="0.25">
      <c r="A87" s="468"/>
      <c r="B87" s="468"/>
      <c r="C87" s="246">
        <f>'Сектор 2 Про'!C79+1</f>
        <v>75</v>
      </c>
      <c r="D87" s="245"/>
      <c r="E87" s="469"/>
      <c r="F87" s="469"/>
      <c r="G87" s="469"/>
      <c r="H87" s="478"/>
    </row>
    <row r="88" spans="1:10" ht="54.95" customHeight="1" x14ac:dyDescent="0.35">
      <c r="A88" s="480">
        <v>28.11</v>
      </c>
      <c r="B88" s="480">
        <f>A88-A86</f>
        <v>1.3999999999999986</v>
      </c>
      <c r="C88" s="243"/>
      <c r="D88" s="244"/>
      <c r="E88" s="476"/>
      <c r="F88" s="476"/>
      <c r="G88" s="476"/>
      <c r="H88" s="479">
        <f>_КВ3Расстояние-A88</f>
        <v>50.69</v>
      </c>
      <c r="J88" s="238" t="s">
        <v>273</v>
      </c>
    </row>
    <row r="89" spans="1:10" ht="54.95" customHeight="1" x14ac:dyDescent="0.25">
      <c r="A89" s="468"/>
      <c r="B89" s="468"/>
      <c r="C89" s="246">
        <f>'Сектор 2 Про'!C87+1</f>
        <v>76</v>
      </c>
      <c r="D89" s="245"/>
      <c r="E89" s="469"/>
      <c r="F89" s="469"/>
      <c r="G89" s="469"/>
      <c r="H89" s="478"/>
    </row>
    <row r="90" spans="1:10" ht="54.95" hidden="1" customHeight="1" x14ac:dyDescent="0.35">
      <c r="A90" s="470">
        <v>28.25</v>
      </c>
      <c r="B90" s="470"/>
      <c r="C90" s="240"/>
      <c r="D90" s="241"/>
      <c r="E90" s="472"/>
      <c r="F90" s="472"/>
      <c r="G90" s="472"/>
      <c r="H90" s="473"/>
      <c r="J90" s="238" t="s">
        <v>416</v>
      </c>
    </row>
    <row r="91" spans="1:10" ht="54.95" hidden="1" customHeight="1" x14ac:dyDescent="0.25">
      <c r="A91" s="523"/>
      <c r="B91" s="471"/>
      <c r="C91" s="247"/>
      <c r="D91" s="242"/>
      <c r="E91" s="475"/>
      <c r="F91" s="475"/>
      <c r="G91" s="475"/>
      <c r="H91" s="474"/>
    </row>
    <row r="92" spans="1:10" ht="54.95" hidden="1" customHeight="1" x14ac:dyDescent="0.35">
      <c r="A92" s="470">
        <v>28.88</v>
      </c>
      <c r="B92" s="470"/>
      <c r="C92" s="240"/>
      <c r="D92" s="241"/>
      <c r="E92" s="472"/>
      <c r="F92" s="472"/>
      <c r="G92" s="472"/>
      <c r="H92" s="473"/>
      <c r="J92" s="238" t="s">
        <v>417</v>
      </c>
    </row>
    <row r="93" spans="1:10" ht="54.95" hidden="1" customHeight="1" x14ac:dyDescent="0.25">
      <c r="A93" s="523"/>
      <c r="B93" s="471"/>
      <c r="C93" s="247"/>
      <c r="D93" s="242"/>
      <c r="E93" s="475"/>
      <c r="F93" s="475"/>
      <c r="G93" s="475"/>
      <c r="H93" s="474"/>
    </row>
    <row r="94" spans="1:10" ht="54.95" hidden="1" customHeight="1" x14ac:dyDescent="0.35">
      <c r="A94" s="470">
        <v>31.310000000000002</v>
      </c>
      <c r="B94" s="470"/>
      <c r="C94" s="240"/>
      <c r="D94" s="241"/>
      <c r="E94" s="472"/>
      <c r="F94" s="472"/>
      <c r="G94" s="472"/>
      <c r="H94" s="473"/>
      <c r="J94" s="238" t="s">
        <v>414</v>
      </c>
    </row>
    <row r="95" spans="1:10" ht="54.95" hidden="1" customHeight="1" x14ac:dyDescent="0.25">
      <c r="A95" s="523"/>
      <c r="B95" s="471"/>
      <c r="C95" s="247"/>
      <c r="D95" s="242"/>
      <c r="E95" s="475"/>
      <c r="F95" s="475"/>
      <c r="G95" s="475"/>
      <c r="H95" s="474"/>
    </row>
    <row r="96" spans="1:10" ht="54.95" hidden="1" customHeight="1" x14ac:dyDescent="0.35">
      <c r="A96" s="470">
        <v>31.990000000000002</v>
      </c>
      <c r="B96" s="470"/>
      <c r="C96" s="240"/>
      <c r="D96" s="241"/>
      <c r="E96" s="472"/>
      <c r="F96" s="472"/>
      <c r="G96" s="472"/>
      <c r="H96" s="473"/>
      <c r="J96" s="238" t="s">
        <v>415</v>
      </c>
    </row>
    <row r="97" spans="1:10" ht="54.95" hidden="1" customHeight="1" x14ac:dyDescent="0.25">
      <c r="A97" s="523"/>
      <c r="B97" s="471"/>
      <c r="C97" s="247"/>
      <c r="D97" s="242"/>
      <c r="E97" s="475"/>
      <c r="F97" s="475"/>
      <c r="G97" s="475"/>
      <c r="H97" s="474"/>
    </row>
    <row r="98" spans="1:10" ht="54.95" hidden="1" customHeight="1" x14ac:dyDescent="0.35">
      <c r="A98" s="470">
        <v>32.4</v>
      </c>
      <c r="B98" s="470"/>
      <c r="C98" s="240"/>
      <c r="D98" s="241"/>
      <c r="E98" s="472"/>
      <c r="F98" s="472"/>
      <c r="G98" s="472"/>
      <c r="H98" s="473"/>
      <c r="J98" s="238" t="s">
        <v>413</v>
      </c>
    </row>
    <row r="99" spans="1:10" ht="54.95" hidden="1" customHeight="1" x14ac:dyDescent="0.25">
      <c r="A99" s="523"/>
      <c r="B99" s="471"/>
      <c r="C99" s="247"/>
      <c r="D99" s="242"/>
      <c r="E99" s="475"/>
      <c r="F99" s="475"/>
      <c r="G99" s="475"/>
      <c r="H99" s="474"/>
    </row>
    <row r="100" spans="1:10" ht="54.95" customHeight="1" x14ac:dyDescent="0.35">
      <c r="A100" s="480">
        <v>32.43</v>
      </c>
      <c r="B100" s="480">
        <f>A100-A88</f>
        <v>4.32</v>
      </c>
      <c r="C100" s="243"/>
      <c r="D100" s="244"/>
      <c r="E100" s="476"/>
      <c r="F100" s="476"/>
      <c r="G100" s="476"/>
      <c r="H100" s="479">
        <f>_КВ3Расстояние-A100</f>
        <v>46.37</v>
      </c>
      <c r="J100" s="238" t="s">
        <v>273</v>
      </c>
    </row>
    <row r="101" spans="1:10" ht="54.95" customHeight="1" x14ac:dyDescent="0.25">
      <c r="A101" s="521"/>
      <c r="B101" s="468"/>
      <c r="C101" s="246">
        <f>'Сектор 2 Про'!C89+1</f>
        <v>77</v>
      </c>
      <c r="D101" s="245"/>
      <c r="E101" s="469"/>
      <c r="F101" s="469"/>
      <c r="G101" s="469"/>
      <c r="H101" s="478"/>
    </row>
    <row r="102" spans="1:10" ht="54.95" customHeight="1" x14ac:dyDescent="0.35">
      <c r="A102" s="480">
        <v>33.39</v>
      </c>
      <c r="B102" s="480">
        <f>A102-A100</f>
        <v>0.96000000000000085</v>
      </c>
      <c r="C102" s="243"/>
      <c r="D102" s="244"/>
      <c r="E102" s="476"/>
      <c r="F102" s="476"/>
      <c r="G102" s="476"/>
      <c r="H102" s="479">
        <f>_КВ3Расстояние-A102</f>
        <v>45.41</v>
      </c>
      <c r="J102" s="238" t="s">
        <v>477</v>
      </c>
    </row>
    <row r="103" spans="1:10" ht="54.95" customHeight="1" x14ac:dyDescent="0.25">
      <c r="A103" s="521"/>
      <c r="B103" s="468"/>
      <c r="C103" s="246">
        <f>'Сектор 2 Про'!C101+1</f>
        <v>78</v>
      </c>
      <c r="D103" s="245"/>
      <c r="E103" s="469"/>
      <c r="F103" s="469"/>
      <c r="G103" s="469"/>
      <c r="H103" s="478"/>
    </row>
    <row r="104" spans="1:10" ht="54.95" customHeight="1" x14ac:dyDescent="0.35">
      <c r="A104" s="480">
        <v>35.15</v>
      </c>
      <c r="B104" s="467">
        <f>A104-A102</f>
        <v>1.759999999999998</v>
      </c>
      <c r="C104" s="243"/>
      <c r="D104" s="244"/>
      <c r="E104" s="476"/>
      <c r="F104" s="476"/>
      <c r="G104" s="476"/>
      <c r="H104" s="479">
        <f>_КВ3Расстояние-A104</f>
        <v>43.65</v>
      </c>
      <c r="J104" s="238" t="s">
        <v>361</v>
      </c>
    </row>
    <row r="105" spans="1:10" ht="54.95" customHeight="1" x14ac:dyDescent="0.25">
      <c r="A105" s="521"/>
      <c r="B105" s="468"/>
      <c r="C105" s="246">
        <f>'Сектор 2 Про'!C103+1</f>
        <v>79</v>
      </c>
      <c r="D105" s="245"/>
      <c r="E105" s="469"/>
      <c r="F105" s="469"/>
      <c r="G105" s="469"/>
      <c r="H105" s="478"/>
    </row>
    <row r="106" spans="1:10" ht="54.95" customHeight="1" x14ac:dyDescent="0.35">
      <c r="A106" s="467">
        <v>35.82</v>
      </c>
      <c r="B106" s="467">
        <f>A106-A104</f>
        <v>0.67000000000000171</v>
      </c>
      <c r="C106" s="243"/>
      <c r="D106" s="244"/>
      <c r="E106" s="476"/>
      <c r="F106" s="476"/>
      <c r="G106" s="476"/>
      <c r="H106" s="477">
        <f>_КВ3Расстояние-A106</f>
        <v>42.98</v>
      </c>
    </row>
    <row r="107" spans="1:10" ht="54.95" customHeight="1" x14ac:dyDescent="0.25">
      <c r="A107" s="521"/>
      <c r="B107" s="468"/>
      <c r="C107" s="246">
        <f>'Сектор 2 Про'!C105+1</f>
        <v>80</v>
      </c>
      <c r="D107" s="245"/>
      <c r="E107" s="469"/>
      <c r="F107" s="469"/>
      <c r="G107" s="469"/>
      <c r="H107" s="478"/>
    </row>
    <row r="108" spans="1:10" ht="54.95" customHeight="1" x14ac:dyDescent="0.35">
      <c r="A108" s="467">
        <v>36.659999999999997</v>
      </c>
      <c r="B108" s="467">
        <f>A108-A106</f>
        <v>0.83999999999999631</v>
      </c>
      <c r="C108" s="243"/>
      <c r="D108" s="244"/>
      <c r="E108" s="476"/>
      <c r="F108" s="476"/>
      <c r="G108" s="476"/>
      <c r="H108" s="477">
        <f>_КВ3Расстояние-A108</f>
        <v>42.14</v>
      </c>
    </row>
    <row r="109" spans="1:10" ht="54.95" customHeight="1" x14ac:dyDescent="0.25">
      <c r="A109" s="521"/>
      <c r="B109" s="468"/>
      <c r="C109" s="246">
        <f>'Сектор 2 Про'!C107+1</f>
        <v>81</v>
      </c>
      <c r="D109" s="245"/>
      <c r="E109" s="469"/>
      <c r="F109" s="469"/>
      <c r="G109" s="469"/>
      <c r="H109" s="478"/>
    </row>
    <row r="110" spans="1:10" ht="54.95" hidden="1" customHeight="1" x14ac:dyDescent="0.35">
      <c r="A110" s="470">
        <v>39.659999999999997</v>
      </c>
      <c r="B110" s="470"/>
      <c r="C110" s="240"/>
      <c r="D110" s="241"/>
      <c r="E110" s="472"/>
      <c r="F110" s="472"/>
      <c r="G110" s="472"/>
      <c r="H110" s="473"/>
      <c r="J110" s="238" t="s">
        <v>413</v>
      </c>
    </row>
    <row r="111" spans="1:10" ht="54.95" hidden="1" customHeight="1" x14ac:dyDescent="0.25">
      <c r="A111" s="523"/>
      <c r="B111" s="471"/>
      <c r="C111" s="247"/>
      <c r="D111" s="242"/>
      <c r="E111" s="475"/>
      <c r="F111" s="475"/>
      <c r="G111" s="475"/>
      <c r="H111" s="474"/>
    </row>
    <row r="112" spans="1:10" ht="54.95" customHeight="1" x14ac:dyDescent="0.35">
      <c r="A112" s="467">
        <v>40.31</v>
      </c>
      <c r="B112" s="467">
        <f>A112-A108</f>
        <v>3.6500000000000057</v>
      </c>
      <c r="C112" s="243"/>
      <c r="D112" s="244"/>
      <c r="E112" s="476" t="s">
        <v>467</v>
      </c>
      <c r="F112" s="476"/>
      <c r="G112" s="476"/>
      <c r="H112" s="477">
        <f>_КВ3Расстояние-A112</f>
        <v>38.489999999999995</v>
      </c>
      <c r="J112" s="238" t="s">
        <v>468</v>
      </c>
    </row>
    <row r="113" spans="1:10" ht="54.95" customHeight="1" x14ac:dyDescent="0.25">
      <c r="A113" s="521"/>
      <c r="B113" s="468"/>
      <c r="C113" s="246">
        <f>'Сектор 2 Про'!C109+1</f>
        <v>82</v>
      </c>
      <c r="D113" s="245"/>
      <c r="E113" s="469"/>
      <c r="F113" s="469"/>
      <c r="G113" s="469"/>
      <c r="H113" s="478"/>
    </row>
    <row r="114" spans="1:10" ht="54.95" customHeight="1" x14ac:dyDescent="0.35">
      <c r="A114" s="467">
        <v>40.64</v>
      </c>
      <c r="B114" s="467">
        <f>A114-A112</f>
        <v>0.32999999999999829</v>
      </c>
      <c r="C114" s="243"/>
      <c r="D114" s="244"/>
      <c r="E114" s="476"/>
      <c r="F114" s="476"/>
      <c r="G114" s="476"/>
      <c r="H114" s="477">
        <f>_КВ3Расстояние-A114</f>
        <v>38.159999999999997</v>
      </c>
      <c r="J114" s="238" t="s">
        <v>476</v>
      </c>
    </row>
    <row r="115" spans="1:10" ht="54.95" customHeight="1" x14ac:dyDescent="0.25">
      <c r="A115" s="521"/>
      <c r="B115" s="468"/>
      <c r="C115" s="246">
        <f>'Сектор 2 Про'!C113+1</f>
        <v>83</v>
      </c>
      <c r="D115" s="245"/>
      <c r="E115" s="520" t="s">
        <v>425</v>
      </c>
      <c r="F115" s="520"/>
      <c r="G115" s="520"/>
      <c r="H115" s="478"/>
    </row>
    <row r="116" spans="1:10" ht="54.95" hidden="1" customHeight="1" x14ac:dyDescent="0.35">
      <c r="A116" s="470">
        <v>41.02</v>
      </c>
      <c r="B116" s="470"/>
      <c r="C116" s="240"/>
      <c r="D116" s="241"/>
      <c r="E116" s="472"/>
      <c r="F116" s="472"/>
      <c r="G116" s="472"/>
      <c r="H116" s="473"/>
      <c r="J116" s="238" t="s">
        <v>414</v>
      </c>
    </row>
    <row r="117" spans="1:10" ht="54.95" hidden="1" customHeight="1" x14ac:dyDescent="0.25">
      <c r="A117" s="523"/>
      <c r="B117" s="471"/>
      <c r="C117" s="247"/>
      <c r="D117" s="242"/>
      <c r="E117" s="475"/>
      <c r="F117" s="475"/>
      <c r="G117" s="475"/>
      <c r="H117" s="474"/>
    </row>
    <row r="118" spans="1:10" ht="54.95" hidden="1" customHeight="1" x14ac:dyDescent="0.35">
      <c r="A118" s="470">
        <v>41.78</v>
      </c>
      <c r="B118" s="470"/>
      <c r="C118" s="240"/>
      <c r="D118" s="241"/>
      <c r="E118" s="472"/>
      <c r="F118" s="472"/>
      <c r="G118" s="472"/>
      <c r="H118" s="473"/>
      <c r="J118" s="238" t="s">
        <v>415</v>
      </c>
    </row>
    <row r="119" spans="1:10" ht="54.95" hidden="1" customHeight="1" x14ac:dyDescent="0.25">
      <c r="A119" s="523"/>
      <c r="B119" s="471"/>
      <c r="C119" s="247"/>
      <c r="D119" s="242"/>
      <c r="E119" s="475"/>
      <c r="F119" s="475"/>
      <c r="G119" s="475"/>
      <c r="H119" s="474"/>
    </row>
    <row r="120" spans="1:10" ht="54.95" customHeight="1" x14ac:dyDescent="0.35">
      <c r="A120" s="480">
        <v>43.19</v>
      </c>
      <c r="B120" s="480">
        <f>A120-A114</f>
        <v>2.5499999999999972</v>
      </c>
      <c r="C120" s="243"/>
      <c r="D120" s="244"/>
      <c r="E120" s="476"/>
      <c r="F120" s="476"/>
      <c r="G120" s="476"/>
      <c r="H120" s="479">
        <f>_КВ3Расстояние-A120</f>
        <v>35.61</v>
      </c>
      <c r="J120" s="238" t="s">
        <v>273</v>
      </c>
    </row>
    <row r="121" spans="1:10" ht="54.95" customHeight="1" x14ac:dyDescent="0.25">
      <c r="A121" s="468"/>
      <c r="B121" s="468"/>
      <c r="C121" s="246">
        <f>'Сектор 2 Про'!C115+1</f>
        <v>84</v>
      </c>
      <c r="D121" s="245"/>
      <c r="E121" s="469"/>
      <c r="F121" s="469"/>
      <c r="G121" s="469"/>
      <c r="H121" s="478"/>
    </row>
    <row r="122" spans="1:10" ht="54.95" hidden="1" customHeight="1" x14ac:dyDescent="0.35">
      <c r="A122" s="470">
        <v>44.12</v>
      </c>
      <c r="B122" s="470"/>
      <c r="C122" s="240"/>
      <c r="D122" s="241"/>
      <c r="E122" s="472"/>
      <c r="F122" s="472"/>
      <c r="G122" s="472"/>
      <c r="H122" s="473"/>
      <c r="J122" s="238" t="s">
        <v>438</v>
      </c>
    </row>
    <row r="123" spans="1:10" ht="54.95" hidden="1" customHeight="1" x14ac:dyDescent="0.25">
      <c r="A123" s="523"/>
      <c r="B123" s="471"/>
      <c r="C123" s="247"/>
      <c r="D123" s="242"/>
      <c r="E123" s="475"/>
      <c r="F123" s="475"/>
      <c r="G123" s="475"/>
      <c r="H123" s="474"/>
    </row>
    <row r="124" spans="1:10" ht="54.95" hidden="1" customHeight="1" x14ac:dyDescent="0.35">
      <c r="A124" s="470">
        <v>44.17</v>
      </c>
      <c r="B124" s="470"/>
      <c r="C124" s="240"/>
      <c r="D124" s="241"/>
      <c r="E124" s="472"/>
      <c r="F124" s="472"/>
      <c r="G124" s="472"/>
      <c r="H124" s="473"/>
      <c r="J124" s="238" t="s">
        <v>416</v>
      </c>
    </row>
    <row r="125" spans="1:10" ht="54.95" hidden="1" customHeight="1" x14ac:dyDescent="0.25">
      <c r="A125" s="523"/>
      <c r="B125" s="471"/>
      <c r="C125" s="247"/>
      <c r="D125" s="242"/>
      <c r="E125" s="475"/>
      <c r="F125" s="475"/>
      <c r="G125" s="475"/>
      <c r="H125" s="474"/>
    </row>
    <row r="126" spans="1:10" ht="54.95" hidden="1" customHeight="1" x14ac:dyDescent="0.35">
      <c r="A126" s="470">
        <v>44.81</v>
      </c>
      <c r="B126" s="470"/>
      <c r="C126" s="240"/>
      <c r="D126" s="241"/>
      <c r="E126" s="472"/>
      <c r="F126" s="472"/>
      <c r="G126" s="472"/>
      <c r="H126" s="473"/>
      <c r="J126" s="238" t="s">
        <v>417</v>
      </c>
    </row>
    <row r="127" spans="1:10" ht="54.95" hidden="1" customHeight="1" x14ac:dyDescent="0.25">
      <c r="A127" s="523"/>
      <c r="B127" s="471"/>
      <c r="C127" s="247"/>
      <c r="D127" s="242"/>
      <c r="E127" s="475"/>
      <c r="F127" s="475"/>
      <c r="G127" s="475"/>
      <c r="H127" s="474"/>
    </row>
    <row r="128" spans="1:10" ht="54.95" hidden="1" customHeight="1" x14ac:dyDescent="0.35">
      <c r="A128" s="470">
        <v>45.03</v>
      </c>
      <c r="B128" s="470"/>
      <c r="C128" s="240"/>
      <c r="D128" s="241"/>
      <c r="E128" s="472"/>
      <c r="F128" s="472"/>
      <c r="G128" s="472"/>
      <c r="H128" s="473"/>
      <c r="J128" s="238" t="s">
        <v>418</v>
      </c>
    </row>
    <row r="129" spans="1:10" ht="54.95" hidden="1" customHeight="1" x14ac:dyDescent="0.25">
      <c r="A129" s="523"/>
      <c r="B129" s="471"/>
      <c r="C129" s="247"/>
      <c r="D129" s="242"/>
      <c r="E129" s="475"/>
      <c r="F129" s="475"/>
      <c r="G129" s="475"/>
      <c r="H129" s="474"/>
    </row>
    <row r="130" spans="1:10" ht="54.95" hidden="1" customHeight="1" x14ac:dyDescent="0.35">
      <c r="A130" s="470">
        <v>45.7</v>
      </c>
      <c r="B130" s="470"/>
      <c r="C130" s="240"/>
      <c r="D130" s="241"/>
      <c r="E130" s="472"/>
      <c r="F130" s="472"/>
      <c r="G130" s="472"/>
      <c r="H130" s="473"/>
      <c r="J130" s="238" t="s">
        <v>419</v>
      </c>
    </row>
    <row r="131" spans="1:10" ht="54.95" hidden="1" customHeight="1" x14ac:dyDescent="0.25">
      <c r="A131" s="523"/>
      <c r="B131" s="471"/>
      <c r="C131" s="247"/>
      <c r="D131" s="242"/>
      <c r="E131" s="475"/>
      <c r="F131" s="475"/>
      <c r="G131" s="475"/>
      <c r="H131" s="474"/>
    </row>
    <row r="132" spans="1:10" ht="54.95" customHeight="1" x14ac:dyDescent="0.35">
      <c r="A132" s="480">
        <v>49.44</v>
      </c>
      <c r="B132" s="480">
        <f>A132-A120</f>
        <v>6.25</v>
      </c>
      <c r="C132" s="243"/>
      <c r="D132" s="244"/>
      <c r="E132" s="476"/>
      <c r="F132" s="476"/>
      <c r="G132" s="476"/>
      <c r="H132" s="479">
        <f>_КВ3Расстояние-A132</f>
        <v>29.36</v>
      </c>
      <c r="J132" s="238" t="s">
        <v>273</v>
      </c>
    </row>
    <row r="133" spans="1:10" ht="54.95" customHeight="1" x14ac:dyDescent="0.25">
      <c r="A133" s="468"/>
      <c r="B133" s="468"/>
      <c r="C133" s="246">
        <f>'Сектор 2 Про'!C121+1</f>
        <v>85</v>
      </c>
      <c r="D133" s="245"/>
      <c r="E133" s="469"/>
      <c r="F133" s="469"/>
      <c r="G133" s="469"/>
      <c r="H133" s="478"/>
    </row>
    <row r="134" spans="1:10" ht="54.95" customHeight="1" x14ac:dyDescent="0.35">
      <c r="A134" s="480">
        <v>49.86</v>
      </c>
      <c r="B134" s="480">
        <f>A134-A132</f>
        <v>0.42000000000000171</v>
      </c>
      <c r="C134" s="243"/>
      <c r="D134" s="244"/>
      <c r="E134" s="476" t="s">
        <v>637</v>
      </c>
      <c r="F134" s="476"/>
      <c r="G134" s="476"/>
      <c r="H134" s="479">
        <f>_КВ3Расстояние-A134</f>
        <v>28.939999999999998</v>
      </c>
      <c r="J134" s="238" t="s">
        <v>638</v>
      </c>
    </row>
    <row r="135" spans="1:10" ht="54.95" customHeight="1" x14ac:dyDescent="0.25">
      <c r="A135" s="521"/>
      <c r="B135" s="468"/>
      <c r="C135" s="246">
        <f>'Сектор 2 Про'!C133+1</f>
        <v>86</v>
      </c>
      <c r="D135" s="245"/>
      <c r="E135" s="469"/>
      <c r="F135" s="469"/>
      <c r="G135" s="469"/>
      <c r="H135" s="478"/>
    </row>
    <row r="136" spans="1:10" ht="54.95" customHeight="1" x14ac:dyDescent="0.35">
      <c r="A136" s="480">
        <v>50</v>
      </c>
      <c r="B136" s="480">
        <f>A136-A134</f>
        <v>0.14000000000000057</v>
      </c>
      <c r="C136" s="243"/>
      <c r="D136" s="244"/>
      <c r="E136" s="476"/>
      <c r="F136" s="476"/>
      <c r="G136" s="476"/>
      <c r="H136" s="479">
        <f>_КВ3Расстояние-A136</f>
        <v>28.799999999999997</v>
      </c>
      <c r="J136" s="238" t="s">
        <v>273</v>
      </c>
    </row>
    <row r="137" spans="1:10" ht="54.95" customHeight="1" x14ac:dyDescent="0.25">
      <c r="A137" s="521"/>
      <c r="B137" s="468"/>
      <c r="C137" s="246">
        <f>'Сектор 2 Про'!C135+1</f>
        <v>87</v>
      </c>
      <c r="D137" s="245"/>
      <c r="E137" s="469"/>
      <c r="F137" s="469"/>
      <c r="G137" s="469"/>
      <c r="H137" s="478"/>
    </row>
    <row r="138" spans="1:10" ht="54.95" hidden="1" customHeight="1" x14ac:dyDescent="0.35">
      <c r="A138" s="470">
        <v>50.93</v>
      </c>
      <c r="B138" s="470"/>
      <c r="C138" s="240"/>
      <c r="D138" s="241"/>
      <c r="E138" s="472"/>
      <c r="F138" s="472"/>
      <c r="G138" s="472"/>
      <c r="H138" s="473"/>
      <c r="J138" s="238" t="s">
        <v>442</v>
      </c>
    </row>
    <row r="139" spans="1:10" ht="54.95" hidden="1" customHeight="1" x14ac:dyDescent="0.25">
      <c r="A139" s="523"/>
      <c r="B139" s="471"/>
      <c r="C139" s="247"/>
      <c r="D139" s="242"/>
      <c r="E139" s="475"/>
      <c r="F139" s="475"/>
      <c r="G139" s="475"/>
      <c r="H139" s="474"/>
    </row>
    <row r="140" spans="1:10" ht="54.95" customHeight="1" x14ac:dyDescent="0.35">
      <c r="A140" s="480">
        <v>51.11</v>
      </c>
      <c r="B140" s="480">
        <f>A140-A136</f>
        <v>1.1099999999999994</v>
      </c>
      <c r="C140" s="243"/>
      <c r="D140" s="244"/>
      <c r="E140" s="476" t="s">
        <v>470</v>
      </c>
      <c r="F140" s="476"/>
      <c r="G140" s="476"/>
      <c r="H140" s="479">
        <f>_КВ3Расстояние-A140</f>
        <v>27.689999999999998</v>
      </c>
      <c r="J140" s="238" t="s">
        <v>273</v>
      </c>
    </row>
    <row r="141" spans="1:10" ht="54.95" customHeight="1" x14ac:dyDescent="0.25">
      <c r="A141" s="521"/>
      <c r="B141" s="468"/>
      <c r="C141" s="246">
        <f>'Сектор 2 Про'!C137+1</f>
        <v>88</v>
      </c>
      <c r="D141" s="245"/>
      <c r="E141" s="469"/>
      <c r="F141" s="469"/>
      <c r="G141" s="469"/>
      <c r="H141" s="478"/>
    </row>
    <row r="142" spans="1:10" ht="54.95" customHeight="1" x14ac:dyDescent="0.35">
      <c r="A142" s="480">
        <v>51.16</v>
      </c>
      <c r="B142" s="480">
        <f>A142-A140</f>
        <v>4.9999999999997158E-2</v>
      </c>
      <c r="C142" s="243"/>
      <c r="D142" s="244"/>
      <c r="E142" s="476"/>
      <c r="F142" s="476"/>
      <c r="G142" s="476"/>
      <c r="H142" s="479">
        <f>_КВ3Расстояние-A142</f>
        <v>27.64</v>
      </c>
      <c r="J142" s="238" t="s">
        <v>273</v>
      </c>
    </row>
    <row r="143" spans="1:10" ht="54.95" customHeight="1" x14ac:dyDescent="0.25">
      <c r="A143" s="521"/>
      <c r="B143" s="468"/>
      <c r="C143" s="246">
        <f>'Сектор 2 Про'!C141+1</f>
        <v>89</v>
      </c>
      <c r="D143" s="245"/>
      <c r="E143" s="469"/>
      <c r="F143" s="469"/>
      <c r="G143" s="469"/>
      <c r="H143" s="478"/>
    </row>
    <row r="144" spans="1:10" ht="54.95" customHeight="1" x14ac:dyDescent="0.35">
      <c r="A144" s="480">
        <v>51.2</v>
      </c>
      <c r="B144" s="480">
        <f>A144-A142</f>
        <v>4.0000000000006253E-2</v>
      </c>
      <c r="C144" s="243"/>
      <c r="D144" s="244"/>
      <c r="E144" s="476" t="s">
        <v>420</v>
      </c>
      <c r="F144" s="476"/>
      <c r="G144" s="476"/>
      <c r="H144" s="479">
        <f>_КВ3Расстояние-A144</f>
        <v>27.599999999999994</v>
      </c>
      <c r="J144" s="238" t="s">
        <v>424</v>
      </c>
    </row>
    <row r="145" spans="1:10" ht="54.95" customHeight="1" x14ac:dyDescent="0.25">
      <c r="A145" s="521"/>
      <c r="B145" s="468"/>
      <c r="C145" s="246">
        <f>'Сектор 2 Про'!C143+1</f>
        <v>90</v>
      </c>
      <c r="D145" s="245"/>
      <c r="E145" s="469"/>
      <c r="F145" s="469"/>
      <c r="G145" s="469"/>
      <c r="H145" s="478"/>
    </row>
    <row r="146" spans="1:10" ht="54.95" customHeight="1" x14ac:dyDescent="0.35">
      <c r="A146" s="480">
        <v>51.27</v>
      </c>
      <c r="B146" s="467">
        <f>A146-A144</f>
        <v>7.0000000000000284E-2</v>
      </c>
      <c r="C146" s="243"/>
      <c r="D146" s="244"/>
      <c r="E146" s="476"/>
      <c r="F146" s="476"/>
      <c r="G146" s="476"/>
      <c r="H146" s="479">
        <f>_КВ3Расстояние-A146</f>
        <v>27.529999999999994</v>
      </c>
      <c r="J146" s="238" t="s">
        <v>361</v>
      </c>
    </row>
    <row r="147" spans="1:10" ht="54.95" customHeight="1" x14ac:dyDescent="0.25">
      <c r="A147" s="521"/>
      <c r="B147" s="468"/>
      <c r="C147" s="246">
        <f>'Сектор 2 Про'!C145+1</f>
        <v>91</v>
      </c>
      <c r="D147" s="245"/>
      <c r="E147" s="469"/>
      <c r="F147" s="469"/>
      <c r="G147" s="469"/>
      <c r="H147" s="478"/>
    </row>
    <row r="148" spans="1:10" ht="54.95" hidden="1" customHeight="1" x14ac:dyDescent="0.35">
      <c r="A148" s="470">
        <v>51.33</v>
      </c>
      <c r="B148" s="470"/>
      <c r="C148" s="240"/>
      <c r="D148" s="241"/>
      <c r="E148" s="472"/>
      <c r="F148" s="472"/>
      <c r="G148" s="472"/>
      <c r="H148" s="473"/>
      <c r="J148" s="238" t="s">
        <v>482</v>
      </c>
    </row>
    <row r="149" spans="1:10" ht="54.95" hidden="1" customHeight="1" x14ac:dyDescent="0.25">
      <c r="A149" s="523"/>
      <c r="B149" s="471"/>
      <c r="C149" s="247"/>
      <c r="D149" s="242"/>
      <c r="E149" s="475"/>
      <c r="F149" s="475"/>
      <c r="G149" s="475"/>
      <c r="H149" s="474"/>
    </row>
    <row r="150" spans="1:10" ht="54.95" customHeight="1" x14ac:dyDescent="0.35">
      <c r="A150" s="480">
        <v>51.38</v>
      </c>
      <c r="B150" s="522">
        <f>A150-A146</f>
        <v>0.10999999999999943</v>
      </c>
      <c r="C150" s="243"/>
      <c r="D150" s="244"/>
      <c r="E150" s="476"/>
      <c r="F150" s="476"/>
      <c r="G150" s="476"/>
      <c r="H150" s="479">
        <f>_КВ3Расстояние-A150</f>
        <v>27.419999999999995</v>
      </c>
      <c r="J150" s="238" t="s">
        <v>273</v>
      </c>
    </row>
    <row r="151" spans="1:10" ht="54.95" customHeight="1" x14ac:dyDescent="0.25">
      <c r="A151" s="521"/>
      <c r="B151" s="468"/>
      <c r="C151" s="246">
        <f>'Сектор 2 Про'!C147+1</f>
        <v>92</v>
      </c>
      <c r="D151" s="245"/>
      <c r="E151" s="469"/>
      <c r="F151" s="469"/>
      <c r="G151" s="469"/>
      <c r="H151" s="478"/>
    </row>
    <row r="152" spans="1:10" ht="54.95" customHeight="1" x14ac:dyDescent="0.35">
      <c r="A152" s="467">
        <v>51.69</v>
      </c>
      <c r="B152" s="480">
        <f>A152-A150</f>
        <v>0.30999999999999517</v>
      </c>
      <c r="C152" s="243"/>
      <c r="D152" s="244"/>
      <c r="E152" s="509"/>
      <c r="F152" s="509"/>
      <c r="G152" s="509"/>
      <c r="H152" s="477">
        <f>_КВ3Расстояние-A152</f>
        <v>27.11</v>
      </c>
      <c r="J152" s="238" t="s">
        <v>478</v>
      </c>
    </row>
    <row r="153" spans="1:10" ht="54.95" customHeight="1" x14ac:dyDescent="0.25">
      <c r="A153" s="521"/>
      <c r="B153" s="468"/>
      <c r="C153" s="246">
        <f>'Сектор 2 Про'!C151+1</f>
        <v>93</v>
      </c>
      <c r="D153" s="245"/>
      <c r="E153" s="520" t="s">
        <v>425</v>
      </c>
      <c r="F153" s="520"/>
      <c r="G153" s="520"/>
      <c r="H153" s="478"/>
    </row>
    <row r="154" spans="1:10" ht="54.95" customHeight="1" x14ac:dyDescent="0.35">
      <c r="A154" s="467">
        <v>53.059999999999995</v>
      </c>
      <c r="B154" s="467">
        <f>A154-A152</f>
        <v>1.3699999999999974</v>
      </c>
      <c r="C154" s="243"/>
      <c r="D154" s="244"/>
      <c r="E154" s="476"/>
      <c r="F154" s="476"/>
      <c r="G154" s="476"/>
      <c r="H154" s="477">
        <f>_КВ3Расстояние-A154</f>
        <v>25.740000000000002</v>
      </c>
    </row>
    <row r="155" spans="1:10" ht="54.95" customHeight="1" x14ac:dyDescent="0.25">
      <c r="A155" s="521"/>
      <c r="B155" s="468"/>
      <c r="C155" s="246">
        <f>'Сектор 2 Про'!C153+1</f>
        <v>94</v>
      </c>
      <c r="D155" s="245"/>
      <c r="E155" s="469"/>
      <c r="F155" s="469"/>
      <c r="G155" s="469"/>
      <c r="H155" s="478"/>
    </row>
    <row r="156" spans="1:10" ht="54.95" hidden="1" customHeight="1" x14ac:dyDescent="0.35">
      <c r="A156" s="470">
        <v>57.61</v>
      </c>
      <c r="B156" s="470"/>
      <c r="C156" s="240"/>
      <c r="D156" s="241"/>
      <c r="E156" s="472"/>
      <c r="F156" s="472"/>
      <c r="G156" s="472"/>
      <c r="H156" s="473"/>
      <c r="J156" s="238" t="s">
        <v>418</v>
      </c>
    </row>
    <row r="157" spans="1:10" ht="54.95" hidden="1" customHeight="1" x14ac:dyDescent="0.25">
      <c r="A157" s="523"/>
      <c r="B157" s="471"/>
      <c r="C157" s="247"/>
      <c r="D157" s="242"/>
      <c r="E157" s="475"/>
      <c r="F157" s="475"/>
      <c r="G157" s="475"/>
      <c r="H157" s="474"/>
    </row>
    <row r="158" spans="1:10" ht="54.95" hidden="1" customHeight="1" x14ac:dyDescent="0.35">
      <c r="A158" s="470">
        <v>58.28</v>
      </c>
      <c r="B158" s="470"/>
      <c r="C158" s="240"/>
      <c r="D158" s="241"/>
      <c r="E158" s="472"/>
      <c r="F158" s="472"/>
      <c r="G158" s="472"/>
      <c r="H158" s="473"/>
      <c r="J158" s="238" t="s">
        <v>419</v>
      </c>
    </row>
    <row r="159" spans="1:10" ht="54.95" hidden="1" customHeight="1" x14ac:dyDescent="0.25">
      <c r="A159" s="523"/>
      <c r="B159" s="471"/>
      <c r="C159" s="247"/>
      <c r="D159" s="242"/>
      <c r="E159" s="475"/>
      <c r="F159" s="475"/>
      <c r="G159" s="475"/>
      <c r="H159" s="474"/>
    </row>
    <row r="160" spans="1:10" ht="54.95" hidden="1" customHeight="1" x14ac:dyDescent="0.35">
      <c r="A160" s="470">
        <v>58.51</v>
      </c>
      <c r="B160" s="470"/>
      <c r="C160" s="240"/>
      <c r="D160" s="241"/>
      <c r="E160" s="472"/>
      <c r="F160" s="472"/>
      <c r="G160" s="472"/>
      <c r="H160" s="473"/>
      <c r="J160" s="238" t="s">
        <v>416</v>
      </c>
    </row>
    <row r="161" spans="1:10" ht="54.95" hidden="1" customHeight="1" x14ac:dyDescent="0.25">
      <c r="A161" s="523"/>
      <c r="B161" s="471"/>
      <c r="C161" s="247"/>
      <c r="D161" s="242"/>
      <c r="E161" s="475"/>
      <c r="F161" s="475"/>
      <c r="G161" s="475"/>
      <c r="H161" s="474"/>
    </row>
    <row r="162" spans="1:10" ht="54.95" customHeight="1" x14ac:dyDescent="0.35">
      <c r="A162" s="467">
        <v>59.14</v>
      </c>
      <c r="B162" s="467">
        <f>A162-A154</f>
        <v>6.0800000000000054</v>
      </c>
      <c r="C162" s="243"/>
      <c r="D162" s="244"/>
      <c r="E162" s="476"/>
      <c r="F162" s="476"/>
      <c r="G162" s="476"/>
      <c r="H162" s="477">
        <f>_КВ3Расстояние-A162</f>
        <v>19.659999999999997</v>
      </c>
      <c r="J162" s="238" t="s">
        <v>479</v>
      </c>
    </row>
    <row r="163" spans="1:10" ht="54.95" customHeight="1" x14ac:dyDescent="0.25">
      <c r="A163" s="521"/>
      <c r="B163" s="468"/>
      <c r="C163" s="246">
        <f>'Сектор 2 Про'!C155+1</f>
        <v>95</v>
      </c>
      <c r="D163" s="245"/>
      <c r="E163" s="469"/>
      <c r="F163" s="469"/>
      <c r="G163" s="469"/>
      <c r="H163" s="478"/>
    </row>
    <row r="164" spans="1:10" ht="54.95" customHeight="1" x14ac:dyDescent="0.35">
      <c r="A164" s="467">
        <v>60.22</v>
      </c>
      <c r="B164" s="467">
        <f>A164-A162</f>
        <v>1.0799999999999983</v>
      </c>
      <c r="C164" s="243"/>
      <c r="D164" s="244"/>
      <c r="E164" s="476"/>
      <c r="F164" s="476"/>
      <c r="G164" s="476"/>
      <c r="H164" s="477">
        <f>_КВ3Расстояние-A164</f>
        <v>18.579999999999998</v>
      </c>
    </row>
    <row r="165" spans="1:10" ht="54.95" customHeight="1" x14ac:dyDescent="0.25">
      <c r="A165" s="521"/>
      <c r="B165" s="468"/>
      <c r="C165" s="246">
        <f>'Сектор 2 Про'!C163+1</f>
        <v>96</v>
      </c>
      <c r="D165" s="245"/>
      <c r="E165" s="469"/>
      <c r="F165" s="469"/>
      <c r="G165" s="469"/>
      <c r="H165" s="478"/>
    </row>
    <row r="166" spans="1:10" ht="54.95" hidden="1" customHeight="1" x14ac:dyDescent="0.35">
      <c r="A166" s="470">
        <v>60.58</v>
      </c>
      <c r="B166" s="470"/>
      <c r="C166" s="240"/>
      <c r="D166" s="241"/>
      <c r="E166" s="472" t="s">
        <v>443</v>
      </c>
      <c r="F166" s="472"/>
      <c r="G166" s="472"/>
      <c r="H166" s="473"/>
      <c r="J166" s="238" t="s">
        <v>409</v>
      </c>
    </row>
    <row r="167" spans="1:10" ht="54.95" hidden="1" customHeight="1" x14ac:dyDescent="0.25">
      <c r="A167" s="523"/>
      <c r="B167" s="471"/>
      <c r="C167" s="247"/>
      <c r="D167" s="242"/>
      <c r="E167" s="475"/>
      <c r="F167" s="475"/>
      <c r="G167" s="475"/>
      <c r="H167" s="474"/>
    </row>
    <row r="168" spans="1:10" ht="54.95" customHeight="1" x14ac:dyDescent="0.35">
      <c r="A168" s="467">
        <v>61.449999999999996</v>
      </c>
      <c r="B168" s="467">
        <f>A168-A164</f>
        <v>1.2299999999999969</v>
      </c>
      <c r="C168" s="243"/>
      <c r="D168" s="244"/>
      <c r="E168" s="476"/>
      <c r="F168" s="476"/>
      <c r="G168" s="476"/>
      <c r="H168" s="477">
        <f>_КВ3Расстояние-A168</f>
        <v>17.350000000000001</v>
      </c>
    </row>
    <row r="169" spans="1:10" ht="54.95" customHeight="1" x14ac:dyDescent="0.25">
      <c r="A169" s="521"/>
      <c r="B169" s="468"/>
      <c r="C169" s="246">
        <f>'Сектор 2 Про'!C165+1</f>
        <v>97</v>
      </c>
      <c r="D169" s="245"/>
      <c r="E169" s="469"/>
      <c r="F169" s="469"/>
      <c r="G169" s="469"/>
      <c r="H169" s="478"/>
    </row>
    <row r="170" spans="1:10" ht="54.95" customHeight="1" x14ac:dyDescent="0.35">
      <c r="A170" s="467">
        <v>62.51</v>
      </c>
      <c r="B170" s="467">
        <f>A170-A168</f>
        <v>1.0600000000000023</v>
      </c>
      <c r="C170" s="243"/>
      <c r="D170" s="244"/>
      <c r="E170" s="476"/>
      <c r="F170" s="476"/>
      <c r="G170" s="476"/>
      <c r="H170" s="477">
        <f>_КВ3Расстояние-A170</f>
        <v>16.29</v>
      </c>
    </row>
    <row r="171" spans="1:10" ht="54.95" customHeight="1" x14ac:dyDescent="0.25">
      <c r="A171" s="521"/>
      <c r="B171" s="468"/>
      <c r="C171" s="246">
        <f>'Сектор 2 Про'!C169+1</f>
        <v>98</v>
      </c>
      <c r="D171" s="245"/>
      <c r="E171" s="469"/>
      <c r="F171" s="469"/>
      <c r="G171" s="469"/>
      <c r="H171" s="478"/>
    </row>
    <row r="172" spans="1:10" ht="54.95" customHeight="1" x14ac:dyDescent="0.35">
      <c r="A172" s="467">
        <v>64.31</v>
      </c>
      <c r="B172" s="467">
        <f>A172-A170</f>
        <v>1.8000000000000043</v>
      </c>
      <c r="C172" s="243"/>
      <c r="D172" s="244"/>
      <c r="E172" s="476"/>
      <c r="F172" s="476"/>
      <c r="G172" s="476"/>
      <c r="H172" s="477">
        <f>_КВ3Расстояние-A172</f>
        <v>14.489999999999995</v>
      </c>
    </row>
    <row r="173" spans="1:10" ht="54.95" customHeight="1" x14ac:dyDescent="0.25">
      <c r="A173" s="521"/>
      <c r="B173" s="468"/>
      <c r="C173" s="246">
        <f>'Сектор 2 Про'!C171+1</f>
        <v>99</v>
      </c>
      <c r="D173" s="245"/>
      <c r="E173" s="469"/>
      <c r="F173" s="469"/>
      <c r="G173" s="469"/>
      <c r="H173" s="478"/>
    </row>
    <row r="174" spans="1:10" ht="54.95" customHeight="1" x14ac:dyDescent="0.35">
      <c r="A174" s="467">
        <v>77.61</v>
      </c>
      <c r="B174" s="467">
        <f>A174-A172</f>
        <v>13.299999999999997</v>
      </c>
      <c r="C174" s="243"/>
      <c r="D174" s="244"/>
      <c r="E174" s="476" t="s">
        <v>510</v>
      </c>
      <c r="F174" s="476"/>
      <c r="G174" s="476"/>
      <c r="H174" s="477">
        <f>_КВ3Расстояние-A174</f>
        <v>1.1899999999999977</v>
      </c>
    </row>
    <row r="175" spans="1:10" ht="54.95" customHeight="1" x14ac:dyDescent="0.25">
      <c r="A175" s="521"/>
      <c r="B175" s="468"/>
      <c r="C175" s="246">
        <f>'Сектор 2 Про'!C173+1</f>
        <v>100</v>
      </c>
      <c r="D175" s="245"/>
      <c r="E175" s="469"/>
      <c r="F175" s="469"/>
      <c r="G175" s="469"/>
      <c r="H175" s="478"/>
    </row>
    <row r="176" spans="1:10" ht="54.95" customHeight="1" x14ac:dyDescent="0.25">
      <c r="A176" s="467">
        <v>78.290000000000006</v>
      </c>
      <c r="B176" s="467">
        <f>A176-A174</f>
        <v>0.68000000000000682</v>
      </c>
      <c r="C176" s="243"/>
      <c r="D176" s="244"/>
      <c r="E176" s="484"/>
      <c r="F176" s="484"/>
      <c r="G176" s="484"/>
      <c r="H176" s="477">
        <f>_КВ3Расстояние-A176</f>
        <v>0.50999999999999091</v>
      </c>
    </row>
    <row r="177" spans="1:10" ht="54.95" customHeight="1" x14ac:dyDescent="0.25">
      <c r="A177" s="521"/>
      <c r="B177" s="468"/>
      <c r="C177" s="246">
        <f>'Сектор 2 Про'!C175+1</f>
        <v>101</v>
      </c>
      <c r="D177" s="245"/>
      <c r="E177" s="469"/>
      <c r="F177" s="469"/>
      <c r="G177" s="469"/>
      <c r="H177" s="478"/>
    </row>
    <row r="178" spans="1:10" ht="54.95" customHeight="1" x14ac:dyDescent="0.35">
      <c r="A178" s="467">
        <v>78.55</v>
      </c>
      <c r="B178" s="467">
        <f>A178-A176</f>
        <v>0.25999999999999091</v>
      </c>
      <c r="C178" s="243"/>
      <c r="D178" s="244"/>
      <c r="E178" s="476" t="s">
        <v>407</v>
      </c>
      <c r="F178" s="476"/>
      <c r="G178" s="476"/>
      <c r="H178" s="477">
        <f>_КВ3Расстояние-A178</f>
        <v>0.25</v>
      </c>
    </row>
    <row r="179" spans="1:10" ht="54.95" customHeight="1" x14ac:dyDescent="0.25">
      <c r="A179" s="521"/>
      <c r="B179" s="468"/>
      <c r="C179" s="246">
        <f>'Сектор 2 Про'!C177+1</f>
        <v>102</v>
      </c>
      <c r="D179" s="245"/>
      <c r="E179" s="469"/>
      <c r="F179" s="469"/>
      <c r="G179" s="469"/>
      <c r="H179" s="478"/>
    </row>
    <row r="180" spans="1:10" ht="54.95" customHeight="1" x14ac:dyDescent="0.35">
      <c r="A180" s="467">
        <v>78.77</v>
      </c>
      <c r="B180" s="467">
        <f>A180-A178</f>
        <v>0.21999999999999886</v>
      </c>
      <c r="C180" s="243"/>
      <c r="D180" s="244"/>
      <c r="E180" s="476"/>
      <c r="F180" s="476"/>
      <c r="G180" s="476"/>
      <c r="H180" s="477">
        <f>_КВ3Расстояние-A180</f>
        <v>3.0000000000001137E-2</v>
      </c>
    </row>
    <row r="181" spans="1:10" ht="54.95" customHeight="1" x14ac:dyDescent="0.25">
      <c r="A181" s="521"/>
      <c r="B181" s="468"/>
      <c r="C181" s="246">
        <f>'Сектор 2 Про'!C179+1</f>
        <v>103</v>
      </c>
      <c r="D181" s="245"/>
      <c r="E181" s="469"/>
      <c r="F181" s="469"/>
      <c r="G181" s="469"/>
      <c r="H181" s="478"/>
    </row>
    <row r="182" spans="1:10" ht="54.95" customHeight="1" x14ac:dyDescent="0.35">
      <c r="A182" s="467">
        <v>78.8</v>
      </c>
      <c r="B182" s="467">
        <f>A182-A180</f>
        <v>3.0000000000001137E-2</v>
      </c>
      <c r="C182" s="243"/>
      <c r="D182" s="244"/>
      <c r="E182" s="508" t="str">
        <f>_КВ3</f>
        <v>КВ-3 Финиш</v>
      </c>
      <c r="F182" s="508"/>
      <c r="G182" s="508"/>
      <c r="H182" s="477">
        <f>_КВ3Расстояние-A182</f>
        <v>0</v>
      </c>
      <c r="J182" s="238" t="s">
        <v>469</v>
      </c>
    </row>
    <row r="183" spans="1:10" ht="54.95" customHeight="1" x14ac:dyDescent="0.25">
      <c r="A183" s="521"/>
      <c r="B183" s="468"/>
      <c r="C183" s="246">
        <f>'Сектор 2 Про'!C181+1</f>
        <v>104</v>
      </c>
      <c r="D183" s="245"/>
      <c r="E183" s="537" t="s">
        <v>509</v>
      </c>
      <c r="F183" s="537"/>
      <c r="G183" s="537"/>
      <c r="H183" s="478"/>
    </row>
    <row r="184" spans="1:10" ht="110.1" customHeight="1" x14ac:dyDescent="0.25">
      <c r="A184" s="534" t="s">
        <v>480</v>
      </c>
      <c r="B184" s="535"/>
      <c r="C184" s="535"/>
      <c r="D184" s="535"/>
      <c r="E184" s="535"/>
      <c r="F184" s="535"/>
      <c r="G184" s="535"/>
      <c r="H184" s="536"/>
    </row>
    <row r="185" spans="1:10" ht="110.1" customHeight="1" x14ac:dyDescent="0.25">
      <c r="A185" s="528"/>
      <c r="B185" s="529"/>
      <c r="C185" s="529"/>
      <c r="D185" s="529"/>
      <c r="E185" s="529"/>
      <c r="F185" s="529"/>
      <c r="G185" s="529"/>
      <c r="H185" s="530"/>
    </row>
    <row r="186" spans="1:10" ht="110.1" customHeight="1" x14ac:dyDescent="0.25">
      <c r="A186" s="528"/>
      <c r="B186" s="529"/>
      <c r="C186" s="529"/>
      <c r="D186" s="529"/>
      <c r="E186" s="529"/>
      <c r="F186" s="529"/>
      <c r="G186" s="529"/>
      <c r="H186" s="530"/>
    </row>
    <row r="187" spans="1:10" ht="110.1" customHeight="1" x14ac:dyDescent="0.25">
      <c r="A187" s="528"/>
      <c r="B187" s="529"/>
      <c r="C187" s="529"/>
      <c r="D187" s="529"/>
      <c r="E187" s="529"/>
      <c r="F187" s="529"/>
      <c r="G187" s="529"/>
      <c r="H187" s="530"/>
    </row>
    <row r="188" spans="1:10" ht="110.1" customHeight="1" x14ac:dyDescent="0.25">
      <c r="A188" s="528"/>
      <c r="B188" s="529"/>
      <c r="C188" s="529"/>
      <c r="D188" s="529"/>
      <c r="E188" s="529"/>
      <c r="F188" s="529"/>
      <c r="G188" s="529"/>
      <c r="H188" s="530"/>
    </row>
    <row r="189" spans="1:10" ht="110.1" customHeight="1" x14ac:dyDescent="0.25">
      <c r="A189" s="531"/>
      <c r="B189" s="532"/>
      <c r="C189" s="532"/>
      <c r="D189" s="532"/>
      <c r="E189" s="532"/>
      <c r="F189" s="532"/>
      <c r="G189" s="532"/>
      <c r="H189" s="533"/>
    </row>
  </sheetData>
  <mergeCells count="453">
    <mergeCell ref="A185:H185"/>
    <mergeCell ref="A186:H186"/>
    <mergeCell ref="A187:H187"/>
    <mergeCell ref="A188:H188"/>
    <mergeCell ref="A189:H189"/>
    <mergeCell ref="A184:H184"/>
    <mergeCell ref="A148:A149"/>
    <mergeCell ref="B148:B149"/>
    <mergeCell ref="E148:G148"/>
    <mergeCell ref="H148:H149"/>
    <mergeCell ref="E149:G149"/>
    <mergeCell ref="A182:A183"/>
    <mergeCell ref="B182:B183"/>
    <mergeCell ref="E182:G182"/>
    <mergeCell ref="H182:H183"/>
    <mergeCell ref="E183:G183"/>
    <mergeCell ref="A160:A161"/>
    <mergeCell ref="A162:A163"/>
    <mergeCell ref="A164:A165"/>
    <mergeCell ref="E175:G175"/>
    <mergeCell ref="A170:A171"/>
    <mergeCell ref="E153:G153"/>
    <mergeCell ref="B156:B157"/>
    <mergeCell ref="E156:G156"/>
    <mergeCell ref="A142:A143"/>
    <mergeCell ref="A136:A137"/>
    <mergeCell ref="E144:G144"/>
    <mergeCell ref="H144:H145"/>
    <mergeCell ref="E145:G145"/>
    <mergeCell ref="A146:A147"/>
    <mergeCell ref="B146:B147"/>
    <mergeCell ref="A140:A141"/>
    <mergeCell ref="A154:A155"/>
    <mergeCell ref="B154:B155"/>
    <mergeCell ref="E154:G154"/>
    <mergeCell ref="H154:H155"/>
    <mergeCell ref="E155:G155"/>
    <mergeCell ref="A138:A139"/>
    <mergeCell ref="B138:B139"/>
    <mergeCell ref="E138:G138"/>
    <mergeCell ref="H138:H139"/>
    <mergeCell ref="E139:G139"/>
    <mergeCell ref="A144:A145"/>
    <mergeCell ref="B144:B145"/>
    <mergeCell ref="A152:A153"/>
    <mergeCell ref="B152:B153"/>
    <mergeCell ref="E152:G152"/>
    <mergeCell ref="H152:H153"/>
    <mergeCell ref="A122:A123"/>
    <mergeCell ref="B122:B123"/>
    <mergeCell ref="E122:G122"/>
    <mergeCell ref="B76:B77"/>
    <mergeCell ref="E76:G76"/>
    <mergeCell ref="H76:H77"/>
    <mergeCell ref="E38:G38"/>
    <mergeCell ref="H38:H39"/>
    <mergeCell ref="E39:G39"/>
    <mergeCell ref="E113:G113"/>
    <mergeCell ref="A70:A71"/>
    <mergeCell ref="B70:B71"/>
    <mergeCell ref="E70:G70"/>
    <mergeCell ref="H70:H71"/>
    <mergeCell ref="E71:G71"/>
    <mergeCell ref="A78:A79"/>
    <mergeCell ref="B78:B79"/>
    <mergeCell ref="E78:G78"/>
    <mergeCell ref="H78:H79"/>
    <mergeCell ref="A72:A73"/>
    <mergeCell ref="B72:B73"/>
    <mergeCell ref="E72:G72"/>
    <mergeCell ref="H72:H73"/>
    <mergeCell ref="E73:G73"/>
    <mergeCell ref="H98:H99"/>
    <mergeCell ref="E99:G99"/>
    <mergeCell ref="A100:A101"/>
    <mergeCell ref="B100:B101"/>
    <mergeCell ref="E100:G100"/>
    <mergeCell ref="H100:H101"/>
    <mergeCell ref="A134:A135"/>
    <mergeCell ref="A40:A41"/>
    <mergeCell ref="B40:B41"/>
    <mergeCell ref="E40:G40"/>
    <mergeCell ref="H40:H41"/>
    <mergeCell ref="E41:G41"/>
    <mergeCell ref="A132:A133"/>
    <mergeCell ref="B132:B133"/>
    <mergeCell ref="E132:G132"/>
    <mergeCell ref="H132:H133"/>
    <mergeCell ref="E133:G133"/>
    <mergeCell ref="A130:A131"/>
    <mergeCell ref="B130:B131"/>
    <mergeCell ref="E130:G130"/>
    <mergeCell ref="H130:H131"/>
    <mergeCell ref="E131:G131"/>
    <mergeCell ref="H120:H121"/>
    <mergeCell ref="E121:G121"/>
    <mergeCell ref="A114:A115"/>
    <mergeCell ref="B114:B115"/>
    <mergeCell ref="A116:A117"/>
    <mergeCell ref="B116:B117"/>
    <mergeCell ref="E116:G116"/>
    <mergeCell ref="H116:H117"/>
    <mergeCell ref="E117:G117"/>
    <mergeCell ref="E106:G106"/>
    <mergeCell ref="H106:H107"/>
    <mergeCell ref="E109:G109"/>
    <mergeCell ref="A110:A111"/>
    <mergeCell ref="B110:B111"/>
    <mergeCell ref="E110:G110"/>
    <mergeCell ref="H110:H111"/>
    <mergeCell ref="E111:G111"/>
    <mergeCell ref="A112:A113"/>
    <mergeCell ref="B112:B113"/>
    <mergeCell ref="E107:G107"/>
    <mergeCell ref="A108:A109"/>
    <mergeCell ref="B108:B109"/>
    <mergeCell ref="E108:G108"/>
    <mergeCell ref="H108:H109"/>
    <mergeCell ref="A128:A129"/>
    <mergeCell ref="B128:B129"/>
    <mergeCell ref="A126:A127"/>
    <mergeCell ref="B126:B127"/>
    <mergeCell ref="E126:G126"/>
    <mergeCell ref="H126:H127"/>
    <mergeCell ref="E127:G127"/>
    <mergeCell ref="A118:A119"/>
    <mergeCell ref="B118:B119"/>
    <mergeCell ref="E118:G118"/>
    <mergeCell ref="H118:H119"/>
    <mergeCell ref="E119:G119"/>
    <mergeCell ref="E125:G125"/>
    <mergeCell ref="A120:A121"/>
    <mergeCell ref="B120:B121"/>
    <mergeCell ref="E120:G120"/>
    <mergeCell ref="H124:H125"/>
    <mergeCell ref="H122:H123"/>
    <mergeCell ref="E123:G123"/>
    <mergeCell ref="A124:A125"/>
    <mergeCell ref="B124:B125"/>
    <mergeCell ref="E124:G124"/>
    <mergeCell ref="E128:G128"/>
    <mergeCell ref="H128:H129"/>
    <mergeCell ref="E101:G101"/>
    <mergeCell ref="A104:A105"/>
    <mergeCell ref="B104:B105"/>
    <mergeCell ref="E104:G104"/>
    <mergeCell ref="H104:H105"/>
    <mergeCell ref="E105:G105"/>
    <mergeCell ref="A102:A103"/>
    <mergeCell ref="B102:B103"/>
    <mergeCell ref="E102:G102"/>
    <mergeCell ref="H102:H103"/>
    <mergeCell ref="E103:G103"/>
    <mergeCell ref="H96:H97"/>
    <mergeCell ref="E97:G97"/>
    <mergeCell ref="A42:A43"/>
    <mergeCell ref="B42:B43"/>
    <mergeCell ref="E42:G42"/>
    <mergeCell ref="H42:H43"/>
    <mergeCell ref="E43:G43"/>
    <mergeCell ref="A68:A69"/>
    <mergeCell ref="B68:B69"/>
    <mergeCell ref="E68:G68"/>
    <mergeCell ref="H68:H69"/>
    <mergeCell ref="E69:G69"/>
    <mergeCell ref="A58:A59"/>
    <mergeCell ref="B58:B59"/>
    <mergeCell ref="E58:G58"/>
    <mergeCell ref="H58:H59"/>
    <mergeCell ref="E59:G59"/>
    <mergeCell ref="A88:A89"/>
    <mergeCell ref="B88:B89"/>
    <mergeCell ref="E88:G88"/>
    <mergeCell ref="H88:H89"/>
    <mergeCell ref="H92:H93"/>
    <mergeCell ref="E93:G93"/>
    <mergeCell ref="B94:B95"/>
    <mergeCell ref="E37:G37"/>
    <mergeCell ref="A56:A57"/>
    <mergeCell ref="B56:B57"/>
    <mergeCell ref="E56:G56"/>
    <mergeCell ref="H56:H57"/>
    <mergeCell ref="E57:G57"/>
    <mergeCell ref="A46:A47"/>
    <mergeCell ref="B46:B47"/>
    <mergeCell ref="E46:G46"/>
    <mergeCell ref="H46:H47"/>
    <mergeCell ref="E47:G47"/>
    <mergeCell ref="A52:A53"/>
    <mergeCell ref="A38:A39"/>
    <mergeCell ref="B38:B39"/>
    <mergeCell ref="B52:B53"/>
    <mergeCell ref="E52:G52"/>
    <mergeCell ref="H52:H53"/>
    <mergeCell ref="E53:G53"/>
    <mergeCell ref="A54:A55"/>
    <mergeCell ref="B54:B55"/>
    <mergeCell ref="E54:G54"/>
    <mergeCell ref="H54:H55"/>
    <mergeCell ref="E55:G55"/>
    <mergeCell ref="A48:A49"/>
    <mergeCell ref="A34:A35"/>
    <mergeCell ref="B34:B35"/>
    <mergeCell ref="E34:G34"/>
    <mergeCell ref="H34:H35"/>
    <mergeCell ref="E35:G35"/>
    <mergeCell ref="A80:A81"/>
    <mergeCell ref="B80:B81"/>
    <mergeCell ref="E80:G80"/>
    <mergeCell ref="H80:H81"/>
    <mergeCell ref="E81:G81"/>
    <mergeCell ref="A44:A45"/>
    <mergeCell ref="B44:B45"/>
    <mergeCell ref="E44:G44"/>
    <mergeCell ref="H44:H45"/>
    <mergeCell ref="E45:G45"/>
    <mergeCell ref="A36:A37"/>
    <mergeCell ref="B36:B37"/>
    <mergeCell ref="E36:G36"/>
    <mergeCell ref="H36:H37"/>
    <mergeCell ref="B48:B49"/>
    <mergeCell ref="E48:G48"/>
    <mergeCell ref="H48:H49"/>
    <mergeCell ref="E49:G49"/>
    <mergeCell ref="A50:A51"/>
    <mergeCell ref="A30:A31"/>
    <mergeCell ref="B30:B31"/>
    <mergeCell ref="E30:G30"/>
    <mergeCell ref="H30:H31"/>
    <mergeCell ref="E31:G31"/>
    <mergeCell ref="A32:A33"/>
    <mergeCell ref="B32:B33"/>
    <mergeCell ref="E32:G32"/>
    <mergeCell ref="H32:H33"/>
    <mergeCell ref="E33:G33"/>
    <mergeCell ref="A26:A27"/>
    <mergeCell ref="B26:B27"/>
    <mergeCell ref="E26:G26"/>
    <mergeCell ref="H26:H27"/>
    <mergeCell ref="E27:G27"/>
    <mergeCell ref="A28:A29"/>
    <mergeCell ref="B28:B29"/>
    <mergeCell ref="E28:G28"/>
    <mergeCell ref="H28:H29"/>
    <mergeCell ref="E29:G29"/>
    <mergeCell ref="A22:A23"/>
    <mergeCell ref="B22:B23"/>
    <mergeCell ref="E22:G22"/>
    <mergeCell ref="H22:H23"/>
    <mergeCell ref="E23:G23"/>
    <mergeCell ref="A24:A25"/>
    <mergeCell ref="B24:B25"/>
    <mergeCell ref="E24:G24"/>
    <mergeCell ref="H24:H25"/>
    <mergeCell ref="E25:G25"/>
    <mergeCell ref="A18:A19"/>
    <mergeCell ref="B18:B19"/>
    <mergeCell ref="E18:G18"/>
    <mergeCell ref="H18:H19"/>
    <mergeCell ref="E19:G19"/>
    <mergeCell ref="A20:A21"/>
    <mergeCell ref="B20:B21"/>
    <mergeCell ref="E20:G20"/>
    <mergeCell ref="H20:H21"/>
    <mergeCell ref="E21:G21"/>
    <mergeCell ref="B14:B15"/>
    <mergeCell ref="E14:G14"/>
    <mergeCell ref="H14:H15"/>
    <mergeCell ref="E15:G15"/>
    <mergeCell ref="A16:A17"/>
    <mergeCell ref="B16:B17"/>
    <mergeCell ref="E16:G16"/>
    <mergeCell ref="H16:H17"/>
    <mergeCell ref="E17:G17"/>
    <mergeCell ref="A14:A15"/>
    <mergeCell ref="A1:B2"/>
    <mergeCell ref="F1:F2"/>
    <mergeCell ref="G1:G2"/>
    <mergeCell ref="H1:H2"/>
    <mergeCell ref="A3:B4"/>
    <mergeCell ref="F3:F4"/>
    <mergeCell ref="G3:G4"/>
    <mergeCell ref="H3:H4"/>
    <mergeCell ref="A8:B8"/>
    <mergeCell ref="C8:D9"/>
    <mergeCell ref="E8:G9"/>
    <mergeCell ref="H8:H9"/>
    <mergeCell ref="A10:A11"/>
    <mergeCell ref="B10:B11"/>
    <mergeCell ref="E10:G10"/>
    <mergeCell ref="H10:H11"/>
    <mergeCell ref="E11:G11"/>
    <mergeCell ref="A12:A13"/>
    <mergeCell ref="B12:B13"/>
    <mergeCell ref="E12:G12"/>
    <mergeCell ref="H12:H13"/>
    <mergeCell ref="E13:G13"/>
    <mergeCell ref="H82:H83"/>
    <mergeCell ref="E83:G83"/>
    <mergeCell ref="A84:A85"/>
    <mergeCell ref="B84:B85"/>
    <mergeCell ref="E84:G84"/>
    <mergeCell ref="H84:H85"/>
    <mergeCell ref="E85:G85"/>
    <mergeCell ref="B74:B75"/>
    <mergeCell ref="E74:G74"/>
    <mergeCell ref="H74:H75"/>
    <mergeCell ref="E75:G75"/>
    <mergeCell ref="E79:G79"/>
    <mergeCell ref="A76:A77"/>
    <mergeCell ref="E77:G77"/>
    <mergeCell ref="A74:A75"/>
    <mergeCell ref="A82:A83"/>
    <mergeCell ref="B82:B83"/>
    <mergeCell ref="E82:G82"/>
    <mergeCell ref="B50:B51"/>
    <mergeCell ref="E50:G50"/>
    <mergeCell ref="H50:H51"/>
    <mergeCell ref="E51:G51"/>
    <mergeCell ref="A60:A61"/>
    <mergeCell ref="B60:B61"/>
    <mergeCell ref="E60:G60"/>
    <mergeCell ref="H60:H61"/>
    <mergeCell ref="E61:G61"/>
    <mergeCell ref="A66:A67"/>
    <mergeCell ref="B66:B67"/>
    <mergeCell ref="E66:G66"/>
    <mergeCell ref="H66:H67"/>
    <mergeCell ref="E67:G67"/>
    <mergeCell ref="A62:A63"/>
    <mergeCell ref="B62:B63"/>
    <mergeCell ref="E62:G62"/>
    <mergeCell ref="H62:H63"/>
    <mergeCell ref="E63:G63"/>
    <mergeCell ref="A64:A65"/>
    <mergeCell ref="B64:B65"/>
    <mergeCell ref="E64:G64"/>
    <mergeCell ref="H64:H65"/>
    <mergeCell ref="E65:G65"/>
    <mergeCell ref="E89:G89"/>
    <mergeCell ref="A94:A95"/>
    <mergeCell ref="A92:A93"/>
    <mergeCell ref="B92:B93"/>
    <mergeCell ref="E92:G92"/>
    <mergeCell ref="A96:A97"/>
    <mergeCell ref="B96:B97"/>
    <mergeCell ref="E96:G96"/>
    <mergeCell ref="A86:A87"/>
    <mergeCell ref="B86:B87"/>
    <mergeCell ref="E86:G86"/>
    <mergeCell ref="E94:G94"/>
    <mergeCell ref="E91:G91"/>
    <mergeCell ref="E95:G95"/>
    <mergeCell ref="A90:A91"/>
    <mergeCell ref="B90:B91"/>
    <mergeCell ref="E90:G90"/>
    <mergeCell ref="A98:A99"/>
    <mergeCell ref="B98:B99"/>
    <mergeCell ref="E98:G98"/>
    <mergeCell ref="A106:A107"/>
    <mergeCell ref="B106:B107"/>
    <mergeCell ref="A180:A181"/>
    <mergeCell ref="B180:B181"/>
    <mergeCell ref="E180:G180"/>
    <mergeCell ref="H180:H181"/>
    <mergeCell ref="E181:G181"/>
    <mergeCell ref="A172:A173"/>
    <mergeCell ref="A176:A177"/>
    <mergeCell ref="B176:B177"/>
    <mergeCell ref="E176:G176"/>
    <mergeCell ref="H176:H177"/>
    <mergeCell ref="E177:G177"/>
    <mergeCell ref="B172:B173"/>
    <mergeCell ref="E172:G172"/>
    <mergeCell ref="H172:H173"/>
    <mergeCell ref="E173:G173"/>
    <mergeCell ref="A174:A175"/>
    <mergeCell ref="B174:B175"/>
    <mergeCell ref="E174:G174"/>
    <mergeCell ref="H174:H175"/>
    <mergeCell ref="A178:A179"/>
    <mergeCell ref="B178:B179"/>
    <mergeCell ref="E178:G178"/>
    <mergeCell ref="H178:H179"/>
    <mergeCell ref="E179:G179"/>
    <mergeCell ref="A166:A167"/>
    <mergeCell ref="B166:B167"/>
    <mergeCell ref="E166:G166"/>
    <mergeCell ref="H166:H167"/>
    <mergeCell ref="E167:G167"/>
    <mergeCell ref="B170:B171"/>
    <mergeCell ref="E170:G170"/>
    <mergeCell ref="H170:H171"/>
    <mergeCell ref="E171:G171"/>
    <mergeCell ref="A150:A151"/>
    <mergeCell ref="B168:B169"/>
    <mergeCell ref="E168:G168"/>
    <mergeCell ref="H168:H169"/>
    <mergeCell ref="E169:G169"/>
    <mergeCell ref="A168:A169"/>
    <mergeCell ref="E150:G150"/>
    <mergeCell ref="H150:H151"/>
    <mergeCell ref="E151:G151"/>
    <mergeCell ref="B150:B151"/>
    <mergeCell ref="H156:H157"/>
    <mergeCell ref="E157:G157"/>
    <mergeCell ref="A158:A159"/>
    <mergeCell ref="E161:G161"/>
    <mergeCell ref="A156:A157"/>
    <mergeCell ref="B162:B163"/>
    <mergeCell ref="E162:G162"/>
    <mergeCell ref="H162:H163"/>
    <mergeCell ref="E163:G163"/>
    <mergeCell ref="E146:G146"/>
    <mergeCell ref="H146:H147"/>
    <mergeCell ref="E147:G147"/>
    <mergeCell ref="B134:B135"/>
    <mergeCell ref="E134:G134"/>
    <mergeCell ref="H134:H135"/>
    <mergeCell ref="E135:G135"/>
    <mergeCell ref="B136:B137"/>
    <mergeCell ref="E136:G136"/>
    <mergeCell ref="H136:H137"/>
    <mergeCell ref="E143:G143"/>
    <mergeCell ref="E137:G137"/>
    <mergeCell ref="B140:B141"/>
    <mergeCell ref="E140:G140"/>
    <mergeCell ref="H140:H141"/>
    <mergeCell ref="E141:G141"/>
    <mergeCell ref="H86:H87"/>
    <mergeCell ref="E87:G87"/>
    <mergeCell ref="B160:B161"/>
    <mergeCell ref="B164:B165"/>
    <mergeCell ref="E164:G164"/>
    <mergeCell ref="H164:H165"/>
    <mergeCell ref="E165:G165"/>
    <mergeCell ref="E160:G160"/>
    <mergeCell ref="H160:H161"/>
    <mergeCell ref="E112:G112"/>
    <mergeCell ref="H112:H113"/>
    <mergeCell ref="E114:G114"/>
    <mergeCell ref="H114:H115"/>
    <mergeCell ref="E115:G115"/>
    <mergeCell ref="B142:B143"/>
    <mergeCell ref="E142:G142"/>
    <mergeCell ref="H142:H143"/>
    <mergeCell ref="B158:B159"/>
    <mergeCell ref="E158:G158"/>
    <mergeCell ref="H158:H159"/>
    <mergeCell ref="E159:G159"/>
    <mergeCell ref="E129:G129"/>
    <mergeCell ref="H90:H91"/>
    <mergeCell ref="H94:H95"/>
  </mergeCells>
  <conditionalFormatting sqref="J182:J183 J1:J33 J42:J43 J190:J1048576">
    <cfRule type="containsText" dxfId="96" priority="201" operator="containsText" text="скр">
      <formula>NOT(ISERROR(SEARCH("скр",J1)))</formula>
    </cfRule>
  </conditionalFormatting>
  <conditionalFormatting sqref="J80:J81">
    <cfRule type="containsText" dxfId="95" priority="166" operator="containsText" text="скр">
      <formula>NOT(ISERROR(SEARCH("скр",J80)))</formula>
    </cfRule>
  </conditionalFormatting>
  <conditionalFormatting sqref="J34:J35">
    <cfRule type="containsText" dxfId="94" priority="165" operator="containsText" text="скр">
      <formula>NOT(ISERROR(SEARCH("скр",J34)))</formula>
    </cfRule>
  </conditionalFormatting>
  <conditionalFormatting sqref="J36:J37">
    <cfRule type="containsText" dxfId="93" priority="164" operator="containsText" text="скр">
      <formula>NOT(ISERROR(SEARCH("скр",J36)))</formula>
    </cfRule>
  </conditionalFormatting>
  <conditionalFormatting sqref="J44:J45">
    <cfRule type="containsText" dxfId="92" priority="163" operator="containsText" text="скр">
      <formula>NOT(ISERROR(SEARCH("скр",J44)))</formula>
    </cfRule>
  </conditionalFormatting>
  <conditionalFormatting sqref="J54:J55">
    <cfRule type="containsText" dxfId="91" priority="162" operator="containsText" text="скр">
      <formula>NOT(ISERROR(SEARCH("скр",J54)))</formula>
    </cfRule>
  </conditionalFormatting>
  <conditionalFormatting sqref="J52:J53">
    <cfRule type="containsText" dxfId="90" priority="161" operator="containsText" text="скр">
      <formula>NOT(ISERROR(SEARCH("скр",J52)))</formula>
    </cfRule>
  </conditionalFormatting>
  <conditionalFormatting sqref="J46:J47">
    <cfRule type="containsText" dxfId="89" priority="160" operator="containsText" text="скр">
      <formula>NOT(ISERROR(SEARCH("скр",J46)))</formula>
    </cfRule>
  </conditionalFormatting>
  <conditionalFormatting sqref="J56:J57">
    <cfRule type="containsText" dxfId="88" priority="159" operator="containsText" text="скр">
      <formula>NOT(ISERROR(SEARCH("скр",J56)))</formula>
    </cfRule>
  </conditionalFormatting>
  <conditionalFormatting sqref="J58:J59">
    <cfRule type="containsText" dxfId="87" priority="157" operator="containsText" text="скр">
      <formula>NOT(ISERROR(SEARCH("скр",J58)))</formula>
    </cfRule>
  </conditionalFormatting>
  <conditionalFormatting sqref="J62:J63">
    <cfRule type="containsText" dxfId="86" priority="156" operator="containsText" text="скр">
      <formula>NOT(ISERROR(SEARCH("скр",J62)))</formula>
    </cfRule>
  </conditionalFormatting>
  <conditionalFormatting sqref="J73">
    <cfRule type="containsText" dxfId="85" priority="155" operator="containsText" text="скр">
      <formula>NOT(ISERROR(SEARCH("скр",J73)))</formula>
    </cfRule>
  </conditionalFormatting>
  <conditionalFormatting sqref="J77">
    <cfRule type="containsText" dxfId="84" priority="154" operator="containsText" text="скр">
      <formula>NOT(ISERROR(SEARCH("скр",J77)))</formula>
    </cfRule>
  </conditionalFormatting>
  <conditionalFormatting sqref="J89">
    <cfRule type="containsText" dxfId="83" priority="152" operator="containsText" text="скр">
      <formula>NOT(ISERROR(SEARCH("скр",J89)))</formula>
    </cfRule>
  </conditionalFormatting>
  <conditionalFormatting sqref="J48:J49">
    <cfRule type="containsText" dxfId="82" priority="142" operator="containsText" text="скр">
      <formula>NOT(ISERROR(SEARCH("скр",J48)))</formula>
    </cfRule>
  </conditionalFormatting>
  <conditionalFormatting sqref="J51">
    <cfRule type="containsText" dxfId="81" priority="141" operator="containsText" text="скр">
      <formula>NOT(ISERROR(SEARCH("скр",J51)))</formula>
    </cfRule>
  </conditionalFormatting>
  <conditionalFormatting sqref="J50">
    <cfRule type="containsText" dxfId="80" priority="140" operator="containsText" text="скр">
      <formula>NOT(ISERROR(SEARCH("скр",J50)))</formula>
    </cfRule>
  </conditionalFormatting>
  <conditionalFormatting sqref="J72">
    <cfRule type="containsText" dxfId="79" priority="139" operator="containsText" text="скр">
      <formula>NOT(ISERROR(SEARCH("скр",J72)))</formula>
    </cfRule>
  </conditionalFormatting>
  <conditionalFormatting sqref="J76">
    <cfRule type="containsText" dxfId="78" priority="136" operator="containsText" text="скр">
      <formula>NOT(ISERROR(SEARCH("скр",J76)))</formula>
    </cfRule>
  </conditionalFormatting>
  <conditionalFormatting sqref="J88">
    <cfRule type="containsText" dxfId="77" priority="134" operator="containsText" text="скр">
      <formula>NOT(ISERROR(SEARCH("скр",J88)))</formula>
    </cfRule>
  </conditionalFormatting>
  <conditionalFormatting sqref="J60:J61">
    <cfRule type="containsText" dxfId="76" priority="132" operator="containsText" text="скр">
      <formula>NOT(ISERROR(SEARCH("скр",J60)))</formula>
    </cfRule>
  </conditionalFormatting>
  <conditionalFormatting sqref="J66:J67">
    <cfRule type="containsText" dxfId="75" priority="131" operator="containsText" text="скр">
      <formula>NOT(ISERROR(SEARCH("скр",J66)))</formula>
    </cfRule>
  </conditionalFormatting>
  <conditionalFormatting sqref="J68:J69">
    <cfRule type="containsText" dxfId="74" priority="130" operator="containsText" text="скр">
      <formula>NOT(ISERROR(SEARCH("скр",J68)))</formula>
    </cfRule>
  </conditionalFormatting>
  <conditionalFormatting sqref="J74:J75">
    <cfRule type="containsText" dxfId="73" priority="129" operator="containsText" text="скр">
      <formula>NOT(ISERROR(SEARCH("скр",J74)))</formula>
    </cfRule>
  </conditionalFormatting>
  <conditionalFormatting sqref="J82:J83">
    <cfRule type="containsText" dxfId="72" priority="128" operator="containsText" text="скр">
      <formula>NOT(ISERROR(SEARCH("скр",J82)))</formula>
    </cfRule>
  </conditionalFormatting>
  <conditionalFormatting sqref="J84:J85">
    <cfRule type="containsText" dxfId="71" priority="127" operator="containsText" text="скр">
      <formula>NOT(ISERROR(SEARCH("скр",J84)))</formula>
    </cfRule>
  </conditionalFormatting>
  <conditionalFormatting sqref="J166:J167">
    <cfRule type="containsText" dxfId="70" priority="120" operator="containsText" text="скр">
      <formula>NOT(ISERROR(SEARCH("скр",J166)))</formula>
    </cfRule>
  </conditionalFormatting>
  <conditionalFormatting sqref="J134:J135">
    <cfRule type="containsText" dxfId="69" priority="116" operator="containsText" text="скр">
      <formula>NOT(ISERROR(SEARCH("скр",J134)))</formula>
    </cfRule>
  </conditionalFormatting>
  <conditionalFormatting sqref="J137">
    <cfRule type="containsText" dxfId="68" priority="115" operator="containsText" text="скр">
      <formula>NOT(ISERROR(SEARCH("скр",J137)))</formula>
    </cfRule>
  </conditionalFormatting>
  <conditionalFormatting sqref="J136">
    <cfRule type="containsText" dxfId="67" priority="114" operator="containsText" text="скр">
      <formula>NOT(ISERROR(SEARCH("скр",J136)))</formula>
    </cfRule>
  </conditionalFormatting>
  <conditionalFormatting sqref="J141">
    <cfRule type="containsText" dxfId="66" priority="113" operator="containsText" text="скр">
      <formula>NOT(ISERROR(SEARCH("скр",J141)))</formula>
    </cfRule>
  </conditionalFormatting>
  <conditionalFormatting sqref="J140">
    <cfRule type="containsText" dxfId="65" priority="112" operator="containsText" text="скр">
      <formula>NOT(ISERROR(SEARCH("скр",J140)))</formula>
    </cfRule>
  </conditionalFormatting>
  <conditionalFormatting sqref="J143">
    <cfRule type="containsText" dxfId="64" priority="111" operator="containsText" text="скр">
      <formula>NOT(ISERROR(SEARCH("скр",J143)))</formula>
    </cfRule>
  </conditionalFormatting>
  <conditionalFormatting sqref="J142">
    <cfRule type="containsText" dxfId="63" priority="110" operator="containsText" text="скр">
      <formula>NOT(ISERROR(SEARCH("скр",J142)))</formula>
    </cfRule>
  </conditionalFormatting>
  <conditionalFormatting sqref="J145">
    <cfRule type="containsText" dxfId="62" priority="109" operator="containsText" text="скр">
      <formula>NOT(ISERROR(SEARCH("скр",J145)))</formula>
    </cfRule>
  </conditionalFormatting>
  <conditionalFormatting sqref="J144">
    <cfRule type="containsText" dxfId="61" priority="108" operator="containsText" text="скр">
      <formula>NOT(ISERROR(SEARCH("скр",J144)))</formula>
    </cfRule>
  </conditionalFormatting>
  <conditionalFormatting sqref="J147">
    <cfRule type="containsText" dxfId="60" priority="107" operator="containsText" text="скр">
      <formula>NOT(ISERROR(SEARCH("скр",J147)))</formula>
    </cfRule>
  </conditionalFormatting>
  <conditionalFormatting sqref="J146">
    <cfRule type="containsText" dxfId="59" priority="106" operator="containsText" text="скр">
      <formula>NOT(ISERROR(SEARCH("скр",J146)))</formula>
    </cfRule>
  </conditionalFormatting>
  <conditionalFormatting sqref="J151">
    <cfRule type="containsText" dxfId="58" priority="103" operator="containsText" text="скр">
      <formula>NOT(ISERROR(SEARCH("скр",J151)))</formula>
    </cfRule>
  </conditionalFormatting>
  <conditionalFormatting sqref="J150">
    <cfRule type="containsText" dxfId="57" priority="102" operator="containsText" text="скр">
      <formula>NOT(ISERROR(SEARCH("скр",J150)))</formula>
    </cfRule>
  </conditionalFormatting>
  <conditionalFormatting sqref="J152:J153">
    <cfRule type="containsText" dxfId="56" priority="101" operator="containsText" text="скр">
      <formula>NOT(ISERROR(SEARCH("скр",J152)))</formula>
    </cfRule>
  </conditionalFormatting>
  <conditionalFormatting sqref="J155">
    <cfRule type="containsText" dxfId="55" priority="89" operator="containsText" text="скр">
      <formula>NOT(ISERROR(SEARCH("скр",J155)))</formula>
    </cfRule>
  </conditionalFormatting>
  <conditionalFormatting sqref="J154">
    <cfRule type="containsText" dxfId="54" priority="88" operator="containsText" text="скр">
      <formula>NOT(ISERROR(SEARCH("скр",J154)))</formula>
    </cfRule>
  </conditionalFormatting>
  <conditionalFormatting sqref="J175">
    <cfRule type="containsText" dxfId="53" priority="87" operator="containsText" text="скр">
      <formula>NOT(ISERROR(SEARCH("скр",J175)))</formula>
    </cfRule>
  </conditionalFormatting>
  <conditionalFormatting sqref="J174">
    <cfRule type="containsText" dxfId="52" priority="86" operator="containsText" text="скр">
      <formula>NOT(ISERROR(SEARCH("скр",J174)))</formula>
    </cfRule>
  </conditionalFormatting>
  <conditionalFormatting sqref="J176:J181">
    <cfRule type="containsText" dxfId="51" priority="85" operator="containsText" text="скр">
      <formula>NOT(ISERROR(SEARCH("скр",J176)))</formula>
    </cfRule>
  </conditionalFormatting>
  <conditionalFormatting sqref="J156:J157">
    <cfRule type="containsText" dxfId="50" priority="83" operator="containsText" text="скр">
      <formula>NOT(ISERROR(SEARCH("скр",J156)))</formula>
    </cfRule>
  </conditionalFormatting>
  <conditionalFormatting sqref="J158:J159">
    <cfRule type="containsText" dxfId="49" priority="82" operator="containsText" text="скр">
      <formula>NOT(ISERROR(SEARCH("скр",J158)))</formula>
    </cfRule>
  </conditionalFormatting>
  <conditionalFormatting sqref="J160:J161">
    <cfRule type="containsText" dxfId="48" priority="81" operator="containsText" text="скр">
      <formula>NOT(ISERROR(SEARCH("скр",J160)))</formula>
    </cfRule>
  </conditionalFormatting>
  <conditionalFormatting sqref="J90:J91">
    <cfRule type="containsText" dxfId="47" priority="75" operator="containsText" text="скр">
      <formula>NOT(ISERROR(SEARCH("скр",J90)))</formula>
    </cfRule>
  </conditionalFormatting>
  <conditionalFormatting sqref="J122:J123">
    <cfRule type="containsText" dxfId="46" priority="70" operator="containsText" text="скр">
      <formula>NOT(ISERROR(SEARCH("скр",J122)))</formula>
    </cfRule>
  </conditionalFormatting>
  <conditionalFormatting sqref="J162:J163">
    <cfRule type="containsText" dxfId="45" priority="69" operator="containsText" text="скр">
      <formula>NOT(ISERROR(SEARCH("скр",J162)))</formula>
    </cfRule>
  </conditionalFormatting>
  <conditionalFormatting sqref="J164:J165">
    <cfRule type="containsText" dxfId="44" priority="68" operator="containsText" text="скр">
      <formula>NOT(ISERROR(SEARCH("скр",J164)))</formula>
    </cfRule>
  </conditionalFormatting>
  <conditionalFormatting sqref="J170:J171">
    <cfRule type="containsText" dxfId="43" priority="67" operator="containsText" text="скр">
      <formula>NOT(ISERROR(SEARCH("скр",J170)))</formula>
    </cfRule>
  </conditionalFormatting>
  <conditionalFormatting sqref="J169">
    <cfRule type="containsText" dxfId="42" priority="66" operator="containsText" text="скр">
      <formula>NOT(ISERROR(SEARCH("скр",J169)))</formula>
    </cfRule>
  </conditionalFormatting>
  <conditionalFormatting sqref="J168">
    <cfRule type="containsText" dxfId="41" priority="65" operator="containsText" text="скр">
      <formula>NOT(ISERROR(SEARCH("скр",J168)))</formula>
    </cfRule>
  </conditionalFormatting>
  <conditionalFormatting sqref="J172:J173">
    <cfRule type="containsText" dxfId="40" priority="61" operator="containsText" text="скр">
      <formula>NOT(ISERROR(SEARCH("скр",J172)))</formula>
    </cfRule>
  </conditionalFormatting>
  <conditionalFormatting sqref="J92:J93">
    <cfRule type="containsText" dxfId="39" priority="60" operator="containsText" text="скр">
      <formula>NOT(ISERROR(SEARCH("скр",J92)))</formula>
    </cfRule>
  </conditionalFormatting>
  <conditionalFormatting sqref="J94:J95">
    <cfRule type="containsText" dxfId="38" priority="57" operator="containsText" text="скр">
      <formula>NOT(ISERROR(SEARCH("скр",J94)))</formula>
    </cfRule>
  </conditionalFormatting>
  <conditionalFormatting sqref="J96:J97">
    <cfRule type="containsText" dxfId="37" priority="56" operator="containsText" text="скр">
      <formula>NOT(ISERROR(SEARCH("скр",J96)))</formula>
    </cfRule>
  </conditionalFormatting>
  <conditionalFormatting sqref="J98:J99">
    <cfRule type="containsText" dxfId="36" priority="55" operator="containsText" text="скр">
      <formula>NOT(ISERROR(SEARCH("скр",J98)))</formula>
    </cfRule>
  </conditionalFormatting>
  <conditionalFormatting sqref="J102:J103">
    <cfRule type="containsText" dxfId="35" priority="52" operator="containsText" text="скр">
      <formula>NOT(ISERROR(SEARCH("скр",J102)))</formula>
    </cfRule>
  </conditionalFormatting>
  <conditionalFormatting sqref="J110:J111">
    <cfRule type="containsText" dxfId="34" priority="38" operator="containsText" text="скр">
      <formula>NOT(ISERROR(SEARCH("скр",J110)))</formula>
    </cfRule>
  </conditionalFormatting>
  <conditionalFormatting sqref="J114:J115">
    <cfRule type="containsText" dxfId="33" priority="37" operator="containsText" text="скр">
      <formula>NOT(ISERROR(SEARCH("скр",J114)))</formula>
    </cfRule>
  </conditionalFormatting>
  <conditionalFormatting sqref="J116:J117">
    <cfRule type="containsText" dxfId="32" priority="36" operator="containsText" text="скр">
      <formula>NOT(ISERROR(SEARCH("скр",J116)))</formula>
    </cfRule>
  </conditionalFormatting>
  <conditionalFormatting sqref="J118:J119">
    <cfRule type="containsText" dxfId="31" priority="35" operator="containsText" text="скр">
      <formula>NOT(ISERROR(SEARCH("скр",J118)))</formula>
    </cfRule>
  </conditionalFormatting>
  <conditionalFormatting sqref="J124:J125">
    <cfRule type="containsText" dxfId="30" priority="34" operator="containsText" text="скр">
      <formula>NOT(ISERROR(SEARCH("скр",J124)))</formula>
    </cfRule>
  </conditionalFormatting>
  <conditionalFormatting sqref="J126:J127">
    <cfRule type="containsText" dxfId="29" priority="33" operator="containsText" text="скр">
      <formula>NOT(ISERROR(SEARCH("скр",J126)))</formula>
    </cfRule>
  </conditionalFormatting>
  <conditionalFormatting sqref="J128:J129">
    <cfRule type="containsText" dxfId="28" priority="32" operator="containsText" text="скр">
      <formula>NOT(ISERROR(SEARCH("скр",J128)))</formula>
    </cfRule>
  </conditionalFormatting>
  <conditionalFormatting sqref="J130:J131">
    <cfRule type="containsText" dxfId="27" priority="31" operator="containsText" text="скр">
      <formula>NOT(ISERROR(SEARCH("скр",J130)))</formula>
    </cfRule>
  </conditionalFormatting>
  <conditionalFormatting sqref="J138:J139">
    <cfRule type="containsText" dxfId="26" priority="29" operator="containsText" text="скр">
      <formula>NOT(ISERROR(SEARCH("скр",J138)))</formula>
    </cfRule>
  </conditionalFormatting>
  <conditionalFormatting sqref="J100:J101">
    <cfRule type="containsText" dxfId="25" priority="28" operator="containsText" text="скр">
      <formula>NOT(ISERROR(SEARCH("скр",J100)))</formula>
    </cfRule>
  </conditionalFormatting>
  <conditionalFormatting sqref="J38:J39">
    <cfRule type="containsText" dxfId="24" priority="27" operator="containsText" text="скр">
      <formula>NOT(ISERROR(SEARCH("скр",J38)))</formula>
    </cfRule>
  </conditionalFormatting>
  <conditionalFormatting sqref="J71">
    <cfRule type="containsText" dxfId="23" priority="21" operator="containsText" text="скр">
      <formula>NOT(ISERROR(SEARCH("скр",J71)))</formula>
    </cfRule>
  </conditionalFormatting>
  <conditionalFormatting sqref="J70">
    <cfRule type="containsText" dxfId="22" priority="20" operator="containsText" text="скр">
      <formula>NOT(ISERROR(SEARCH("скр",J70)))</formula>
    </cfRule>
  </conditionalFormatting>
  <conditionalFormatting sqref="J79">
    <cfRule type="containsText" dxfId="21" priority="19" operator="containsText" text="скр">
      <formula>NOT(ISERROR(SEARCH("скр",J79)))</formula>
    </cfRule>
  </conditionalFormatting>
  <conditionalFormatting sqref="J78">
    <cfRule type="containsText" dxfId="20" priority="18" operator="containsText" text="скр">
      <formula>NOT(ISERROR(SEARCH("скр",J78)))</formula>
    </cfRule>
  </conditionalFormatting>
  <conditionalFormatting sqref="J40:J41">
    <cfRule type="containsText" dxfId="19" priority="15" operator="containsText" text="скр">
      <formula>NOT(ISERROR(SEARCH("скр",J40)))</formula>
    </cfRule>
  </conditionalFormatting>
  <conditionalFormatting sqref="J121">
    <cfRule type="containsText" dxfId="18" priority="13" operator="containsText" text="скр">
      <formula>NOT(ISERROR(SEARCH("скр",J121)))</formula>
    </cfRule>
  </conditionalFormatting>
  <conditionalFormatting sqref="J120">
    <cfRule type="containsText" dxfId="17" priority="12" operator="containsText" text="скр">
      <formula>NOT(ISERROR(SEARCH("скр",J120)))</formula>
    </cfRule>
  </conditionalFormatting>
  <conditionalFormatting sqref="J133">
    <cfRule type="containsText" dxfId="16" priority="11" operator="containsText" text="скр">
      <formula>NOT(ISERROR(SEARCH("скр",J133)))</formula>
    </cfRule>
  </conditionalFormatting>
  <conditionalFormatting sqref="J132">
    <cfRule type="containsText" dxfId="15" priority="10" operator="containsText" text="скр">
      <formula>NOT(ISERROR(SEARCH("скр",J132)))</formula>
    </cfRule>
  </conditionalFormatting>
  <conditionalFormatting sqref="J184">
    <cfRule type="containsText" dxfId="14" priority="9" operator="containsText" text="скр">
      <formula>NOT(ISERROR(SEARCH("скр",J184)))</formula>
    </cfRule>
  </conditionalFormatting>
  <conditionalFormatting sqref="J148:J149">
    <cfRule type="containsText" dxfId="13" priority="8" operator="containsText" text="скр">
      <formula>NOT(ISERROR(SEARCH("скр",J148)))</formula>
    </cfRule>
  </conditionalFormatting>
  <conditionalFormatting sqref="J86">
    <cfRule type="containsText" dxfId="12" priority="6" operator="containsText" text="скр">
      <formula>NOT(ISERROR(SEARCH("скр",J86)))</formula>
    </cfRule>
  </conditionalFormatting>
  <conditionalFormatting sqref="J87">
    <cfRule type="containsText" dxfId="11" priority="5" operator="containsText" text="скр">
      <formula>NOT(ISERROR(SEARCH("скр",J87)))</formula>
    </cfRule>
  </conditionalFormatting>
  <conditionalFormatting sqref="J185:J186">
    <cfRule type="containsText" dxfId="10" priority="4" operator="containsText" text="скр">
      <formula>NOT(ISERROR(SEARCH("скр",J185)))</formula>
    </cfRule>
  </conditionalFormatting>
  <conditionalFormatting sqref="J187">
    <cfRule type="containsText" dxfId="9" priority="3" operator="containsText" text="скр">
      <formula>NOT(ISERROR(SEARCH("скр",J187)))</formula>
    </cfRule>
  </conditionalFormatting>
  <conditionalFormatting sqref="J188">
    <cfRule type="containsText" dxfId="8" priority="2" operator="containsText" text="скр">
      <formula>NOT(ISERROR(SEARCH("скр",J188)))</formula>
    </cfRule>
  </conditionalFormatting>
  <conditionalFormatting sqref="J189">
    <cfRule type="containsText" dxfId="7" priority="1" operator="containsText" text="скр">
      <formula>NOT(ISERROR(SEARCH("скр",J189)))</formula>
    </cfRule>
  </conditionalFormatting>
  <pageMargins left="0.98425196850393704" right="0.59055118110236227" top="0.59055118110236227" bottom="0.59055118110236227" header="1.1811023622047245" footer="0"/>
  <pageSetup paperSize="9" firstPageNumber="3" fitToHeight="0" orientation="portrait" r:id="rId1"/>
  <headerFooter>
    <oddHeader xml:space="preserve">&amp;R&amp;"-,полужирный"&amp;14&amp;P           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5" operator="containsText" text="скр" id="{7A74AC2A-8D90-4873-8726-122693C6F1C8}">
            <xm:f>NOT(ISERROR(SEARCH("скр",'Сектор 1 Про'!J48)))</xm:f>
            <x14:dxf>
              <font>
                <b/>
                <i/>
              </font>
            </x14:dxf>
          </x14:cfRule>
          <xm:sqref>J64:J65</xm:sqref>
        </x14:conditionalFormatting>
        <x14:conditionalFormatting xmlns:xm="http://schemas.microsoft.com/office/excel/2006/main">
          <x14:cfRule type="containsText" priority="207" operator="containsText" text="скр" id="{71202126-A176-4CD1-AF18-13E2B198E388}">
            <xm:f>NOT(ISERROR(SEARCH("скр",'Сектор 1 Про'!J118)))</xm:f>
            <x14:dxf>
              <font>
                <b/>
                <i/>
              </font>
            </x14:dxf>
          </x14:cfRule>
          <xm:sqref>J112:J113</xm:sqref>
        </x14:conditionalFormatting>
        <x14:conditionalFormatting xmlns:xm="http://schemas.microsoft.com/office/excel/2006/main">
          <x14:cfRule type="containsText" priority="209" operator="containsText" text="скр" id="{71202126-A176-4CD1-AF18-13E2B198E388}">
            <xm:f>NOT(ISERROR(SEARCH("скр",'Сектор 1 Про'!J84)))</xm:f>
            <x14:dxf>
              <font>
                <b/>
                <i/>
              </font>
            </x14:dxf>
          </x14:cfRule>
          <xm:sqref>J104:J107</xm:sqref>
        </x14:conditionalFormatting>
        <x14:conditionalFormatting xmlns:xm="http://schemas.microsoft.com/office/excel/2006/main">
          <x14:cfRule type="containsText" priority="213" operator="containsText" text="скр" id="{71202126-A176-4CD1-AF18-13E2B198E388}">
            <xm:f>NOT(ISERROR(SEARCH("скр",'Сектор 1 Про'!J96)))</xm:f>
            <x14:dxf>
              <font>
                <b/>
                <i/>
              </font>
            </x14:dxf>
          </x14:cfRule>
          <xm:sqref>J108:J109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55"/>
  <sheetViews>
    <sheetView topLeftCell="A40" zoomScale="130" zoomScaleNormal="130" workbookViewId="0">
      <selection activeCell="L12" sqref="L12"/>
    </sheetView>
  </sheetViews>
  <sheetFormatPr defaultRowHeight="12.75" x14ac:dyDescent="0.25"/>
  <cols>
    <col min="1" max="1" width="1.7109375" style="226" customWidth="1"/>
    <col min="2" max="2" width="6.7109375" style="226" customWidth="1"/>
    <col min="3" max="3" width="1.7109375" style="226" customWidth="1"/>
    <col min="4" max="4" width="6.7109375" style="226" customWidth="1"/>
    <col min="5" max="5" width="1.7109375" style="226" customWidth="1"/>
    <col min="6" max="6" width="6.7109375" style="226" customWidth="1"/>
    <col min="7" max="7" width="1.7109375" style="226" customWidth="1"/>
    <col min="8" max="8" width="6.7109375" style="226" customWidth="1"/>
    <col min="9" max="9" width="1.7109375" style="226" customWidth="1"/>
    <col min="10" max="10" width="6.7109375" style="226" customWidth="1"/>
    <col min="11" max="11" width="1.7109375" style="226" customWidth="1"/>
    <col min="12" max="13" width="3.28515625" style="226" customWidth="1"/>
    <col min="14" max="14" width="1.7109375" style="226" customWidth="1"/>
    <col min="15" max="15" width="6.7109375" style="226" customWidth="1"/>
    <col min="16" max="16" width="1.7109375" style="226" customWidth="1"/>
    <col min="17" max="17" width="6.7109375" style="226" customWidth="1"/>
    <col min="18" max="18" width="1.7109375" style="226" customWidth="1"/>
    <col min="19" max="19" width="6.7109375" style="226" customWidth="1"/>
    <col min="20" max="20" width="1.7109375" style="226" customWidth="1"/>
    <col min="21" max="21" width="6.7109375" style="226" customWidth="1"/>
    <col min="22" max="22" width="1.7109375" style="226" customWidth="1"/>
    <col min="23" max="23" width="6.7109375" style="226" customWidth="1"/>
    <col min="24" max="24" width="1.7109375" style="226" customWidth="1"/>
    <col min="25" max="16384" width="9.140625" style="226"/>
  </cols>
  <sheetData>
    <row r="1" spans="1:24" ht="3" customHeight="1" x14ac:dyDescent="0.25">
      <c r="A1" s="229"/>
      <c r="B1" s="230"/>
      <c r="C1" s="230"/>
      <c r="D1" s="230"/>
      <c r="E1" s="230"/>
      <c r="F1" s="230"/>
      <c r="G1" s="230"/>
      <c r="H1" s="230"/>
      <c r="I1" s="230"/>
      <c r="J1" s="230"/>
      <c r="K1" s="231"/>
      <c r="L1" s="254"/>
      <c r="M1" s="255"/>
      <c r="N1" s="229"/>
      <c r="O1" s="230"/>
      <c r="P1" s="230"/>
      <c r="Q1" s="230"/>
      <c r="R1" s="230"/>
      <c r="S1" s="230"/>
      <c r="T1" s="230"/>
      <c r="U1" s="230"/>
      <c r="V1" s="230"/>
      <c r="W1" s="230"/>
      <c r="X1" s="231"/>
    </row>
    <row r="2" spans="1:24" ht="12.75" customHeight="1" x14ac:dyDescent="0.25">
      <c r="A2" s="232"/>
      <c r="B2" s="400" t="str">
        <f>названиеКратко&amp;" / Контрольная карта"</f>
        <v>Смоленск - 2019 / Контрольная карта</v>
      </c>
      <c r="C2" s="400"/>
      <c r="D2" s="400"/>
      <c r="E2" s="400"/>
      <c r="F2" s="400"/>
      <c r="G2" s="400"/>
      <c r="H2" s="400"/>
      <c r="I2" s="400"/>
      <c r="J2" s="400"/>
      <c r="K2" s="233"/>
      <c r="L2" s="254"/>
      <c r="M2" s="255"/>
      <c r="N2" s="232"/>
      <c r="O2" s="400" t="str">
        <f>названиеКратко&amp;" / Контрольная карта"</f>
        <v>Смоленск - 2019 / Контрольная карта</v>
      </c>
      <c r="P2" s="400"/>
      <c r="Q2" s="400"/>
      <c r="R2" s="400"/>
      <c r="S2" s="400"/>
      <c r="T2" s="400"/>
      <c r="U2" s="400"/>
      <c r="V2" s="400"/>
      <c r="W2" s="400"/>
      <c r="X2" s="233"/>
    </row>
    <row r="3" spans="1:24" ht="3" customHeight="1" thickBot="1" x14ac:dyDescent="0.3">
      <c r="A3" s="232"/>
      <c r="B3" s="227"/>
      <c r="C3" s="227"/>
      <c r="D3" s="227"/>
      <c r="E3" s="227"/>
      <c r="F3" s="227"/>
      <c r="G3" s="227"/>
      <c r="H3" s="227"/>
      <c r="I3" s="227"/>
      <c r="J3" s="227"/>
      <c r="K3" s="233"/>
      <c r="L3" s="254"/>
      <c r="M3" s="255"/>
      <c r="N3" s="232"/>
      <c r="O3" s="227"/>
      <c r="P3" s="227"/>
      <c r="Q3" s="227"/>
      <c r="R3" s="227"/>
      <c r="S3" s="227"/>
      <c r="T3" s="227"/>
      <c r="U3" s="227"/>
      <c r="V3" s="227"/>
      <c r="W3" s="227"/>
      <c r="X3" s="233"/>
    </row>
    <row r="4" spans="1:24" ht="39.950000000000003" customHeight="1" thickBot="1" x14ac:dyDescent="0.3">
      <c r="A4" s="232"/>
      <c r="B4" s="227"/>
      <c r="C4" s="227"/>
      <c r="D4" s="395" t="s">
        <v>351</v>
      </c>
      <c r="E4" s="396"/>
      <c r="F4" s="397"/>
      <c r="G4" s="227"/>
      <c r="H4" s="395" t="s">
        <v>331</v>
      </c>
      <c r="I4" s="396"/>
      <c r="J4" s="397"/>
      <c r="K4" s="233"/>
      <c r="L4" s="254"/>
      <c r="M4" s="255"/>
      <c r="N4" s="232"/>
      <c r="O4" s="227"/>
      <c r="P4" s="227"/>
      <c r="Q4" s="395" t="s">
        <v>351</v>
      </c>
      <c r="R4" s="396"/>
      <c r="S4" s="397"/>
      <c r="T4" s="227"/>
      <c r="U4" s="395" t="s">
        <v>331</v>
      </c>
      <c r="V4" s="396"/>
      <c r="W4" s="397"/>
      <c r="X4" s="233"/>
    </row>
    <row r="5" spans="1:24" ht="3" customHeight="1" x14ac:dyDescent="0.25">
      <c r="A5" s="232"/>
      <c r="B5" s="252"/>
      <c r="C5" s="235"/>
      <c r="D5" s="235"/>
      <c r="E5" s="235"/>
      <c r="F5" s="235"/>
      <c r="G5" s="235"/>
      <c r="H5" s="235"/>
      <c r="I5" s="235"/>
      <c r="J5" s="235"/>
      <c r="K5" s="233"/>
      <c r="L5" s="254"/>
      <c r="M5" s="255"/>
      <c r="N5" s="232"/>
      <c r="O5" s="252"/>
      <c r="P5" s="235"/>
      <c r="Q5" s="235"/>
      <c r="R5" s="235"/>
      <c r="S5" s="235"/>
      <c r="T5" s="235"/>
      <c r="U5" s="235"/>
      <c r="V5" s="235"/>
      <c r="W5" s="235"/>
      <c r="X5" s="233"/>
    </row>
    <row r="6" spans="1:24" ht="3" customHeight="1" thickBot="1" x14ac:dyDescent="0.3">
      <c r="A6" s="232"/>
      <c r="B6" s="253"/>
      <c r="C6" s="236"/>
      <c r="D6" s="236"/>
      <c r="E6" s="236"/>
      <c r="F6" s="236"/>
      <c r="G6" s="236"/>
      <c r="H6" s="236"/>
      <c r="I6" s="236"/>
      <c r="J6" s="236"/>
      <c r="K6" s="233"/>
      <c r="L6" s="254"/>
      <c r="M6" s="255"/>
      <c r="N6" s="232"/>
      <c r="O6" s="253"/>
      <c r="P6" s="236"/>
      <c r="Q6" s="236"/>
      <c r="R6" s="236"/>
      <c r="S6" s="236"/>
      <c r="T6" s="236"/>
      <c r="U6" s="236"/>
      <c r="V6" s="236"/>
      <c r="W6" s="236"/>
      <c r="X6" s="233"/>
    </row>
    <row r="7" spans="1:24" ht="30" customHeight="1" thickBot="1" x14ac:dyDescent="0.3">
      <c r="A7" s="232"/>
      <c r="B7" s="393" t="str">
        <f>getMpWoName(_КВ1)</f>
        <v>КВ-1</v>
      </c>
      <c r="C7" s="227"/>
      <c r="D7" s="273" t="s">
        <v>323</v>
      </c>
      <c r="E7" s="272" t="s">
        <v>333</v>
      </c>
      <c r="F7" s="273" t="s">
        <v>324</v>
      </c>
      <c r="G7" s="227"/>
      <c r="H7" s="394" t="s">
        <v>62</v>
      </c>
      <c r="I7" s="394"/>
      <c r="J7" s="394"/>
      <c r="K7" s="233"/>
      <c r="L7" s="254"/>
      <c r="M7" s="255"/>
      <c r="N7" s="232"/>
      <c r="O7" s="393" t="e">
        <f>getMpWoName(_КВ0)</f>
        <v>#VALUE!</v>
      </c>
      <c r="P7" s="227"/>
      <c r="Q7" s="273" t="s">
        <v>323</v>
      </c>
      <c r="R7" s="272" t="s">
        <v>333</v>
      </c>
      <c r="S7" s="273" t="s">
        <v>324</v>
      </c>
      <c r="T7" s="227"/>
      <c r="U7" s="394" t="s">
        <v>62</v>
      </c>
      <c r="V7" s="394"/>
      <c r="W7" s="394"/>
      <c r="X7" s="233"/>
    </row>
    <row r="8" spans="1:24" ht="5.0999999999999996" customHeight="1" thickBot="1" x14ac:dyDescent="0.3">
      <c r="A8" s="232"/>
      <c r="B8" s="393"/>
      <c r="C8" s="227"/>
      <c r="D8" s="227"/>
      <c r="E8" s="227"/>
      <c r="F8" s="227"/>
      <c r="G8" s="227"/>
      <c r="H8" s="227"/>
      <c r="I8" s="227"/>
      <c r="J8" s="227"/>
      <c r="K8" s="233"/>
      <c r="L8" s="254"/>
      <c r="M8" s="255"/>
      <c r="N8" s="232"/>
      <c r="O8" s="393"/>
      <c r="P8" s="227"/>
      <c r="Q8" s="227"/>
      <c r="R8" s="227"/>
      <c r="S8" s="227"/>
      <c r="T8" s="227"/>
      <c r="U8" s="227"/>
      <c r="V8" s="227"/>
      <c r="W8" s="227"/>
      <c r="X8" s="233"/>
    </row>
    <row r="9" spans="1:24" ht="30" customHeight="1" thickBot="1" x14ac:dyDescent="0.3">
      <c r="A9" s="232"/>
      <c r="B9" s="393"/>
      <c r="C9" s="227"/>
      <c r="D9" s="273" t="s">
        <v>323</v>
      </c>
      <c r="E9" s="272" t="s">
        <v>333</v>
      </c>
      <c r="F9" s="273" t="s">
        <v>324</v>
      </c>
      <c r="G9" s="227"/>
      <c r="H9" s="394" t="s">
        <v>146</v>
      </c>
      <c r="I9" s="394"/>
      <c r="J9" s="394"/>
      <c r="K9" s="233"/>
      <c r="L9" s="254"/>
      <c r="M9" s="255"/>
      <c r="N9" s="232"/>
      <c r="O9" s="393"/>
      <c r="P9" s="227"/>
      <c r="Q9" s="273" t="s">
        <v>323</v>
      </c>
      <c r="R9" s="272" t="s">
        <v>333</v>
      </c>
      <c r="S9" s="273" t="s">
        <v>324</v>
      </c>
      <c r="T9" s="227"/>
      <c r="U9" s="394" t="s">
        <v>146</v>
      </c>
      <c r="V9" s="394"/>
      <c r="W9" s="394"/>
      <c r="X9" s="233"/>
    </row>
    <row r="10" spans="1:24" ht="3" customHeight="1" x14ac:dyDescent="0.25">
      <c r="A10" s="232"/>
      <c r="B10" s="235"/>
      <c r="C10" s="235"/>
      <c r="D10" s="235"/>
      <c r="E10" s="235"/>
      <c r="F10" s="235"/>
      <c r="G10" s="235"/>
      <c r="H10" s="235"/>
      <c r="I10" s="235"/>
      <c r="J10" s="235"/>
      <c r="K10" s="233"/>
      <c r="L10" s="254"/>
      <c r="M10" s="255"/>
      <c r="N10" s="232"/>
      <c r="O10" s="235"/>
      <c r="P10" s="235"/>
      <c r="Q10" s="235"/>
      <c r="R10" s="235"/>
      <c r="S10" s="235"/>
      <c r="T10" s="235"/>
      <c r="U10" s="235"/>
      <c r="V10" s="235"/>
      <c r="W10" s="235"/>
      <c r="X10" s="233"/>
    </row>
    <row r="11" spans="1:24" ht="3" customHeight="1" thickBot="1" x14ac:dyDescent="0.3">
      <c r="A11" s="232"/>
      <c r="B11" s="236"/>
      <c r="C11" s="236"/>
      <c r="D11" s="236"/>
      <c r="E11" s="236"/>
      <c r="F11" s="236"/>
      <c r="G11" s="236"/>
      <c r="H11" s="236"/>
      <c r="I11" s="236"/>
      <c r="J11" s="236"/>
      <c r="K11" s="233"/>
      <c r="L11" s="254"/>
      <c r="M11" s="255"/>
      <c r="N11" s="232"/>
      <c r="O11" s="236"/>
      <c r="P11" s="236"/>
      <c r="Q11" s="236"/>
      <c r="R11" s="236"/>
      <c r="S11" s="236"/>
      <c r="T11" s="236"/>
      <c r="U11" s="236"/>
      <c r="V11" s="236"/>
      <c r="W11" s="236"/>
      <c r="X11" s="233"/>
    </row>
    <row r="12" spans="1:24" ht="30" customHeight="1" thickBot="1" x14ac:dyDescent="0.3">
      <c r="A12" s="232"/>
      <c r="B12" s="393" t="str">
        <f>getMpWoName(_ДС1)</f>
        <v>ДС-1 РДС</v>
      </c>
      <c r="C12" s="227"/>
      <c r="D12" s="273" t="s">
        <v>323</v>
      </c>
      <c r="E12" s="272" t="s">
        <v>333</v>
      </c>
      <c r="F12" s="273" t="s">
        <v>324</v>
      </c>
      <c r="G12" s="227"/>
      <c r="H12" s="394" t="s">
        <v>147</v>
      </c>
      <c r="I12" s="394"/>
      <c r="J12" s="394"/>
      <c r="K12" s="233"/>
      <c r="L12" s="254"/>
      <c r="M12" s="255"/>
      <c r="N12" s="232"/>
      <c r="O12" s="393" t="str">
        <f>getMpWoName(_ДС1)</f>
        <v>ДС-1 РДС</v>
      </c>
      <c r="P12" s="227"/>
      <c r="Q12" s="273" t="s">
        <v>323</v>
      </c>
      <c r="R12" s="272" t="s">
        <v>333</v>
      </c>
      <c r="S12" s="273" t="s">
        <v>324</v>
      </c>
      <c r="T12" s="227"/>
      <c r="U12" s="394" t="s">
        <v>147</v>
      </c>
      <c r="V12" s="394"/>
      <c r="W12" s="394"/>
      <c r="X12" s="233"/>
    </row>
    <row r="13" spans="1:24" ht="3" customHeight="1" thickBot="1" x14ac:dyDescent="0.3">
      <c r="A13" s="232"/>
      <c r="B13" s="393"/>
      <c r="C13" s="227"/>
      <c r="D13" s="227"/>
      <c r="E13" s="227"/>
      <c r="F13" s="227"/>
      <c r="G13" s="227"/>
      <c r="H13" s="227"/>
      <c r="I13" s="227"/>
      <c r="J13" s="227"/>
      <c r="K13" s="233"/>
      <c r="L13" s="254"/>
      <c r="M13" s="255"/>
      <c r="N13" s="232"/>
      <c r="O13" s="393"/>
      <c r="P13" s="227"/>
      <c r="Q13" s="227"/>
      <c r="R13" s="227"/>
      <c r="S13" s="227"/>
      <c r="T13" s="227"/>
      <c r="U13" s="227"/>
      <c r="V13" s="227"/>
      <c r="W13" s="227"/>
      <c r="X13" s="233"/>
    </row>
    <row r="14" spans="1:24" ht="30" customHeight="1" thickBot="1" x14ac:dyDescent="0.3">
      <c r="A14" s="232"/>
      <c r="B14" s="393"/>
      <c r="C14" s="227"/>
      <c r="D14" s="273" t="s">
        <v>323</v>
      </c>
      <c r="E14" s="272" t="s">
        <v>333</v>
      </c>
      <c r="F14" s="273" t="s">
        <v>324</v>
      </c>
      <c r="G14" s="227"/>
      <c r="H14" s="394" t="s">
        <v>14</v>
      </c>
      <c r="I14" s="394"/>
      <c r="J14" s="394"/>
      <c r="K14" s="233"/>
      <c r="L14" s="254"/>
      <c r="M14" s="255"/>
      <c r="N14" s="232"/>
      <c r="O14" s="393"/>
      <c r="P14" s="227"/>
      <c r="Q14" s="273" t="s">
        <v>323</v>
      </c>
      <c r="R14" s="272" t="s">
        <v>333</v>
      </c>
      <c r="S14" s="273" t="s">
        <v>324</v>
      </c>
      <c r="T14" s="227"/>
      <c r="U14" s="394" t="s">
        <v>14</v>
      </c>
      <c r="V14" s="394"/>
      <c r="W14" s="394"/>
      <c r="X14" s="233"/>
    </row>
    <row r="15" spans="1:24" ht="3" customHeight="1" x14ac:dyDescent="0.25">
      <c r="A15" s="232"/>
      <c r="B15" s="393"/>
      <c r="C15" s="235"/>
      <c r="D15" s="235"/>
      <c r="E15" s="235"/>
      <c r="F15" s="235"/>
      <c r="G15" s="235"/>
      <c r="H15" s="235"/>
      <c r="I15" s="235"/>
      <c r="J15" s="235"/>
      <c r="K15" s="233"/>
      <c r="L15" s="254"/>
      <c r="M15" s="255"/>
      <c r="N15" s="232"/>
      <c r="O15" s="393"/>
      <c r="P15" s="235"/>
      <c r="Q15" s="235"/>
      <c r="R15" s="235"/>
      <c r="S15" s="235"/>
      <c r="T15" s="235"/>
      <c r="U15" s="235"/>
      <c r="V15" s="235"/>
      <c r="W15" s="235"/>
      <c r="X15" s="233"/>
    </row>
    <row r="16" spans="1:24" ht="3" customHeight="1" thickBot="1" x14ac:dyDescent="0.3">
      <c r="A16" s="232"/>
      <c r="B16" s="393"/>
      <c r="C16" s="236"/>
      <c r="D16" s="236"/>
      <c r="E16" s="236"/>
      <c r="F16" s="236"/>
      <c r="G16" s="236"/>
      <c r="H16" s="236"/>
      <c r="I16" s="236"/>
      <c r="J16" s="236"/>
      <c r="K16" s="233"/>
      <c r="L16" s="254"/>
      <c r="M16" s="255"/>
      <c r="N16" s="232"/>
      <c r="O16" s="393"/>
      <c r="P16" s="236"/>
      <c r="Q16" s="236"/>
      <c r="R16" s="236"/>
      <c r="S16" s="236"/>
      <c r="T16" s="236"/>
      <c r="U16" s="236"/>
      <c r="V16" s="236"/>
      <c r="W16" s="236"/>
      <c r="X16" s="233"/>
    </row>
    <row r="17" spans="1:24" ht="30" customHeight="1" thickBot="1" x14ac:dyDescent="0.3">
      <c r="A17" s="232"/>
      <c r="B17" s="393"/>
      <c r="C17" s="227"/>
      <c r="D17" s="273" t="s">
        <v>323</v>
      </c>
      <c r="E17" s="272" t="s">
        <v>333</v>
      </c>
      <c r="F17" s="273" t="s">
        <v>324</v>
      </c>
      <c r="G17" s="272" t="s">
        <v>333</v>
      </c>
      <c r="H17" s="273" t="s">
        <v>325</v>
      </c>
      <c r="I17" s="234"/>
      <c r="J17" s="249" t="s">
        <v>15</v>
      </c>
      <c r="K17" s="233"/>
      <c r="L17" s="254"/>
      <c r="M17" s="255"/>
      <c r="N17" s="232"/>
      <c r="O17" s="393"/>
      <c r="P17" s="227"/>
      <c r="Q17" s="273" t="s">
        <v>323</v>
      </c>
      <c r="R17" s="272" t="s">
        <v>333</v>
      </c>
      <c r="S17" s="273" t="s">
        <v>324</v>
      </c>
      <c r="T17" s="272" t="s">
        <v>333</v>
      </c>
      <c r="U17" s="273" t="s">
        <v>325</v>
      </c>
      <c r="V17" s="234"/>
      <c r="W17" s="249" t="s">
        <v>15</v>
      </c>
      <c r="X17" s="233"/>
    </row>
    <row r="18" spans="1:24" ht="3" customHeight="1" x14ac:dyDescent="0.25">
      <c r="A18" s="232"/>
      <c r="B18" s="235"/>
      <c r="C18" s="235"/>
      <c r="D18" s="235"/>
      <c r="E18" s="235"/>
      <c r="F18" s="235"/>
      <c r="G18" s="235"/>
      <c r="H18" s="235"/>
      <c r="I18" s="235"/>
      <c r="J18" s="235"/>
      <c r="K18" s="233"/>
      <c r="L18" s="254"/>
      <c r="M18" s="255"/>
      <c r="N18" s="232"/>
      <c r="O18" s="235"/>
      <c r="P18" s="235"/>
      <c r="Q18" s="235"/>
      <c r="R18" s="235"/>
      <c r="S18" s="235"/>
      <c r="T18" s="235"/>
      <c r="U18" s="235"/>
      <c r="V18" s="235"/>
      <c r="W18" s="235"/>
      <c r="X18" s="233"/>
    </row>
    <row r="19" spans="1:24" ht="3" customHeight="1" thickBot="1" x14ac:dyDescent="0.3">
      <c r="A19" s="232"/>
      <c r="B19" s="236"/>
      <c r="C19" s="236"/>
      <c r="D19" s="236"/>
      <c r="E19" s="236"/>
      <c r="F19" s="236"/>
      <c r="G19" s="236"/>
      <c r="H19" s="236"/>
      <c r="I19" s="236"/>
      <c r="J19" s="236"/>
      <c r="K19" s="233"/>
      <c r="L19" s="254"/>
      <c r="M19" s="255"/>
      <c r="N19" s="232"/>
      <c r="O19" s="236"/>
      <c r="P19" s="236"/>
      <c r="Q19" s="236"/>
      <c r="R19" s="236"/>
      <c r="S19" s="236"/>
      <c r="T19" s="236"/>
      <c r="U19" s="236"/>
      <c r="V19" s="236"/>
      <c r="W19" s="236"/>
      <c r="X19" s="233"/>
    </row>
    <row r="20" spans="1:24" ht="30" customHeight="1" thickBot="1" x14ac:dyDescent="0.3">
      <c r="A20" s="232"/>
      <c r="B20" s="251" t="str">
        <f>getMpWoName(_КВ2)</f>
        <v>КВ-2</v>
      </c>
      <c r="C20" s="227"/>
      <c r="D20" s="273" t="s">
        <v>323</v>
      </c>
      <c r="E20" s="272" t="s">
        <v>333</v>
      </c>
      <c r="F20" s="273" t="s">
        <v>324</v>
      </c>
      <c r="G20" s="227"/>
      <c r="H20" s="393" t="str">
        <f>"+ "&amp;TEXT(_КВ2Время,"ч:мм")</f>
        <v>+ 2:00</v>
      </c>
      <c r="I20" s="393"/>
      <c r="J20" s="393"/>
      <c r="K20" s="233"/>
      <c r="L20" s="254"/>
      <c r="M20" s="255"/>
      <c r="N20" s="232"/>
      <c r="O20" s="251" t="str">
        <f>getMpWoName(_КВ1)</f>
        <v>КВ-1</v>
      </c>
      <c r="P20" s="227"/>
      <c r="Q20" s="273" t="s">
        <v>323</v>
      </c>
      <c r="R20" s="272" t="s">
        <v>333</v>
      </c>
      <c r="S20" s="273" t="s">
        <v>324</v>
      </c>
      <c r="T20" s="227"/>
      <c r="U20" s="393" t="e">
        <f>"+ "&amp;TEXT(_КВ1Время,"ч:мм")</f>
        <v>#NAME?</v>
      </c>
      <c r="V20" s="393"/>
      <c r="W20" s="393"/>
      <c r="X20" s="233"/>
    </row>
    <row r="21" spans="1:24" ht="3" customHeight="1" x14ac:dyDescent="0.25">
      <c r="A21" s="232"/>
      <c r="B21" s="235"/>
      <c r="C21" s="235"/>
      <c r="D21" s="235"/>
      <c r="E21" s="235"/>
      <c r="F21" s="235"/>
      <c r="G21" s="235"/>
      <c r="H21" s="235"/>
      <c r="I21" s="235"/>
      <c r="J21" s="235"/>
      <c r="K21" s="233"/>
      <c r="L21" s="254"/>
      <c r="M21" s="255"/>
      <c r="N21" s="232"/>
      <c r="O21" s="235"/>
      <c r="P21" s="235"/>
      <c r="Q21" s="235"/>
      <c r="R21" s="235"/>
      <c r="S21" s="235"/>
      <c r="T21" s="235"/>
      <c r="U21" s="235"/>
      <c r="V21" s="235"/>
      <c r="W21" s="235"/>
      <c r="X21" s="233"/>
    </row>
    <row r="22" spans="1:24" ht="3" customHeight="1" thickBot="1" x14ac:dyDescent="0.3">
      <c r="A22" s="232"/>
      <c r="B22" s="236"/>
      <c r="C22" s="236"/>
      <c r="D22" s="236"/>
      <c r="E22" s="236"/>
      <c r="F22" s="236"/>
      <c r="G22" s="236"/>
      <c r="H22" s="236"/>
      <c r="I22" s="236"/>
      <c r="J22" s="236"/>
      <c r="K22" s="233"/>
      <c r="L22" s="254"/>
      <c r="M22" s="255"/>
      <c r="N22" s="232"/>
      <c r="O22" s="236"/>
      <c r="P22" s="236"/>
      <c r="Q22" s="236"/>
      <c r="R22" s="236"/>
      <c r="S22" s="236"/>
      <c r="T22" s="236"/>
      <c r="U22" s="236"/>
      <c r="V22" s="236"/>
      <c r="W22" s="236"/>
      <c r="X22" s="233"/>
    </row>
    <row r="23" spans="1:24" ht="30" customHeight="1" thickBot="1" x14ac:dyDescent="0.3">
      <c r="A23" s="232"/>
      <c r="B23" s="393" t="str">
        <f>getMpWoName(_ДС2)</f>
        <v>ДС-2 КСЛ</v>
      </c>
      <c r="C23" s="227"/>
      <c r="D23" s="273" t="s">
        <v>323</v>
      </c>
      <c r="E23" s="272" t="s">
        <v>333</v>
      </c>
      <c r="F23" s="273" t="s">
        <v>324</v>
      </c>
      <c r="G23" s="227"/>
      <c r="H23" s="394" t="s">
        <v>147</v>
      </c>
      <c r="I23" s="394"/>
      <c r="J23" s="394"/>
      <c r="K23" s="233"/>
      <c r="L23" s="254"/>
      <c r="M23" s="255"/>
      <c r="N23" s="232"/>
      <c r="O23" s="393" t="str">
        <f>getMpWoName(_ДС1)</f>
        <v>ДС-1 РДС</v>
      </c>
      <c r="P23" s="227"/>
      <c r="Q23" s="273" t="s">
        <v>323</v>
      </c>
      <c r="R23" s="272" t="s">
        <v>333</v>
      </c>
      <c r="S23" s="273" t="s">
        <v>324</v>
      </c>
      <c r="T23" s="227"/>
      <c r="U23" s="394" t="s">
        <v>147</v>
      </c>
      <c r="V23" s="394"/>
      <c r="W23" s="394"/>
      <c r="X23" s="233"/>
    </row>
    <row r="24" spans="1:24" ht="3" customHeight="1" thickBot="1" x14ac:dyDescent="0.3">
      <c r="A24" s="232"/>
      <c r="B24" s="393"/>
      <c r="C24" s="227"/>
      <c r="D24" s="227"/>
      <c r="E24" s="227"/>
      <c r="F24" s="227"/>
      <c r="G24" s="227"/>
      <c r="H24" s="227"/>
      <c r="I24" s="227"/>
      <c r="J24" s="227"/>
      <c r="K24" s="233"/>
      <c r="L24" s="254"/>
      <c r="M24" s="255"/>
      <c r="N24" s="232"/>
      <c r="O24" s="393"/>
      <c r="P24" s="227"/>
      <c r="Q24" s="227"/>
      <c r="R24" s="227"/>
      <c r="S24" s="227"/>
      <c r="T24" s="227"/>
      <c r="U24" s="227"/>
      <c r="V24" s="227"/>
      <c r="W24" s="227"/>
      <c r="X24" s="233"/>
    </row>
    <row r="25" spans="1:24" ht="30" customHeight="1" thickBot="1" x14ac:dyDescent="0.3">
      <c r="A25" s="232"/>
      <c r="B25" s="393"/>
      <c r="C25" s="227"/>
      <c r="D25" s="273" t="s">
        <v>323</v>
      </c>
      <c r="E25" s="272" t="s">
        <v>333</v>
      </c>
      <c r="F25" s="273" t="s">
        <v>324</v>
      </c>
      <c r="G25" s="227"/>
      <c r="H25" s="394" t="s">
        <v>14</v>
      </c>
      <c r="I25" s="394"/>
      <c r="J25" s="394"/>
      <c r="K25" s="233"/>
      <c r="L25" s="254"/>
      <c r="M25" s="255"/>
      <c r="N25" s="232"/>
      <c r="O25" s="393"/>
      <c r="P25" s="227"/>
      <c r="Q25" s="273" t="s">
        <v>323</v>
      </c>
      <c r="R25" s="272" t="s">
        <v>333</v>
      </c>
      <c r="S25" s="273" t="s">
        <v>324</v>
      </c>
      <c r="T25" s="227"/>
      <c r="U25" s="394" t="s">
        <v>14</v>
      </c>
      <c r="V25" s="394"/>
      <c r="W25" s="394"/>
      <c r="X25" s="233"/>
    </row>
    <row r="26" spans="1:24" ht="3" customHeight="1" x14ac:dyDescent="0.25">
      <c r="A26" s="232"/>
      <c r="B26" s="393"/>
      <c r="C26" s="235"/>
      <c r="D26" s="235"/>
      <c r="E26" s="235"/>
      <c r="F26" s="235"/>
      <c r="G26" s="235"/>
      <c r="H26" s="235"/>
      <c r="I26" s="235"/>
      <c r="J26" s="235"/>
      <c r="K26" s="233"/>
      <c r="L26" s="254"/>
      <c r="M26" s="255"/>
      <c r="N26" s="232"/>
      <c r="O26" s="393"/>
      <c r="P26" s="235"/>
      <c r="Q26" s="235"/>
      <c r="R26" s="235"/>
      <c r="S26" s="235"/>
      <c r="T26" s="235"/>
      <c r="U26" s="235"/>
      <c r="V26" s="235"/>
      <c r="W26" s="235"/>
      <c r="X26" s="233"/>
    </row>
    <row r="27" spans="1:24" ht="3" customHeight="1" thickBot="1" x14ac:dyDescent="0.3">
      <c r="A27" s="232"/>
      <c r="B27" s="393"/>
      <c r="C27" s="236"/>
      <c r="D27" s="236"/>
      <c r="E27" s="236"/>
      <c r="F27" s="236"/>
      <c r="G27" s="236"/>
      <c r="H27" s="236"/>
      <c r="I27" s="236"/>
      <c r="J27" s="236"/>
      <c r="K27" s="233"/>
      <c r="L27" s="254"/>
      <c r="M27" s="255"/>
      <c r="N27" s="232"/>
      <c r="O27" s="393"/>
      <c r="P27" s="236"/>
      <c r="Q27" s="236"/>
      <c r="R27" s="236"/>
      <c r="S27" s="236"/>
      <c r="T27" s="236"/>
      <c r="U27" s="236"/>
      <c r="V27" s="236"/>
      <c r="W27" s="236"/>
      <c r="X27" s="233"/>
    </row>
    <row r="28" spans="1:24" ht="30" customHeight="1" thickBot="1" x14ac:dyDescent="0.3">
      <c r="A28" s="232"/>
      <c r="B28" s="393"/>
      <c r="C28" s="227"/>
      <c r="D28" s="273" t="s">
        <v>324</v>
      </c>
      <c r="E28" s="272" t="s">
        <v>333</v>
      </c>
      <c r="F28" s="273" t="s">
        <v>325</v>
      </c>
      <c r="G28" s="272" t="s">
        <v>334</v>
      </c>
      <c r="H28" s="273" t="s">
        <v>332</v>
      </c>
      <c r="I28" s="234"/>
      <c r="J28" s="399" t="s">
        <v>335</v>
      </c>
      <c r="K28" s="233"/>
      <c r="L28" s="254"/>
      <c r="M28" s="255"/>
      <c r="N28" s="232"/>
      <c r="O28" s="393"/>
      <c r="P28" s="227"/>
      <c r="Q28" s="273" t="s">
        <v>324</v>
      </c>
      <c r="R28" s="272" t="s">
        <v>333</v>
      </c>
      <c r="S28" s="273" t="s">
        <v>325</v>
      </c>
      <c r="T28" s="272" t="s">
        <v>334</v>
      </c>
      <c r="U28" s="273" t="s">
        <v>332</v>
      </c>
      <c r="V28" s="234"/>
      <c r="W28" s="399" t="s">
        <v>335</v>
      </c>
      <c r="X28" s="233"/>
    </row>
    <row r="29" spans="1:24" ht="13.5" thickBot="1" x14ac:dyDescent="0.3">
      <c r="A29" s="232"/>
      <c r="B29" s="393"/>
      <c r="C29" s="227"/>
      <c r="D29" s="250" t="s">
        <v>336</v>
      </c>
      <c r="E29" s="227"/>
      <c r="F29" s="250" t="s">
        <v>337</v>
      </c>
      <c r="G29" s="227"/>
      <c r="H29" s="250" t="s">
        <v>338</v>
      </c>
      <c r="I29" s="227"/>
      <c r="J29" s="399"/>
      <c r="K29" s="233"/>
      <c r="L29" s="254"/>
      <c r="M29" s="255"/>
      <c r="N29" s="232"/>
      <c r="O29" s="393"/>
      <c r="P29" s="227"/>
      <c r="Q29" s="250" t="s">
        <v>336</v>
      </c>
      <c r="R29" s="227"/>
      <c r="S29" s="250" t="s">
        <v>337</v>
      </c>
      <c r="T29" s="227"/>
      <c r="U29" s="250" t="s">
        <v>338</v>
      </c>
      <c r="V29" s="227"/>
      <c r="W29" s="399"/>
      <c r="X29" s="233"/>
    </row>
    <row r="30" spans="1:24" ht="30" customHeight="1" thickBot="1" x14ac:dyDescent="0.3">
      <c r="A30" s="232"/>
      <c r="B30" s="393"/>
      <c r="C30" s="227"/>
      <c r="D30" s="273" t="s">
        <v>336</v>
      </c>
      <c r="E30" s="272"/>
      <c r="F30" s="273" t="s">
        <v>337</v>
      </c>
      <c r="G30" s="272"/>
      <c r="H30" s="273" t="s">
        <v>338</v>
      </c>
      <c r="I30" s="234"/>
      <c r="J30" s="399"/>
      <c r="K30" s="233"/>
      <c r="L30" s="254"/>
      <c r="M30" s="255"/>
      <c r="N30" s="232"/>
      <c r="O30" s="393"/>
      <c r="P30" s="227"/>
      <c r="Q30" s="273" t="s">
        <v>336</v>
      </c>
      <c r="R30" s="272"/>
      <c r="S30" s="273" t="s">
        <v>337</v>
      </c>
      <c r="T30" s="272"/>
      <c r="U30" s="273" t="s">
        <v>338</v>
      </c>
      <c r="V30" s="234"/>
      <c r="W30" s="399"/>
      <c r="X30" s="233"/>
    </row>
    <row r="31" spans="1:24" ht="3" customHeight="1" x14ac:dyDescent="0.25">
      <c r="A31" s="232"/>
      <c r="B31" s="235"/>
      <c r="C31" s="235"/>
      <c r="D31" s="235"/>
      <c r="E31" s="235"/>
      <c r="F31" s="235"/>
      <c r="G31" s="235"/>
      <c r="H31" s="235"/>
      <c r="I31" s="235"/>
      <c r="J31" s="235"/>
      <c r="K31" s="233"/>
      <c r="L31" s="254"/>
      <c r="M31" s="255"/>
      <c r="N31" s="232"/>
      <c r="O31" s="235"/>
      <c r="P31" s="235"/>
      <c r="Q31" s="235"/>
      <c r="R31" s="235"/>
      <c r="S31" s="235"/>
      <c r="T31" s="235"/>
      <c r="U31" s="235"/>
      <c r="V31" s="235"/>
      <c r="W31" s="235"/>
      <c r="X31" s="233"/>
    </row>
    <row r="32" spans="1:24" ht="3" customHeight="1" x14ac:dyDescent="0.25">
      <c r="A32" s="232"/>
      <c r="B32" s="236"/>
      <c r="C32" s="236"/>
      <c r="D32" s="236"/>
      <c r="E32" s="236"/>
      <c r="F32" s="236"/>
      <c r="G32" s="236"/>
      <c r="H32" s="236"/>
      <c r="I32" s="236"/>
      <c r="J32" s="236"/>
      <c r="K32" s="233"/>
      <c r="L32" s="254"/>
      <c r="M32" s="255"/>
      <c r="N32" s="232"/>
      <c r="O32" s="236"/>
      <c r="P32" s="236"/>
      <c r="Q32" s="236"/>
      <c r="R32" s="236"/>
      <c r="S32" s="236"/>
      <c r="T32" s="236"/>
      <c r="U32" s="236"/>
      <c r="V32" s="236"/>
      <c r="W32" s="236"/>
      <c r="X32" s="233"/>
    </row>
    <row r="33" spans="1:24" x14ac:dyDescent="0.25">
      <c r="A33" s="232"/>
      <c r="B33" s="227"/>
      <c r="C33" s="227"/>
      <c r="D33" s="227"/>
      <c r="E33" s="227"/>
      <c r="F33" s="227"/>
      <c r="G33" s="227"/>
      <c r="H33" s="227"/>
      <c r="I33" s="227"/>
      <c r="J33" s="227"/>
      <c r="K33" s="233"/>
      <c r="L33" s="254"/>
      <c r="M33" s="255"/>
      <c r="N33" s="232"/>
      <c r="O33" s="227"/>
      <c r="P33" s="227"/>
      <c r="Q33" s="227"/>
      <c r="R33" s="227"/>
      <c r="S33" s="227"/>
      <c r="T33" s="227"/>
      <c r="U33" s="227"/>
      <c r="V33" s="227"/>
      <c r="W33" s="227"/>
      <c r="X33" s="233"/>
    </row>
    <row r="34" spans="1:24" x14ac:dyDescent="0.25">
      <c r="A34" s="232"/>
      <c r="B34" s="227"/>
      <c r="C34" s="227"/>
      <c r="D34" s="227"/>
      <c r="E34" s="227"/>
      <c r="F34" s="227"/>
      <c r="G34" s="227"/>
      <c r="H34" s="227"/>
      <c r="I34" s="227"/>
      <c r="J34" s="227"/>
      <c r="K34" s="233"/>
      <c r="L34" s="254"/>
      <c r="M34" s="255"/>
      <c r="N34" s="232"/>
      <c r="O34" s="227"/>
      <c r="P34" s="227"/>
      <c r="Q34" s="227"/>
      <c r="R34" s="227"/>
      <c r="S34" s="227"/>
      <c r="T34" s="227"/>
      <c r="U34" s="227"/>
      <c r="V34" s="227"/>
      <c r="W34" s="227"/>
      <c r="X34" s="233"/>
    </row>
    <row r="35" spans="1:24" x14ac:dyDescent="0.25">
      <c r="A35" s="232"/>
      <c r="B35" s="227"/>
      <c r="C35" s="227"/>
      <c r="D35" s="227"/>
      <c r="E35" s="227"/>
      <c r="F35" s="227"/>
      <c r="G35" s="227"/>
      <c r="H35" s="227"/>
      <c r="I35" s="227"/>
      <c r="J35" s="227"/>
      <c r="K35" s="233"/>
      <c r="L35" s="254"/>
      <c r="M35" s="255"/>
      <c r="N35" s="232"/>
      <c r="O35" s="227"/>
      <c r="P35" s="227"/>
      <c r="Q35" s="227"/>
      <c r="R35" s="227"/>
      <c r="S35" s="227"/>
      <c r="T35" s="227"/>
      <c r="U35" s="227"/>
      <c r="V35" s="227"/>
      <c r="W35" s="227"/>
      <c r="X35" s="233"/>
    </row>
    <row r="36" spans="1:24" x14ac:dyDescent="0.25">
      <c r="A36" s="232"/>
      <c r="B36" s="227"/>
      <c r="C36" s="227"/>
      <c r="D36" s="227"/>
      <c r="E36" s="227"/>
      <c r="F36" s="227"/>
      <c r="G36" s="227"/>
      <c r="H36" s="227"/>
      <c r="I36" s="227"/>
      <c r="J36" s="227"/>
      <c r="K36" s="233"/>
      <c r="L36" s="254"/>
      <c r="M36" s="255"/>
      <c r="N36" s="232"/>
      <c r="O36" s="227"/>
      <c r="P36" s="227"/>
      <c r="Q36" s="227"/>
      <c r="R36" s="227"/>
      <c r="S36" s="227"/>
      <c r="T36" s="227"/>
      <c r="U36" s="227"/>
      <c r="V36" s="227"/>
      <c r="W36" s="227"/>
      <c r="X36" s="233"/>
    </row>
    <row r="37" spans="1:24" ht="12.75" customHeight="1" x14ac:dyDescent="0.25">
      <c r="A37" s="232"/>
      <c r="B37" s="538" t="s">
        <v>327</v>
      </c>
      <c r="C37" s="538"/>
      <c r="D37" s="538"/>
      <c r="E37" s="538"/>
      <c r="F37" s="538"/>
      <c r="G37" s="538"/>
      <c r="H37" s="538"/>
      <c r="I37" s="538"/>
      <c r="J37" s="538"/>
      <c r="K37" s="233"/>
      <c r="L37" s="254"/>
      <c r="M37" s="255"/>
      <c r="N37" s="232"/>
      <c r="O37" s="538" t="s">
        <v>327</v>
      </c>
      <c r="P37" s="538"/>
      <c r="Q37" s="538"/>
      <c r="R37" s="538"/>
      <c r="S37" s="538"/>
      <c r="T37" s="538"/>
      <c r="U37" s="538"/>
      <c r="V37" s="538"/>
      <c r="W37" s="538"/>
      <c r="X37" s="233"/>
    </row>
    <row r="38" spans="1:24" ht="3" customHeight="1" x14ac:dyDescent="0.25">
      <c r="A38" s="232"/>
      <c r="B38" s="235"/>
      <c r="C38" s="235"/>
      <c r="D38" s="235"/>
      <c r="E38" s="235"/>
      <c r="F38" s="235"/>
      <c r="G38" s="235"/>
      <c r="H38" s="235"/>
      <c r="I38" s="235"/>
      <c r="J38" s="235"/>
      <c r="K38" s="233"/>
      <c r="L38" s="254"/>
      <c r="M38" s="255"/>
      <c r="N38" s="232"/>
      <c r="O38" s="235"/>
      <c r="P38" s="235"/>
      <c r="Q38" s="235"/>
      <c r="R38" s="235"/>
      <c r="S38" s="235"/>
      <c r="T38" s="235"/>
      <c r="U38" s="235"/>
      <c r="V38" s="235"/>
      <c r="W38" s="235"/>
      <c r="X38" s="233"/>
    </row>
    <row r="39" spans="1:24" ht="3" customHeight="1" x14ac:dyDescent="0.25">
      <c r="A39" s="232"/>
      <c r="B39" s="236"/>
      <c r="C39" s="236"/>
      <c r="D39" s="236"/>
      <c r="E39" s="236"/>
      <c r="F39" s="236"/>
      <c r="G39" s="236"/>
      <c r="H39" s="236"/>
      <c r="I39" s="236"/>
      <c r="J39" s="236"/>
      <c r="K39" s="233"/>
      <c r="L39" s="254"/>
      <c r="M39" s="255"/>
      <c r="N39" s="232"/>
      <c r="O39" s="236"/>
      <c r="P39" s="236"/>
      <c r="Q39" s="236"/>
      <c r="R39" s="236"/>
      <c r="S39" s="236"/>
      <c r="T39" s="236"/>
      <c r="U39" s="236"/>
      <c r="V39" s="236"/>
      <c r="W39" s="236"/>
      <c r="X39" s="233"/>
    </row>
    <row r="40" spans="1:24" ht="12.75" customHeight="1" x14ac:dyDescent="0.25">
      <c r="A40" s="232"/>
      <c r="B40" s="393" t="s">
        <v>322</v>
      </c>
      <c r="C40" s="393"/>
      <c r="D40" s="393"/>
      <c r="E40" s="393"/>
      <c r="F40" s="393"/>
      <c r="G40" s="393"/>
      <c r="H40" s="393"/>
      <c r="I40" s="393"/>
      <c r="J40" s="393"/>
      <c r="K40" s="233"/>
      <c r="L40" s="254"/>
      <c r="M40" s="255"/>
      <c r="N40" s="232"/>
      <c r="O40" s="393" t="s">
        <v>322</v>
      </c>
      <c r="P40" s="393"/>
      <c r="Q40" s="393"/>
      <c r="R40" s="393"/>
      <c r="S40" s="393"/>
      <c r="T40" s="393"/>
      <c r="U40" s="393"/>
      <c r="V40" s="393"/>
      <c r="W40" s="393"/>
      <c r="X40" s="233"/>
    </row>
    <row r="41" spans="1:24" ht="3" customHeight="1" thickBot="1" x14ac:dyDescent="0.3">
      <c r="A41" s="232"/>
      <c r="B41" s="228"/>
      <c r="C41" s="227"/>
      <c r="D41" s="227"/>
      <c r="E41" s="227"/>
      <c r="F41" s="227"/>
      <c r="G41" s="227"/>
      <c r="H41" s="227"/>
      <c r="I41" s="227"/>
      <c r="J41" s="227"/>
      <c r="K41" s="233"/>
      <c r="L41" s="254"/>
      <c r="M41" s="255"/>
      <c r="N41" s="232"/>
      <c r="O41" s="228"/>
      <c r="P41" s="227"/>
      <c r="Q41" s="227"/>
      <c r="R41" s="227"/>
      <c r="S41" s="227"/>
      <c r="T41" s="227"/>
      <c r="U41" s="227"/>
      <c r="V41" s="227"/>
      <c r="W41" s="227"/>
      <c r="X41" s="233"/>
    </row>
    <row r="42" spans="1:24" ht="30" customHeight="1" thickBot="1" x14ac:dyDescent="0.3">
      <c r="A42" s="232"/>
      <c r="B42" s="395" t="s">
        <v>339</v>
      </c>
      <c r="C42" s="396"/>
      <c r="D42" s="397"/>
      <c r="E42" s="272"/>
      <c r="F42" s="273" t="s">
        <v>323</v>
      </c>
      <c r="G42" s="272" t="s">
        <v>333</v>
      </c>
      <c r="H42" s="273" t="s">
        <v>324</v>
      </c>
      <c r="I42" s="256"/>
      <c r="J42" s="256"/>
      <c r="K42" s="233"/>
      <c r="L42" s="254"/>
      <c r="M42" s="255"/>
      <c r="N42" s="232"/>
      <c r="O42" s="395" t="s">
        <v>339</v>
      </c>
      <c r="P42" s="396"/>
      <c r="Q42" s="397"/>
      <c r="R42" s="272"/>
      <c r="S42" s="273" t="s">
        <v>323</v>
      </c>
      <c r="T42" s="272" t="s">
        <v>333</v>
      </c>
      <c r="U42" s="273" t="s">
        <v>324</v>
      </c>
      <c r="V42" s="256"/>
      <c r="W42" s="256"/>
      <c r="X42" s="233"/>
    </row>
    <row r="43" spans="1:24" ht="3" customHeight="1" thickBot="1" x14ac:dyDescent="0.3">
      <c r="A43" s="232"/>
      <c r="B43" s="228"/>
      <c r="C43" s="227"/>
      <c r="D43" s="227"/>
      <c r="E43" s="227"/>
      <c r="F43" s="227"/>
      <c r="G43" s="227"/>
      <c r="H43" s="227"/>
      <c r="I43" s="227"/>
      <c r="J43" s="227"/>
      <c r="K43" s="233"/>
      <c r="L43" s="254"/>
      <c r="M43" s="255"/>
      <c r="N43" s="232"/>
      <c r="O43" s="228"/>
      <c r="P43" s="227"/>
      <c r="Q43" s="227"/>
      <c r="R43" s="227"/>
      <c r="S43" s="227"/>
      <c r="T43" s="227"/>
      <c r="U43" s="227"/>
      <c r="V43" s="227"/>
      <c r="W43" s="227"/>
      <c r="X43" s="233"/>
    </row>
    <row r="44" spans="1:24" ht="30" customHeight="1" thickBot="1" x14ac:dyDescent="0.3">
      <c r="A44" s="232"/>
      <c r="B44" s="395" t="s">
        <v>339</v>
      </c>
      <c r="C44" s="396"/>
      <c r="D44" s="397"/>
      <c r="E44" s="272"/>
      <c r="F44" s="273" t="s">
        <v>323</v>
      </c>
      <c r="G44" s="272" t="s">
        <v>333</v>
      </c>
      <c r="H44" s="273" t="s">
        <v>324</v>
      </c>
      <c r="I44" s="256"/>
      <c r="J44" s="256"/>
      <c r="K44" s="233"/>
      <c r="L44" s="254"/>
      <c r="M44" s="255"/>
      <c r="N44" s="232"/>
      <c r="O44" s="395" t="s">
        <v>339</v>
      </c>
      <c r="P44" s="396"/>
      <c r="Q44" s="397"/>
      <c r="R44" s="272"/>
      <c r="S44" s="273" t="s">
        <v>323</v>
      </c>
      <c r="T44" s="272" t="s">
        <v>333</v>
      </c>
      <c r="U44" s="273" t="s">
        <v>324</v>
      </c>
      <c r="V44" s="256"/>
      <c r="W44" s="256"/>
      <c r="X44" s="233"/>
    </row>
    <row r="45" spans="1:24" ht="3" customHeight="1" thickBot="1" x14ac:dyDescent="0.3">
      <c r="A45" s="232"/>
      <c r="B45" s="228"/>
      <c r="C45" s="227"/>
      <c r="D45" s="227"/>
      <c r="E45" s="227"/>
      <c r="F45" s="227"/>
      <c r="G45" s="227"/>
      <c r="H45" s="227"/>
      <c r="I45" s="227"/>
      <c r="J45" s="227"/>
      <c r="K45" s="233"/>
      <c r="L45" s="254"/>
      <c r="M45" s="255"/>
      <c r="N45" s="232"/>
      <c r="O45" s="228"/>
      <c r="P45" s="227"/>
      <c r="Q45" s="227"/>
      <c r="R45" s="227"/>
      <c r="S45" s="227"/>
      <c r="T45" s="227"/>
      <c r="U45" s="227"/>
      <c r="V45" s="227"/>
      <c r="W45" s="227"/>
      <c r="X45" s="233"/>
    </row>
    <row r="46" spans="1:24" ht="30" customHeight="1" thickBot="1" x14ac:dyDescent="0.3">
      <c r="A46" s="232"/>
      <c r="B46" s="395" t="s">
        <v>339</v>
      </c>
      <c r="C46" s="396"/>
      <c r="D46" s="397"/>
      <c r="E46" s="272"/>
      <c r="F46" s="273" t="s">
        <v>323</v>
      </c>
      <c r="G46" s="272" t="s">
        <v>333</v>
      </c>
      <c r="H46" s="273" t="s">
        <v>324</v>
      </c>
      <c r="I46" s="256"/>
      <c r="J46" s="256"/>
      <c r="K46" s="233"/>
      <c r="L46" s="254"/>
      <c r="M46" s="255"/>
      <c r="N46" s="232"/>
      <c r="O46" s="395" t="s">
        <v>339</v>
      </c>
      <c r="P46" s="396"/>
      <c r="Q46" s="397"/>
      <c r="R46" s="272"/>
      <c r="S46" s="273" t="s">
        <v>323</v>
      </c>
      <c r="T46" s="272" t="s">
        <v>333</v>
      </c>
      <c r="U46" s="273" t="s">
        <v>324</v>
      </c>
      <c r="V46" s="256"/>
      <c r="W46" s="256"/>
      <c r="X46" s="233"/>
    </row>
    <row r="47" spans="1:24" ht="3" customHeight="1" x14ac:dyDescent="0.25">
      <c r="A47" s="232"/>
      <c r="B47" s="235"/>
      <c r="C47" s="235"/>
      <c r="D47" s="235"/>
      <c r="E47" s="235"/>
      <c r="F47" s="235"/>
      <c r="G47" s="235"/>
      <c r="H47" s="235"/>
      <c r="I47" s="235"/>
      <c r="J47" s="235"/>
      <c r="K47" s="233"/>
      <c r="L47" s="254"/>
      <c r="M47" s="255"/>
      <c r="N47" s="232"/>
      <c r="O47" s="235"/>
      <c r="P47" s="235"/>
      <c r="Q47" s="235"/>
      <c r="R47" s="235"/>
      <c r="S47" s="235"/>
      <c r="T47" s="235"/>
      <c r="U47" s="235"/>
      <c r="V47" s="235"/>
      <c r="W47" s="235"/>
      <c r="X47" s="233"/>
    </row>
    <row r="48" spans="1:24" ht="3" customHeight="1" x14ac:dyDescent="0.25">
      <c r="A48" s="232"/>
      <c r="B48" s="236"/>
      <c r="C48" s="236"/>
      <c r="D48" s="236"/>
      <c r="E48" s="236"/>
      <c r="F48" s="236"/>
      <c r="G48" s="236"/>
      <c r="H48" s="236"/>
      <c r="I48" s="236"/>
      <c r="J48" s="236"/>
      <c r="K48" s="233"/>
      <c r="L48" s="254"/>
      <c r="M48" s="255"/>
      <c r="N48" s="232"/>
      <c r="O48" s="236"/>
      <c r="P48" s="236"/>
      <c r="Q48" s="236"/>
      <c r="R48" s="236"/>
      <c r="S48" s="236"/>
      <c r="T48" s="236"/>
      <c r="U48" s="236"/>
      <c r="V48" s="236"/>
      <c r="W48" s="236"/>
      <c r="X48" s="233"/>
    </row>
    <row r="49" spans="1:24" ht="12.75" customHeight="1" thickBot="1" x14ac:dyDescent="0.3">
      <c r="A49" s="257"/>
      <c r="B49" s="539" t="s">
        <v>326</v>
      </c>
      <c r="C49" s="539"/>
      <c r="D49" s="539"/>
      <c r="E49" s="539"/>
      <c r="F49" s="539"/>
      <c r="G49" s="539"/>
      <c r="H49" s="539"/>
      <c r="I49" s="539"/>
      <c r="J49" s="539"/>
      <c r="K49" s="258"/>
      <c r="L49" s="254"/>
      <c r="M49" s="255"/>
      <c r="N49" s="257"/>
      <c r="O49" s="539" t="s">
        <v>326</v>
      </c>
      <c r="P49" s="539"/>
      <c r="Q49" s="539"/>
      <c r="R49" s="539"/>
      <c r="S49" s="539"/>
      <c r="T49" s="539"/>
      <c r="U49" s="539"/>
      <c r="V49" s="539"/>
      <c r="W49" s="539"/>
      <c r="X49" s="258"/>
    </row>
    <row r="50" spans="1:24" ht="30" customHeight="1" thickBot="1" x14ac:dyDescent="0.3">
      <c r="A50" s="257"/>
      <c r="B50" s="259">
        <v>1</v>
      </c>
      <c r="C50" s="260"/>
      <c r="D50" s="259">
        <f>1+B50</f>
        <v>2</v>
      </c>
      <c r="E50" s="260"/>
      <c r="F50" s="259">
        <f>1+D50</f>
        <v>3</v>
      </c>
      <c r="G50" s="260"/>
      <c r="H50" s="259">
        <f>1+F50</f>
        <v>4</v>
      </c>
      <c r="I50" s="261"/>
      <c r="J50" s="259">
        <f>1+H50</f>
        <v>5</v>
      </c>
      <c r="K50" s="258"/>
      <c r="L50" s="254"/>
      <c r="M50" s="255"/>
      <c r="N50" s="257"/>
      <c r="O50" s="259">
        <v>1</v>
      </c>
      <c r="P50" s="260"/>
      <c r="Q50" s="259">
        <f>1+O50</f>
        <v>2</v>
      </c>
      <c r="R50" s="260"/>
      <c r="S50" s="259">
        <f>1+Q50</f>
        <v>3</v>
      </c>
      <c r="T50" s="260"/>
      <c r="U50" s="259">
        <f>1+S50</f>
        <v>4</v>
      </c>
      <c r="V50" s="261"/>
      <c r="W50" s="259">
        <f>1+U50</f>
        <v>5</v>
      </c>
      <c r="X50" s="258"/>
    </row>
    <row r="51" spans="1:24" ht="3" customHeight="1" thickBot="1" x14ac:dyDescent="0.3">
      <c r="A51" s="257"/>
      <c r="B51" s="262"/>
      <c r="C51" s="260"/>
      <c r="D51" s="260"/>
      <c r="E51" s="260"/>
      <c r="F51" s="260"/>
      <c r="G51" s="260"/>
      <c r="H51" s="260"/>
      <c r="I51" s="260"/>
      <c r="J51" s="260"/>
      <c r="K51" s="258"/>
      <c r="L51" s="254"/>
      <c r="M51" s="255"/>
      <c r="N51" s="257"/>
      <c r="O51" s="262"/>
      <c r="P51" s="260"/>
      <c r="Q51" s="260"/>
      <c r="R51" s="260"/>
      <c r="S51" s="260"/>
      <c r="T51" s="260"/>
      <c r="U51" s="260"/>
      <c r="V51" s="260"/>
      <c r="W51" s="260"/>
      <c r="X51" s="258"/>
    </row>
    <row r="52" spans="1:24" ht="30" customHeight="1" thickBot="1" x14ac:dyDescent="0.3">
      <c r="A52" s="257"/>
      <c r="B52" s="259">
        <f>1+J50</f>
        <v>6</v>
      </c>
      <c r="C52" s="260"/>
      <c r="D52" s="259">
        <f>1+B52</f>
        <v>7</v>
      </c>
      <c r="E52" s="260"/>
      <c r="F52" s="259">
        <f>1+D52</f>
        <v>8</v>
      </c>
      <c r="G52" s="260"/>
      <c r="H52" s="259">
        <f>1+F52</f>
        <v>9</v>
      </c>
      <c r="I52" s="261"/>
      <c r="J52" s="259">
        <f>1+H52</f>
        <v>10</v>
      </c>
      <c r="K52" s="258"/>
      <c r="L52" s="254"/>
      <c r="M52" s="255"/>
      <c r="N52" s="257"/>
      <c r="O52" s="259">
        <f>1+W50</f>
        <v>6</v>
      </c>
      <c r="P52" s="260"/>
      <c r="Q52" s="259">
        <f>1+O52</f>
        <v>7</v>
      </c>
      <c r="R52" s="260"/>
      <c r="S52" s="259">
        <f>1+Q52</f>
        <v>8</v>
      </c>
      <c r="T52" s="260"/>
      <c r="U52" s="259">
        <f>1+S52</f>
        <v>9</v>
      </c>
      <c r="V52" s="261"/>
      <c r="W52" s="259">
        <f>1+U52</f>
        <v>10</v>
      </c>
      <c r="X52" s="258"/>
    </row>
    <row r="53" spans="1:24" ht="3" customHeight="1" thickBot="1" x14ac:dyDescent="0.3">
      <c r="A53" s="257"/>
      <c r="B53" s="262"/>
      <c r="C53" s="260"/>
      <c r="D53" s="260"/>
      <c r="E53" s="260"/>
      <c r="F53" s="260"/>
      <c r="G53" s="260"/>
      <c r="H53" s="260"/>
      <c r="I53" s="260"/>
      <c r="J53" s="260"/>
      <c r="K53" s="258"/>
      <c r="L53" s="254"/>
      <c r="M53" s="255"/>
      <c r="N53" s="257"/>
      <c r="O53" s="262"/>
      <c r="P53" s="260"/>
      <c r="Q53" s="260"/>
      <c r="R53" s="260"/>
      <c r="S53" s="260"/>
      <c r="T53" s="260"/>
      <c r="U53" s="260"/>
      <c r="V53" s="260"/>
      <c r="W53" s="260"/>
      <c r="X53" s="258"/>
    </row>
    <row r="54" spans="1:24" ht="30" customHeight="1" thickBot="1" x14ac:dyDescent="0.3">
      <c r="A54" s="257"/>
      <c r="B54" s="259">
        <f>1+J52</f>
        <v>11</v>
      </c>
      <c r="C54" s="260"/>
      <c r="D54" s="259">
        <f>1+B54</f>
        <v>12</v>
      </c>
      <c r="E54" s="260"/>
      <c r="F54" s="259">
        <f>1+D54</f>
        <v>13</v>
      </c>
      <c r="G54" s="260"/>
      <c r="H54" s="259">
        <f>1+F54</f>
        <v>14</v>
      </c>
      <c r="I54" s="261"/>
      <c r="J54" s="259">
        <f>1+H54</f>
        <v>15</v>
      </c>
      <c r="K54" s="258"/>
      <c r="L54" s="254"/>
      <c r="M54" s="255"/>
      <c r="N54" s="257"/>
      <c r="O54" s="259">
        <f>1+W52</f>
        <v>11</v>
      </c>
      <c r="P54" s="260"/>
      <c r="Q54" s="259">
        <f>1+O54</f>
        <v>12</v>
      </c>
      <c r="R54" s="260"/>
      <c r="S54" s="259">
        <f>1+Q54</f>
        <v>13</v>
      </c>
      <c r="T54" s="260"/>
      <c r="U54" s="259">
        <f>1+S54</f>
        <v>14</v>
      </c>
      <c r="V54" s="261"/>
      <c r="W54" s="259">
        <f>1+U54</f>
        <v>15</v>
      </c>
      <c r="X54" s="258"/>
    </row>
    <row r="55" spans="1:24" s="227" customFormat="1" ht="3" customHeight="1" thickBot="1" x14ac:dyDescent="0.3">
      <c r="A55" s="263"/>
      <c r="B55" s="264"/>
      <c r="C55" s="264"/>
      <c r="D55" s="264"/>
      <c r="E55" s="264"/>
      <c r="F55" s="264"/>
      <c r="G55" s="264"/>
      <c r="H55" s="264"/>
      <c r="I55" s="264"/>
      <c r="J55" s="264"/>
      <c r="K55" s="265"/>
      <c r="L55" s="254"/>
      <c r="M55" s="255"/>
      <c r="N55" s="263"/>
      <c r="O55" s="264"/>
      <c r="P55" s="264"/>
      <c r="Q55" s="264"/>
      <c r="R55" s="264"/>
      <c r="S55" s="264"/>
      <c r="T55" s="264"/>
      <c r="U55" s="264"/>
      <c r="V55" s="264"/>
      <c r="W55" s="264"/>
      <c r="X55" s="265"/>
    </row>
  </sheetData>
  <mergeCells count="40">
    <mergeCell ref="B37:J37"/>
    <mergeCell ref="O37:W37"/>
    <mergeCell ref="B40:J40"/>
    <mergeCell ref="O40:W40"/>
    <mergeCell ref="O49:W49"/>
    <mergeCell ref="B49:J49"/>
    <mergeCell ref="O42:Q42"/>
    <mergeCell ref="O44:Q44"/>
    <mergeCell ref="O46:Q46"/>
    <mergeCell ref="B42:D42"/>
    <mergeCell ref="B44:D44"/>
    <mergeCell ref="B46:D46"/>
    <mergeCell ref="U4:W4"/>
    <mergeCell ref="O7:O9"/>
    <mergeCell ref="U7:W7"/>
    <mergeCell ref="U9:W9"/>
    <mergeCell ref="O12:O17"/>
    <mergeCell ref="H9:J9"/>
    <mergeCell ref="B7:B9"/>
    <mergeCell ref="H4:J4"/>
    <mergeCell ref="H12:J12"/>
    <mergeCell ref="H14:J14"/>
    <mergeCell ref="B12:B17"/>
    <mergeCell ref="D4:F4"/>
    <mergeCell ref="B2:J2"/>
    <mergeCell ref="Q4:S4"/>
    <mergeCell ref="O23:O30"/>
    <mergeCell ref="W28:W30"/>
    <mergeCell ref="O2:W2"/>
    <mergeCell ref="H23:J23"/>
    <mergeCell ref="H25:J25"/>
    <mergeCell ref="J28:J30"/>
    <mergeCell ref="B23:B30"/>
    <mergeCell ref="U12:W12"/>
    <mergeCell ref="U14:W14"/>
    <mergeCell ref="U20:W20"/>
    <mergeCell ref="U23:W23"/>
    <mergeCell ref="U25:W25"/>
    <mergeCell ref="H20:J20"/>
    <mergeCell ref="H7:J7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45"/>
  <sheetViews>
    <sheetView view="pageBreakPreview" topLeftCell="A28" zoomScaleNormal="55" zoomScaleSheetLayoutView="100" workbookViewId="0">
      <selection activeCell="D4" sqref="D4:J4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50.1" customHeight="1" x14ac:dyDescent="0.25">
      <c r="A1" s="19" t="str">
        <f>название</f>
        <v>Ралли "Смоленск - 2019"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ht="50.1" customHeight="1" x14ac:dyDescent="0.25">
      <c r="A2" s="19" t="s">
        <v>35</v>
      </c>
      <c r="B2" s="14"/>
      <c r="C2" s="14"/>
      <c r="D2" s="14"/>
      <c r="E2" s="14"/>
      <c r="F2" s="14"/>
      <c r="G2" s="14"/>
      <c r="H2" s="14"/>
      <c r="I2" s="14"/>
      <c r="J2" s="14"/>
    </row>
    <row r="3" spans="1:10" ht="23.25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</row>
    <row r="4" spans="1:10" ht="50.1" customHeight="1" x14ac:dyDescent="0.25">
      <c r="A4" s="69" t="s">
        <v>313</v>
      </c>
      <c r="B4" s="70"/>
      <c r="C4" s="70"/>
      <c r="D4" s="70"/>
      <c r="E4" s="70"/>
      <c r="F4" s="70"/>
      <c r="G4" s="70"/>
      <c r="H4" s="70"/>
      <c r="I4" s="70"/>
      <c r="J4" s="70"/>
    </row>
    <row r="5" spans="1:10" x14ac:dyDescent="0.25">
      <c r="A5" s="20"/>
    </row>
    <row r="6" spans="1:10" x14ac:dyDescent="0.25">
      <c r="A6" s="20"/>
    </row>
    <row r="7" spans="1:10" x14ac:dyDescent="0.25">
      <c r="A7" s="20"/>
    </row>
    <row r="8" spans="1:10" x14ac:dyDescent="0.25">
      <c r="A8" s="20"/>
    </row>
    <row r="9" spans="1:10" x14ac:dyDescent="0.25">
      <c r="A9" s="20"/>
    </row>
    <row r="10" spans="1:10" x14ac:dyDescent="0.25">
      <c r="A10" s="20"/>
    </row>
    <row r="11" spans="1:10" x14ac:dyDescent="0.25">
      <c r="A11" s="20"/>
    </row>
    <row r="12" spans="1:10" x14ac:dyDescent="0.25">
      <c r="A12" s="20"/>
    </row>
    <row r="13" spans="1:10" x14ac:dyDescent="0.25">
      <c r="A13" s="20"/>
    </row>
    <row r="14" spans="1:10" x14ac:dyDescent="0.25">
      <c r="A14" s="20"/>
    </row>
    <row r="15" spans="1:10" x14ac:dyDescent="0.25">
      <c r="A15" s="20"/>
    </row>
    <row r="16" spans="1:10" x14ac:dyDescent="0.25">
      <c r="A16" s="20"/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0" x14ac:dyDescent="0.25">
      <c r="A33" s="20"/>
    </row>
    <row r="34" spans="1:10" x14ac:dyDescent="0.25">
      <c r="A34" s="20"/>
    </row>
    <row r="35" spans="1:10" x14ac:dyDescent="0.25">
      <c r="A35" s="20"/>
    </row>
    <row r="36" spans="1:10" x14ac:dyDescent="0.25">
      <c r="A36" s="20"/>
    </row>
    <row r="37" spans="1:10" x14ac:dyDescent="0.25">
      <c r="A37" s="20"/>
    </row>
    <row r="38" spans="1:10" x14ac:dyDescent="0.25">
      <c r="A38" s="20"/>
    </row>
    <row r="39" spans="1:10" x14ac:dyDescent="0.25">
      <c r="A39" s="20"/>
    </row>
    <row r="40" spans="1:10" x14ac:dyDescent="0.25">
      <c r="A40" s="20"/>
    </row>
    <row r="41" spans="1:10" x14ac:dyDescent="0.25">
      <c r="A41" s="20"/>
    </row>
    <row r="42" spans="1:10" x14ac:dyDescent="0.25">
      <c r="A42" s="20"/>
    </row>
    <row r="43" spans="1:10" x14ac:dyDescent="0.25">
      <c r="A43" s="20"/>
    </row>
    <row r="44" spans="1:10" ht="24.95" customHeight="1" x14ac:dyDescent="0.25">
      <c r="A44" s="71" t="str">
        <f>датаРалли</f>
        <v>21 сентября 2019 г.</v>
      </c>
      <c r="B44" s="13"/>
      <c r="C44" s="13"/>
      <c r="D44" s="13"/>
      <c r="E44" s="13"/>
      <c r="F44" s="13"/>
      <c r="G44" s="13"/>
      <c r="H44" s="13"/>
      <c r="I44" s="13"/>
      <c r="J44" s="13"/>
    </row>
    <row r="45" spans="1:10" ht="24.95" customHeight="1" x14ac:dyDescent="0.25">
      <c r="A45" s="72" t="s">
        <v>386</v>
      </c>
      <c r="B45" s="13"/>
      <c r="C45" s="13"/>
      <c r="D45" s="13"/>
      <c r="E45" s="13"/>
      <c r="F45" s="13"/>
      <c r="G45" s="13"/>
      <c r="H45" s="13"/>
      <c r="I45" s="13"/>
      <c r="J45" s="13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45"/>
  <sheetViews>
    <sheetView view="pageBreakPreview" topLeftCell="A28" zoomScaleNormal="55" zoomScaleSheetLayoutView="100" workbookViewId="0">
      <selection activeCell="D4" sqref="D4:J4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50.1" customHeight="1" x14ac:dyDescent="0.25">
      <c r="A1" s="19" t="str">
        <f>название</f>
        <v>Ралли "Смоленск - 2019"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ht="50.1" customHeight="1" x14ac:dyDescent="0.25">
      <c r="A2" s="19" t="s">
        <v>35</v>
      </c>
      <c r="B2" s="14"/>
      <c r="C2" s="14"/>
      <c r="D2" s="14"/>
      <c r="E2" s="14"/>
      <c r="F2" s="14"/>
      <c r="G2" s="14"/>
      <c r="H2" s="14"/>
      <c r="I2" s="14"/>
      <c r="J2" s="14"/>
    </row>
    <row r="3" spans="1:10" ht="23.25" x14ac:dyDescent="0.25">
      <c r="A3" s="67"/>
      <c r="B3" s="68"/>
      <c r="C3" s="68"/>
      <c r="D3" s="68"/>
      <c r="E3" s="68"/>
      <c r="F3" s="68"/>
      <c r="G3" s="68"/>
      <c r="H3" s="68"/>
      <c r="I3" s="68"/>
      <c r="J3" s="68"/>
    </row>
    <row r="4" spans="1:10" ht="50.1" customHeight="1" x14ac:dyDescent="0.25">
      <c r="A4" s="79" t="s">
        <v>314</v>
      </c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 s="20"/>
    </row>
    <row r="6" spans="1:10" x14ac:dyDescent="0.25">
      <c r="A6" s="20"/>
    </row>
    <row r="7" spans="1:10" x14ac:dyDescent="0.25">
      <c r="A7" s="20"/>
    </row>
    <row r="8" spans="1:10" x14ac:dyDescent="0.25">
      <c r="A8" s="20"/>
    </row>
    <row r="9" spans="1:10" x14ac:dyDescent="0.25">
      <c r="A9" s="20"/>
    </row>
    <row r="10" spans="1:10" x14ac:dyDescent="0.25">
      <c r="A10" s="20"/>
    </row>
    <row r="11" spans="1:10" x14ac:dyDescent="0.25">
      <c r="A11" s="20"/>
    </row>
    <row r="12" spans="1:10" x14ac:dyDescent="0.25">
      <c r="A12" s="20"/>
    </row>
    <row r="13" spans="1:10" x14ac:dyDescent="0.25">
      <c r="A13" s="20"/>
    </row>
    <row r="14" spans="1:10" x14ac:dyDescent="0.25">
      <c r="A14" s="20"/>
    </row>
    <row r="15" spans="1:10" x14ac:dyDescent="0.25">
      <c r="A15" s="20"/>
    </row>
    <row r="16" spans="1:10" x14ac:dyDescent="0.25">
      <c r="A16" s="20"/>
    </row>
    <row r="17" spans="1:1" x14ac:dyDescent="0.25">
      <c r="A17" s="20"/>
    </row>
    <row r="18" spans="1:1" x14ac:dyDescent="0.25">
      <c r="A18" s="20"/>
    </row>
    <row r="19" spans="1:1" x14ac:dyDescent="0.25">
      <c r="A19" s="20"/>
    </row>
    <row r="20" spans="1:1" x14ac:dyDescent="0.25">
      <c r="A20" s="20"/>
    </row>
    <row r="21" spans="1:1" x14ac:dyDescent="0.25">
      <c r="A21" s="20"/>
    </row>
    <row r="22" spans="1:1" x14ac:dyDescent="0.25">
      <c r="A22" s="20"/>
    </row>
    <row r="23" spans="1:1" x14ac:dyDescent="0.25">
      <c r="A23" s="20"/>
    </row>
    <row r="24" spans="1:1" x14ac:dyDescent="0.25">
      <c r="A24" s="20"/>
    </row>
    <row r="25" spans="1:1" x14ac:dyDescent="0.25">
      <c r="A25" s="20"/>
    </row>
    <row r="26" spans="1:1" x14ac:dyDescent="0.25">
      <c r="A26" s="20"/>
    </row>
    <row r="27" spans="1:1" x14ac:dyDescent="0.25">
      <c r="A27" s="20"/>
    </row>
    <row r="28" spans="1:1" x14ac:dyDescent="0.25">
      <c r="A28" s="20"/>
    </row>
    <row r="29" spans="1:1" x14ac:dyDescent="0.25">
      <c r="A29" s="20"/>
    </row>
    <row r="30" spans="1:1" x14ac:dyDescent="0.25">
      <c r="A30" s="20"/>
    </row>
    <row r="31" spans="1:1" x14ac:dyDescent="0.25">
      <c r="A31" s="20"/>
    </row>
    <row r="32" spans="1:1" x14ac:dyDescent="0.25">
      <c r="A32" s="20"/>
    </row>
    <row r="33" spans="1:10" x14ac:dyDescent="0.25">
      <c r="A33" s="20"/>
    </row>
    <row r="34" spans="1:10" x14ac:dyDescent="0.25">
      <c r="A34" s="20"/>
    </row>
    <row r="35" spans="1:10" x14ac:dyDescent="0.25">
      <c r="A35" s="20"/>
    </row>
    <row r="36" spans="1:10" x14ac:dyDescent="0.25">
      <c r="A36" s="20"/>
    </row>
    <row r="37" spans="1:10" x14ac:dyDescent="0.25">
      <c r="A37" s="20"/>
    </row>
    <row r="38" spans="1:10" x14ac:dyDescent="0.25">
      <c r="A38" s="20"/>
    </row>
    <row r="39" spans="1:10" x14ac:dyDescent="0.25">
      <c r="A39" s="20"/>
    </row>
    <row r="40" spans="1:10" x14ac:dyDescent="0.25">
      <c r="A40" s="20"/>
    </row>
    <row r="41" spans="1:10" x14ac:dyDescent="0.25">
      <c r="A41" s="20"/>
    </row>
    <row r="42" spans="1:10" x14ac:dyDescent="0.25">
      <c r="A42" s="20"/>
    </row>
    <row r="43" spans="1:10" x14ac:dyDescent="0.25">
      <c r="A43" s="20"/>
    </row>
    <row r="44" spans="1:10" ht="24.95" customHeight="1" x14ac:dyDescent="0.25">
      <c r="A44" s="71" t="str">
        <f>датаРалли</f>
        <v>21 сентября 2019 г.</v>
      </c>
      <c r="B44" s="13"/>
      <c r="C44" s="13"/>
      <c r="D44" s="13"/>
      <c r="E44" s="13"/>
      <c r="F44" s="13"/>
      <c r="G44" s="13"/>
      <c r="H44" s="13"/>
      <c r="I44" s="13"/>
      <c r="J44" s="13"/>
    </row>
    <row r="45" spans="1:10" ht="24.95" customHeight="1" x14ac:dyDescent="0.25">
      <c r="A45" s="72" t="s">
        <v>386</v>
      </c>
      <c r="B45" s="13"/>
      <c r="C45" s="13"/>
      <c r="D45" s="13"/>
      <c r="E45" s="13"/>
      <c r="F45" s="13"/>
      <c r="G45" s="13"/>
      <c r="H45" s="13"/>
      <c r="I45" s="13"/>
      <c r="J45" s="13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J10"/>
  <sheetViews>
    <sheetView view="pageBreakPreview" zoomScale="70" zoomScaleNormal="55" zoomScaleSheetLayoutView="70" workbookViewId="0">
      <selection activeCell="D4" sqref="D4:J4"/>
    </sheetView>
  </sheetViews>
  <sheetFormatPr defaultRowHeight="15" x14ac:dyDescent="0.25"/>
  <cols>
    <col min="1" max="10" width="9.42578125" style="1" customWidth="1"/>
    <col min="11" max="16384" width="9.140625" style="1"/>
  </cols>
  <sheetData>
    <row r="1" spans="1:10" ht="24.95" customHeight="1" x14ac:dyDescent="0.25">
      <c r="A1" s="317" t="s">
        <v>384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0" ht="5.0999999999999996" customHeight="1" x14ac:dyDescent="0.25">
      <c r="A2" s="319"/>
      <c r="B2" s="319"/>
      <c r="C2" s="319"/>
      <c r="D2" s="320"/>
      <c r="E2" s="320"/>
      <c r="F2" s="320"/>
      <c r="G2" s="320"/>
      <c r="H2" s="320"/>
      <c r="I2" s="320"/>
      <c r="J2" s="320"/>
    </row>
    <row r="3" spans="1:10" ht="24.95" customHeight="1" x14ac:dyDescent="0.25">
      <c r="A3" s="424" t="s">
        <v>390</v>
      </c>
      <c r="B3" s="424"/>
      <c r="C3" s="424"/>
      <c r="D3" s="424"/>
      <c r="E3" s="424" t="s">
        <v>391</v>
      </c>
      <c r="F3" s="424"/>
      <c r="G3" s="424" t="s">
        <v>392</v>
      </c>
      <c r="H3" s="424"/>
      <c r="I3" s="424" t="s">
        <v>393</v>
      </c>
      <c r="J3" s="424"/>
    </row>
    <row r="4" spans="1:10" ht="74.25" customHeight="1" x14ac:dyDescent="0.3">
      <c r="A4" s="411" t="s">
        <v>387</v>
      </c>
      <c r="B4" s="411"/>
      <c r="C4" s="411"/>
      <c r="D4" s="412"/>
      <c r="E4" s="413" t="s">
        <v>388</v>
      </c>
      <c r="F4" s="414"/>
      <c r="G4" s="417"/>
      <c r="H4" s="421"/>
      <c r="I4" s="417" t="s">
        <v>389</v>
      </c>
      <c r="J4" s="418"/>
    </row>
    <row r="5" spans="1:10" ht="74.25" customHeight="1" x14ac:dyDescent="0.3">
      <c r="A5" s="411" t="s">
        <v>394</v>
      </c>
      <c r="B5" s="411"/>
      <c r="C5" s="411"/>
      <c r="D5" s="412"/>
      <c r="E5" s="413"/>
      <c r="F5" s="414"/>
      <c r="G5" s="417"/>
      <c r="H5" s="421"/>
      <c r="I5" s="417" t="s">
        <v>389</v>
      </c>
      <c r="J5" s="418"/>
    </row>
    <row r="6" spans="1:10" ht="74.25" customHeight="1" x14ac:dyDescent="0.3">
      <c r="A6" s="411" t="s">
        <v>398</v>
      </c>
      <c r="B6" s="411"/>
      <c r="C6" s="411"/>
      <c r="D6" s="412"/>
      <c r="E6" s="413"/>
      <c r="F6" s="414"/>
      <c r="G6" s="417"/>
      <c r="H6" s="421"/>
      <c r="I6" s="417" t="s">
        <v>389</v>
      </c>
      <c r="J6" s="418"/>
    </row>
    <row r="7" spans="1:10" ht="74.25" customHeight="1" x14ac:dyDescent="0.3">
      <c r="A7" s="411" t="s">
        <v>401</v>
      </c>
      <c r="B7" s="411"/>
      <c r="C7" s="411"/>
      <c r="D7" s="412"/>
      <c r="E7" s="413"/>
      <c r="F7" s="414"/>
      <c r="G7" s="417"/>
      <c r="H7" s="421"/>
      <c r="I7" s="417" t="s">
        <v>389</v>
      </c>
      <c r="J7" s="418"/>
    </row>
    <row r="8" spans="1:10" ht="74.25" customHeight="1" x14ac:dyDescent="0.3">
      <c r="A8" s="411" t="s">
        <v>399</v>
      </c>
      <c r="B8" s="411"/>
      <c r="C8" s="411"/>
      <c r="D8" s="412"/>
      <c r="E8" s="413"/>
      <c r="F8" s="414"/>
      <c r="G8" s="419" t="s">
        <v>397</v>
      </c>
      <c r="H8" s="420"/>
      <c r="I8" s="417" t="s">
        <v>389</v>
      </c>
      <c r="J8" s="418"/>
    </row>
    <row r="9" spans="1:10" ht="74.25" customHeight="1" x14ac:dyDescent="0.3">
      <c r="A9" s="411" t="s">
        <v>363</v>
      </c>
      <c r="B9" s="411"/>
      <c r="C9" s="411"/>
      <c r="D9" s="412"/>
      <c r="E9" s="413"/>
      <c r="F9" s="414"/>
      <c r="G9" s="413"/>
      <c r="H9" s="414"/>
      <c r="I9" s="417"/>
      <c r="J9" s="418"/>
    </row>
    <row r="10" spans="1:10" ht="74.25" customHeight="1" x14ac:dyDescent="0.3">
      <c r="A10" s="540" t="s">
        <v>402</v>
      </c>
      <c r="B10" s="540"/>
      <c r="C10" s="540"/>
      <c r="D10" s="541"/>
      <c r="E10" s="542" t="s">
        <v>388</v>
      </c>
      <c r="F10" s="543"/>
      <c r="G10" s="544"/>
      <c r="H10" s="545"/>
      <c r="I10" s="544" t="s">
        <v>389</v>
      </c>
      <c r="J10" s="546"/>
    </row>
  </sheetData>
  <mergeCells count="32">
    <mergeCell ref="A10:D10"/>
    <mergeCell ref="E10:F10"/>
    <mergeCell ref="G10:H10"/>
    <mergeCell ref="I10:J10"/>
    <mergeCell ref="A8:D8"/>
    <mergeCell ref="E8:F8"/>
    <mergeCell ref="G8:H8"/>
    <mergeCell ref="I8:J8"/>
    <mergeCell ref="A9:D9"/>
    <mergeCell ref="E9:F9"/>
    <mergeCell ref="G9:H9"/>
    <mergeCell ref="I9:J9"/>
    <mergeCell ref="A6:D6"/>
    <mergeCell ref="E6:F6"/>
    <mergeCell ref="G6:H6"/>
    <mergeCell ref="I6:J6"/>
    <mergeCell ref="A7:D7"/>
    <mergeCell ref="E7:F7"/>
    <mergeCell ref="G7:H7"/>
    <mergeCell ref="I7:J7"/>
    <mergeCell ref="A5:D5"/>
    <mergeCell ref="E5:F5"/>
    <mergeCell ref="G5:H5"/>
    <mergeCell ref="I5:J5"/>
    <mergeCell ref="A3:D3"/>
    <mergeCell ref="E3:F3"/>
    <mergeCell ref="G3:H3"/>
    <mergeCell ref="I3:J3"/>
    <mergeCell ref="A4:D4"/>
    <mergeCell ref="E4:F4"/>
    <mergeCell ref="G4:H4"/>
    <mergeCell ref="I4:J4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J21"/>
  <sheetViews>
    <sheetView view="pageBreakPreview" zoomScaleNormal="55" zoomScaleSheetLayoutView="100" workbookViewId="0">
      <selection activeCell="D4" sqref="D4:J4"/>
    </sheetView>
  </sheetViews>
  <sheetFormatPr defaultRowHeight="15" x14ac:dyDescent="0.25"/>
  <cols>
    <col min="1" max="3" width="9.140625" style="1"/>
    <col min="4" max="9" width="9.85546875" style="1" customWidth="1"/>
    <col min="10" max="10" width="8" style="1" customWidth="1"/>
    <col min="11" max="16384" width="9.140625" style="1"/>
  </cols>
  <sheetData>
    <row r="1" spans="1:10" ht="24.95" customHeight="1" x14ac:dyDescent="0.25">
      <c r="A1" s="317" t="s">
        <v>89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0" ht="74.25" customHeight="1" x14ac:dyDescent="0.25">
      <c r="A2" s="425"/>
      <c r="B2" s="426"/>
      <c r="C2" s="426"/>
      <c r="D2" s="427" t="s">
        <v>149</v>
      </c>
      <c r="E2" s="427"/>
      <c r="F2" s="427"/>
      <c r="G2" s="427"/>
      <c r="H2" s="427"/>
      <c r="I2" s="427"/>
      <c r="J2" s="428"/>
    </row>
    <row r="3" spans="1:10" ht="74.25" customHeight="1" x14ac:dyDescent="0.25">
      <c r="A3" s="429"/>
      <c r="B3" s="430"/>
      <c r="C3" s="430"/>
      <c r="D3" s="431" t="s">
        <v>150</v>
      </c>
      <c r="E3" s="431"/>
      <c r="F3" s="431"/>
      <c r="G3" s="431"/>
      <c r="H3" s="431"/>
      <c r="I3" s="431"/>
      <c r="J3" s="432"/>
    </row>
    <row r="4" spans="1:10" ht="74.25" customHeight="1" x14ac:dyDescent="0.25">
      <c r="A4" s="439"/>
      <c r="B4" s="440"/>
      <c r="C4" s="440"/>
      <c r="D4" s="435" t="s">
        <v>148</v>
      </c>
      <c r="E4" s="435"/>
      <c r="F4" s="435"/>
      <c r="G4" s="435"/>
      <c r="H4" s="435"/>
      <c r="I4" s="435"/>
      <c r="J4" s="436"/>
    </row>
    <row r="5" spans="1:10" ht="30" customHeight="1" x14ac:dyDescent="0.25">
      <c r="A5" s="437"/>
      <c r="B5" s="438"/>
      <c r="C5" s="438"/>
      <c r="D5" s="435" t="s">
        <v>19</v>
      </c>
      <c r="E5" s="435"/>
      <c r="F5" s="435"/>
      <c r="G5" s="435"/>
      <c r="H5" s="435"/>
      <c r="I5" s="435"/>
      <c r="J5" s="436"/>
    </row>
    <row r="6" spans="1:10" ht="30" customHeight="1" x14ac:dyDescent="0.25">
      <c r="A6" s="439"/>
      <c r="B6" s="440"/>
      <c r="C6" s="440"/>
      <c r="D6" s="435" t="s">
        <v>107</v>
      </c>
      <c r="E6" s="435"/>
      <c r="F6" s="435"/>
      <c r="G6" s="435"/>
      <c r="H6" s="435"/>
      <c r="I6" s="435"/>
      <c r="J6" s="436"/>
    </row>
    <row r="7" spans="1:10" ht="30" customHeight="1" x14ac:dyDescent="0.25">
      <c r="A7" s="439"/>
      <c r="B7" s="440"/>
      <c r="C7" s="440"/>
      <c r="D7" s="435" t="s">
        <v>18</v>
      </c>
      <c r="E7" s="435"/>
      <c r="F7" s="435"/>
      <c r="G7" s="435"/>
      <c r="H7" s="435"/>
      <c r="I7" s="435"/>
      <c r="J7" s="436"/>
    </row>
    <row r="8" spans="1:10" ht="30" customHeight="1" x14ac:dyDescent="0.25">
      <c r="A8" s="439"/>
      <c r="B8" s="440"/>
      <c r="C8" s="440"/>
      <c r="D8" s="435" t="s">
        <v>403</v>
      </c>
      <c r="E8" s="435"/>
      <c r="F8" s="435"/>
      <c r="G8" s="435"/>
      <c r="H8" s="435"/>
      <c r="I8" s="435"/>
      <c r="J8" s="436"/>
    </row>
    <row r="9" spans="1:10" ht="30" customHeight="1" x14ac:dyDescent="0.25">
      <c r="A9" s="439"/>
      <c r="B9" s="440"/>
      <c r="C9" s="440"/>
      <c r="D9" s="435" t="s">
        <v>404</v>
      </c>
      <c r="E9" s="435"/>
      <c r="F9" s="435"/>
      <c r="G9" s="435"/>
      <c r="H9" s="435"/>
      <c r="I9" s="435"/>
      <c r="J9" s="436"/>
    </row>
    <row r="10" spans="1:10" ht="30" customHeight="1" x14ac:dyDescent="0.25">
      <c r="A10" s="439"/>
      <c r="B10" s="440"/>
      <c r="C10" s="440"/>
      <c r="D10" s="435" t="s">
        <v>94</v>
      </c>
      <c r="E10" s="435"/>
      <c r="F10" s="435"/>
      <c r="G10" s="435"/>
      <c r="H10" s="435"/>
      <c r="I10" s="435"/>
      <c r="J10" s="436"/>
    </row>
    <row r="11" spans="1:10" ht="30" customHeight="1" x14ac:dyDescent="0.25">
      <c r="A11" s="441" t="s">
        <v>262</v>
      </c>
      <c r="B11" s="442"/>
      <c r="C11" s="442"/>
      <c r="D11" s="435" t="s">
        <v>263</v>
      </c>
      <c r="E11" s="435"/>
      <c r="F11" s="435"/>
      <c r="G11" s="435"/>
      <c r="H11" s="435"/>
      <c r="I11" s="435"/>
      <c r="J11" s="436"/>
    </row>
    <row r="12" spans="1:10" ht="30" customHeight="1" x14ac:dyDescent="0.25">
      <c r="A12" s="439"/>
      <c r="B12" s="440"/>
      <c r="C12" s="440"/>
      <c r="D12" s="435" t="s">
        <v>309</v>
      </c>
      <c r="E12" s="435"/>
      <c r="F12" s="435"/>
      <c r="G12" s="435"/>
      <c r="H12" s="435"/>
      <c r="I12" s="435"/>
      <c r="J12" s="436"/>
    </row>
    <row r="13" spans="1:10" ht="30" customHeight="1" x14ac:dyDescent="0.25">
      <c r="A13" s="439"/>
      <c r="B13" s="440"/>
      <c r="C13" s="440"/>
      <c r="D13" s="435" t="s">
        <v>61</v>
      </c>
      <c r="E13" s="435"/>
      <c r="F13" s="435"/>
      <c r="G13" s="435"/>
      <c r="H13" s="435"/>
      <c r="I13" s="435"/>
      <c r="J13" s="436"/>
    </row>
    <row r="14" spans="1:10" ht="30" customHeight="1" x14ac:dyDescent="0.25">
      <c r="A14" s="445"/>
      <c r="B14" s="446"/>
      <c r="C14" s="446"/>
      <c r="D14" s="447" t="s">
        <v>95</v>
      </c>
      <c r="E14" s="447"/>
      <c r="F14" s="447"/>
      <c r="G14" s="447"/>
      <c r="H14" s="447"/>
      <c r="I14" s="447"/>
      <c r="J14" s="448"/>
    </row>
    <row r="15" spans="1:10" ht="24.95" customHeight="1" x14ac:dyDescent="0.25">
      <c r="A15" s="317" t="s">
        <v>90</v>
      </c>
      <c r="B15" s="318"/>
      <c r="C15" s="318"/>
      <c r="D15" s="318"/>
      <c r="E15" s="318"/>
      <c r="F15" s="318"/>
      <c r="G15" s="318"/>
      <c r="H15" s="318"/>
      <c r="I15" s="318"/>
      <c r="J15" s="318"/>
    </row>
    <row r="16" spans="1:10" ht="30" customHeight="1" x14ac:dyDescent="0.25">
      <c r="A16" s="425"/>
      <c r="B16" s="426"/>
      <c r="C16" s="426"/>
      <c r="D16" s="449" t="s">
        <v>141</v>
      </c>
      <c r="E16" s="449"/>
      <c r="F16" s="449"/>
      <c r="G16" s="449"/>
      <c r="H16" s="449"/>
      <c r="I16" s="449"/>
      <c r="J16" s="450"/>
    </row>
    <row r="17" spans="1:10" ht="30" customHeight="1" x14ac:dyDescent="0.25">
      <c r="A17" s="439"/>
      <c r="B17" s="440"/>
      <c r="C17" s="440"/>
      <c r="D17" s="443" t="s">
        <v>20</v>
      </c>
      <c r="E17" s="443"/>
      <c r="F17" s="443"/>
      <c r="G17" s="443"/>
      <c r="H17" s="443"/>
      <c r="I17" s="443"/>
      <c r="J17" s="444"/>
    </row>
    <row r="18" spans="1:10" ht="30" customHeight="1" x14ac:dyDescent="0.25">
      <c r="A18" s="439"/>
      <c r="B18" s="440"/>
      <c r="C18" s="440"/>
      <c r="D18" s="443" t="s">
        <v>22</v>
      </c>
      <c r="E18" s="443"/>
      <c r="F18" s="443"/>
      <c r="G18" s="443"/>
      <c r="H18" s="443"/>
      <c r="I18" s="443"/>
      <c r="J18" s="444"/>
    </row>
    <row r="19" spans="1:10" ht="30" customHeight="1" x14ac:dyDescent="0.25">
      <c r="A19" s="439"/>
      <c r="B19" s="440"/>
      <c r="C19" s="440"/>
      <c r="D19" s="443" t="s">
        <v>135</v>
      </c>
      <c r="E19" s="443"/>
      <c r="F19" s="443"/>
      <c r="G19" s="443"/>
      <c r="H19" s="443"/>
      <c r="I19" s="443"/>
      <c r="J19" s="444"/>
    </row>
    <row r="20" spans="1:10" ht="30" customHeight="1" x14ac:dyDescent="0.25">
      <c r="A20" s="439"/>
      <c r="B20" s="440"/>
      <c r="C20" s="440"/>
      <c r="D20" s="435" t="s">
        <v>36</v>
      </c>
      <c r="E20" s="435"/>
      <c r="F20" s="435"/>
      <c r="G20" s="435"/>
      <c r="H20" s="435"/>
      <c r="I20" s="435"/>
      <c r="J20" s="436"/>
    </row>
    <row r="21" spans="1:10" ht="30" customHeight="1" x14ac:dyDescent="0.25">
      <c r="A21" s="445"/>
      <c r="B21" s="446"/>
      <c r="C21" s="446"/>
      <c r="D21" s="447" t="s">
        <v>21</v>
      </c>
      <c r="E21" s="447"/>
      <c r="F21" s="447"/>
      <c r="G21" s="447"/>
      <c r="H21" s="447"/>
      <c r="I21" s="447"/>
      <c r="J21" s="448"/>
    </row>
  </sheetData>
  <mergeCells count="38">
    <mergeCell ref="A3:C3"/>
    <mergeCell ref="D3:J3"/>
    <mergeCell ref="A2:C2"/>
    <mergeCell ref="D2:J2"/>
    <mergeCell ref="D7:J7"/>
    <mergeCell ref="A4:C4"/>
    <mergeCell ref="D4:J4"/>
    <mergeCell ref="A11:C11"/>
    <mergeCell ref="D11:J11"/>
    <mergeCell ref="A5:C5"/>
    <mergeCell ref="D5:J5"/>
    <mergeCell ref="A6:C6"/>
    <mergeCell ref="D6:J6"/>
    <mergeCell ref="A8:C8"/>
    <mergeCell ref="D8:J8"/>
    <mergeCell ref="A7:C7"/>
    <mergeCell ref="A18:C18"/>
    <mergeCell ref="D18:J18"/>
    <mergeCell ref="A9:C9"/>
    <mergeCell ref="D9:J9"/>
    <mergeCell ref="A10:C10"/>
    <mergeCell ref="D10:J10"/>
    <mergeCell ref="A14:C14"/>
    <mergeCell ref="D14:J14"/>
    <mergeCell ref="A16:C16"/>
    <mergeCell ref="D16:J16"/>
    <mergeCell ref="A17:C17"/>
    <mergeCell ref="D17:J17"/>
    <mergeCell ref="A12:C12"/>
    <mergeCell ref="D12:J12"/>
    <mergeCell ref="A13:C13"/>
    <mergeCell ref="D13:J13"/>
    <mergeCell ref="A19:C19"/>
    <mergeCell ref="D19:J19"/>
    <mergeCell ref="A20:C20"/>
    <mergeCell ref="D20:J20"/>
    <mergeCell ref="A21:C21"/>
    <mergeCell ref="D21:J21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J23"/>
  <sheetViews>
    <sheetView view="pageBreakPreview" topLeftCell="A7" zoomScaleNormal="70" zoomScaleSheetLayoutView="100" zoomScalePageLayoutView="40" workbookViewId="0">
      <selection sqref="A1:B2"/>
    </sheetView>
  </sheetViews>
  <sheetFormatPr defaultRowHeight="15" x14ac:dyDescent="0.25"/>
  <cols>
    <col min="1" max="1" width="10.7109375" style="121" customWidth="1"/>
    <col min="2" max="2" width="10.7109375" style="122" customWidth="1"/>
    <col min="3" max="3" width="8.7109375" style="122" customWidth="1"/>
    <col min="4" max="4" width="8.7109375" style="121" customWidth="1"/>
    <col min="5" max="5" width="17.140625" style="122" customWidth="1"/>
    <col min="6" max="6" width="8.7109375" style="122" customWidth="1"/>
    <col min="7" max="7" width="9.7109375" style="122" customWidth="1"/>
    <col min="8" max="8" width="10.7109375" style="122" customWidth="1"/>
    <col min="9" max="9" width="9.140625" style="122"/>
    <col min="10" max="10" width="36.5703125" style="238" customWidth="1"/>
    <col min="11" max="11" width="8" style="122" customWidth="1"/>
    <col min="12" max="16384" width="9.140625" style="122"/>
  </cols>
  <sheetData>
    <row r="1" spans="1:10" ht="17.45" customHeight="1" x14ac:dyDescent="0.25">
      <c r="A1" s="485" t="s">
        <v>486</v>
      </c>
      <c r="B1" s="486"/>
      <c r="C1" s="120"/>
      <c r="D1" s="119"/>
      <c r="E1" s="119"/>
      <c r="F1" s="489" t="s">
        <v>98</v>
      </c>
      <c r="G1" s="491">
        <f>A22</f>
        <v>3.4</v>
      </c>
      <c r="H1" s="493" t="s">
        <v>260</v>
      </c>
      <c r="J1" s="237" t="s">
        <v>261</v>
      </c>
    </row>
    <row r="2" spans="1:10" ht="17.45" customHeight="1" x14ac:dyDescent="0.25">
      <c r="A2" s="487"/>
      <c r="B2" s="488"/>
      <c r="C2" s="120"/>
      <c r="D2" s="119"/>
      <c r="E2" s="119"/>
      <c r="F2" s="490"/>
      <c r="G2" s="492"/>
      <c r="H2" s="494"/>
    </row>
    <row r="3" spans="1:10" ht="17.45" customHeight="1" x14ac:dyDescent="0.25">
      <c r="A3" s="495"/>
      <c r="B3" s="496"/>
      <c r="C3" s="342"/>
      <c r="D3" s="266"/>
      <c r="E3" s="266"/>
      <c r="F3" s="489" t="s">
        <v>7</v>
      </c>
      <c r="G3" s="499"/>
      <c r="H3" s="501"/>
    </row>
    <row r="4" spans="1:10" ht="17.45" customHeight="1" x14ac:dyDescent="0.25">
      <c r="A4" s="497"/>
      <c r="B4" s="498"/>
      <c r="C4" s="343"/>
      <c r="D4" s="267"/>
      <c r="E4" s="267"/>
      <c r="F4" s="490"/>
      <c r="G4" s="500"/>
      <c r="H4" s="502"/>
    </row>
    <row r="5" spans="1:10" s="239" customFormat="1" ht="0.95" customHeight="1" x14ac:dyDescent="0.25">
      <c r="A5" s="107"/>
      <c r="B5" s="107"/>
      <c r="C5" s="107"/>
      <c r="D5" s="107"/>
      <c r="E5" s="108"/>
      <c r="F5" s="110"/>
      <c r="G5" s="110"/>
      <c r="H5" s="109"/>
      <c r="J5" s="238"/>
    </row>
    <row r="6" spans="1:10" s="239" customFormat="1" ht="0.95" customHeight="1" x14ac:dyDescent="0.25">
      <c r="A6" s="111"/>
      <c r="B6" s="111"/>
      <c r="C6" s="111"/>
      <c r="D6" s="111"/>
      <c r="E6" s="112"/>
      <c r="F6" s="114"/>
      <c r="G6" s="114"/>
      <c r="H6" s="113"/>
      <c r="J6" s="238"/>
    </row>
    <row r="7" spans="1:10" s="239" customFormat="1" ht="0.95" customHeight="1" x14ac:dyDescent="0.25">
      <c r="A7" s="115"/>
      <c r="B7" s="115"/>
      <c r="C7" s="115"/>
      <c r="D7" s="115"/>
      <c r="E7" s="116"/>
      <c r="F7" s="118"/>
      <c r="G7" s="118"/>
      <c r="H7" s="117"/>
      <c r="J7" s="238"/>
    </row>
    <row r="8" spans="1:10" ht="17.45" customHeight="1" x14ac:dyDescent="0.25">
      <c r="A8" s="503" t="s">
        <v>98</v>
      </c>
      <c r="B8" s="503"/>
      <c r="C8" s="504" t="s">
        <v>3</v>
      </c>
      <c r="D8" s="504"/>
      <c r="E8" s="505" t="s">
        <v>4</v>
      </c>
      <c r="F8" s="505"/>
      <c r="G8" s="505"/>
      <c r="H8" s="504" t="s">
        <v>493</v>
      </c>
    </row>
    <row r="9" spans="1:10" ht="17.45" customHeight="1" x14ac:dyDescent="0.25">
      <c r="A9" s="344" t="s">
        <v>1</v>
      </c>
      <c r="B9" s="345" t="s">
        <v>2</v>
      </c>
      <c r="C9" s="504"/>
      <c r="D9" s="504"/>
      <c r="E9" s="505"/>
      <c r="F9" s="505"/>
      <c r="G9" s="505"/>
      <c r="H9" s="504"/>
    </row>
    <row r="10" spans="1:10" ht="54.95" hidden="1" customHeight="1" x14ac:dyDescent="0.35">
      <c r="A10" s="470"/>
      <c r="B10" s="470"/>
      <c r="C10" s="240"/>
      <c r="D10" s="241"/>
      <c r="E10" s="472"/>
      <c r="F10" s="472"/>
      <c r="G10" s="472"/>
      <c r="H10" s="473"/>
      <c r="J10" s="238" t="s">
        <v>436</v>
      </c>
    </row>
    <row r="11" spans="1:10" ht="54.95" hidden="1" customHeight="1" x14ac:dyDescent="0.25">
      <c r="A11" s="471"/>
      <c r="B11" s="471"/>
      <c r="C11" s="247"/>
      <c r="D11" s="242"/>
      <c r="E11" s="506"/>
      <c r="F11" s="506"/>
      <c r="G11" s="506"/>
      <c r="H11" s="474"/>
    </row>
    <row r="12" spans="1:10" ht="54.95" customHeight="1" x14ac:dyDescent="0.25">
      <c r="A12" s="522">
        <v>0</v>
      </c>
      <c r="B12" s="522"/>
      <c r="C12" s="243"/>
      <c r="D12" s="244"/>
      <c r="E12" s="548" t="s">
        <v>488</v>
      </c>
      <c r="F12" s="548"/>
      <c r="G12" s="548"/>
      <c r="H12" s="477">
        <f>A$22-A12</f>
        <v>3.4</v>
      </c>
    </row>
    <row r="13" spans="1:10" ht="54.95" customHeight="1" x14ac:dyDescent="0.25">
      <c r="A13" s="468"/>
      <c r="B13" s="468"/>
      <c r="C13" s="246">
        <v>1</v>
      </c>
      <c r="D13" s="245"/>
      <c r="E13" s="549" t="s">
        <v>487</v>
      </c>
      <c r="F13" s="549"/>
      <c r="G13" s="549"/>
      <c r="H13" s="547"/>
    </row>
    <row r="14" spans="1:10" ht="54.95" customHeight="1" x14ac:dyDescent="0.35">
      <c r="A14" s="522">
        <v>0.16</v>
      </c>
      <c r="B14" s="522">
        <f>A14-A12</f>
        <v>0.16</v>
      </c>
      <c r="C14" s="243"/>
      <c r="D14" s="244"/>
      <c r="E14" s="483" t="s">
        <v>494</v>
      </c>
      <c r="F14" s="483"/>
      <c r="G14" s="483"/>
      <c r="H14" s="477">
        <f t="shared" ref="H14" si="0">A$22-A14</f>
        <v>3.2399999999999998</v>
      </c>
    </row>
    <row r="15" spans="1:10" ht="54.95" customHeight="1" x14ac:dyDescent="0.25">
      <c r="A15" s="468"/>
      <c r="B15" s="468"/>
      <c r="C15" s="246">
        <f>1+C13</f>
        <v>2</v>
      </c>
      <c r="D15" s="245"/>
      <c r="E15" s="537"/>
      <c r="F15" s="537"/>
      <c r="G15" s="537"/>
      <c r="H15" s="547"/>
    </row>
    <row r="16" spans="1:10" ht="54.95" customHeight="1" x14ac:dyDescent="0.35">
      <c r="A16" s="522">
        <v>0.7</v>
      </c>
      <c r="B16" s="522">
        <f t="shared" ref="B16" si="1">A16-A14</f>
        <v>0.53999999999999992</v>
      </c>
      <c r="C16" s="243"/>
      <c r="D16" s="244"/>
      <c r="E16" s="483" t="s">
        <v>489</v>
      </c>
      <c r="F16" s="483"/>
      <c r="G16" s="483"/>
      <c r="H16" s="477">
        <f t="shared" ref="H16" si="2">A$22-A16</f>
        <v>2.7</v>
      </c>
    </row>
    <row r="17" spans="1:8" ht="54.95" customHeight="1" x14ac:dyDescent="0.25">
      <c r="A17" s="468"/>
      <c r="B17" s="468"/>
      <c r="C17" s="246">
        <f>1+C15</f>
        <v>3</v>
      </c>
      <c r="D17" s="245"/>
      <c r="E17" s="537"/>
      <c r="F17" s="537"/>
      <c r="G17" s="537"/>
      <c r="H17" s="547"/>
    </row>
    <row r="18" spans="1:8" ht="54.95" customHeight="1" x14ac:dyDescent="0.35">
      <c r="A18" s="522">
        <v>1.96</v>
      </c>
      <c r="B18" s="522">
        <f t="shared" ref="B18" si="3">A18-A16</f>
        <v>1.26</v>
      </c>
      <c r="C18" s="243"/>
      <c r="D18" s="244"/>
      <c r="E18" s="483" t="s">
        <v>490</v>
      </c>
      <c r="F18" s="483"/>
      <c r="G18" s="483"/>
      <c r="H18" s="477">
        <f t="shared" ref="H18" si="4">A$22-A18</f>
        <v>1.44</v>
      </c>
    </row>
    <row r="19" spans="1:8" ht="54.95" customHeight="1" x14ac:dyDescent="0.25">
      <c r="A19" s="468"/>
      <c r="B19" s="468"/>
      <c r="C19" s="246">
        <f>1+C17</f>
        <v>4</v>
      </c>
      <c r="D19" s="245"/>
      <c r="E19" s="537"/>
      <c r="F19" s="537"/>
      <c r="G19" s="537"/>
      <c r="H19" s="547"/>
    </row>
    <row r="20" spans="1:8" ht="54.95" customHeight="1" x14ac:dyDescent="0.3">
      <c r="A20" s="522">
        <v>2.4</v>
      </c>
      <c r="B20" s="522">
        <f t="shared" ref="B20" si="5">A20-A18</f>
        <v>0.43999999999999995</v>
      </c>
      <c r="C20" s="243"/>
      <c r="D20" s="244"/>
      <c r="E20" s="526" t="s">
        <v>491</v>
      </c>
      <c r="F20" s="526"/>
      <c r="G20" s="526"/>
      <c r="H20" s="477">
        <f t="shared" ref="H20" si="6">A$22-A20</f>
        <v>1</v>
      </c>
    </row>
    <row r="21" spans="1:8" ht="54.95" customHeight="1" x14ac:dyDescent="0.25">
      <c r="A21" s="468"/>
      <c r="B21" s="468"/>
      <c r="C21" s="246">
        <f>1+C19</f>
        <v>5</v>
      </c>
      <c r="D21" s="245"/>
      <c r="E21" s="537"/>
      <c r="F21" s="537"/>
      <c r="G21" s="537"/>
      <c r="H21" s="547"/>
    </row>
    <row r="22" spans="1:8" ht="54.95" customHeight="1" x14ac:dyDescent="0.25">
      <c r="A22" s="522">
        <v>3.4</v>
      </c>
      <c r="B22" s="522">
        <f t="shared" ref="B22" si="7">A22-A20</f>
        <v>1</v>
      </c>
      <c r="C22" s="243"/>
      <c r="D22" s="244"/>
      <c r="E22" s="548" t="s">
        <v>492</v>
      </c>
      <c r="F22" s="548"/>
      <c r="G22" s="548"/>
      <c r="H22" s="477">
        <f t="shared" ref="H22" si="8">A$22-A22</f>
        <v>0</v>
      </c>
    </row>
    <row r="23" spans="1:8" ht="54.95" customHeight="1" x14ac:dyDescent="0.25">
      <c r="A23" s="468"/>
      <c r="B23" s="468"/>
      <c r="C23" s="246">
        <f>1+C21</f>
        <v>6</v>
      </c>
      <c r="D23" s="245"/>
      <c r="E23" s="549" t="s">
        <v>487</v>
      </c>
      <c r="F23" s="549"/>
      <c r="G23" s="549"/>
      <c r="H23" s="547"/>
    </row>
  </sheetData>
  <mergeCells count="47">
    <mergeCell ref="H18:H19"/>
    <mergeCell ref="A1:B2"/>
    <mergeCell ref="F1:F2"/>
    <mergeCell ref="G1:G2"/>
    <mergeCell ref="H1:H2"/>
    <mergeCell ref="A3:B4"/>
    <mergeCell ref="F3:F4"/>
    <mergeCell ref="G3:G4"/>
    <mergeCell ref="H3:H4"/>
    <mergeCell ref="A16:A17"/>
    <mergeCell ref="B16:B17"/>
    <mergeCell ref="E16:G16"/>
    <mergeCell ref="H16:H17"/>
    <mergeCell ref="E17:G17"/>
    <mergeCell ref="A8:B8"/>
    <mergeCell ref="C8:D9"/>
    <mergeCell ref="E8:G9"/>
    <mergeCell ref="H8:H9"/>
    <mergeCell ref="A10:A11"/>
    <mergeCell ref="B10:B11"/>
    <mergeCell ref="E10:G10"/>
    <mergeCell ref="H10:H11"/>
    <mergeCell ref="E11:G11"/>
    <mergeCell ref="A12:A13"/>
    <mergeCell ref="B12:B13"/>
    <mergeCell ref="E12:G12"/>
    <mergeCell ref="H12:H13"/>
    <mergeCell ref="E13:G13"/>
    <mergeCell ref="A14:A15"/>
    <mergeCell ref="B14:B15"/>
    <mergeCell ref="E14:G14"/>
    <mergeCell ref="H14:H15"/>
    <mergeCell ref="E15:G15"/>
    <mergeCell ref="A18:A19"/>
    <mergeCell ref="E18:G18"/>
    <mergeCell ref="E19:G19"/>
    <mergeCell ref="A20:A21"/>
    <mergeCell ref="B20:B21"/>
    <mergeCell ref="E20:G20"/>
    <mergeCell ref="B18:B19"/>
    <mergeCell ref="H20:H21"/>
    <mergeCell ref="E21:G21"/>
    <mergeCell ref="A22:A23"/>
    <mergeCell ref="B22:B23"/>
    <mergeCell ref="E22:G22"/>
    <mergeCell ref="H22:H23"/>
    <mergeCell ref="E23:G23"/>
  </mergeCells>
  <conditionalFormatting sqref="J1:J9 J12:J15 J18:J1048576">
    <cfRule type="containsText" dxfId="2" priority="46" operator="containsText" text="скр">
      <formula>NOT(ISERROR(SEARCH("скр",J1)))</formula>
    </cfRule>
  </conditionalFormatting>
  <conditionalFormatting sqref="J10:J11">
    <cfRule type="containsText" dxfId="1" priority="7" operator="containsText" text="скр">
      <formula>NOT(ISERROR(SEARCH("скр",J10)))</formula>
    </cfRule>
  </conditionalFormatting>
  <conditionalFormatting sqref="J16:J17">
    <cfRule type="containsText" dxfId="0" priority="1" operator="containsText" text="скр">
      <formula>NOT(ISERROR(SEARCH("скр",J16)))</formula>
    </cfRule>
  </conditionalFormatting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X55"/>
  <sheetViews>
    <sheetView zoomScaleNormal="100" workbookViewId="0">
      <selection activeCell="AA12" sqref="AA12"/>
    </sheetView>
  </sheetViews>
  <sheetFormatPr defaultRowHeight="12.75" x14ac:dyDescent="0.25"/>
  <cols>
    <col min="1" max="1" width="1.7109375" style="226" customWidth="1"/>
    <col min="2" max="2" width="6.7109375" style="226" customWidth="1"/>
    <col min="3" max="3" width="1.7109375" style="226" customWidth="1"/>
    <col min="4" max="4" width="6.7109375" style="226" customWidth="1"/>
    <col min="5" max="5" width="1.7109375" style="226" customWidth="1"/>
    <col min="6" max="6" width="6.7109375" style="226" customWidth="1"/>
    <col min="7" max="7" width="1.7109375" style="226" customWidth="1"/>
    <col min="8" max="8" width="6.7109375" style="226" customWidth="1"/>
    <col min="9" max="9" width="1.7109375" style="226" customWidth="1"/>
    <col min="10" max="10" width="6.7109375" style="226" customWidth="1"/>
    <col min="11" max="11" width="1.7109375" style="226" customWidth="1"/>
    <col min="12" max="13" width="3.28515625" style="226" customWidth="1"/>
    <col min="14" max="14" width="1.7109375" style="226" customWidth="1"/>
    <col min="15" max="15" width="6.7109375" style="226" customWidth="1"/>
    <col min="16" max="16" width="1.7109375" style="226" customWidth="1"/>
    <col min="17" max="17" width="6.7109375" style="226" customWidth="1"/>
    <col min="18" max="18" width="1.7109375" style="226" customWidth="1"/>
    <col min="19" max="19" width="6.7109375" style="226" customWidth="1"/>
    <col min="20" max="20" width="1.7109375" style="226" customWidth="1"/>
    <col min="21" max="21" width="6.7109375" style="226" customWidth="1"/>
    <col min="22" max="22" width="1.7109375" style="226" customWidth="1"/>
    <col min="23" max="23" width="6.7109375" style="226" customWidth="1"/>
    <col min="24" max="24" width="1.7109375" style="226" customWidth="1"/>
    <col min="25" max="16384" width="9.140625" style="226"/>
  </cols>
  <sheetData>
    <row r="1" spans="1:24" ht="3" customHeight="1" x14ac:dyDescent="0.25">
      <c r="A1" s="229"/>
      <c r="B1" s="230"/>
      <c r="C1" s="230"/>
      <c r="D1" s="230"/>
      <c r="E1" s="230"/>
      <c r="F1" s="230"/>
      <c r="G1" s="230"/>
      <c r="H1" s="230"/>
      <c r="I1" s="230"/>
      <c r="J1" s="230"/>
      <c r="K1" s="231"/>
      <c r="L1" s="254"/>
      <c r="M1" s="255"/>
      <c r="N1" s="229"/>
      <c r="O1" s="230"/>
      <c r="P1" s="230"/>
      <c r="Q1" s="230"/>
      <c r="R1" s="230"/>
      <c r="S1" s="230"/>
      <c r="T1" s="230"/>
      <c r="U1" s="230"/>
      <c r="V1" s="230"/>
      <c r="W1" s="230"/>
      <c r="X1" s="231"/>
    </row>
    <row r="2" spans="1:24" ht="12.75" customHeight="1" x14ac:dyDescent="0.25">
      <c r="A2" s="232"/>
      <c r="B2" s="400" t="str">
        <f>названиеКратко&amp;" / Контрольная карта"</f>
        <v>Смоленск - 2019 / Контрольная карта</v>
      </c>
      <c r="C2" s="400"/>
      <c r="D2" s="400"/>
      <c r="E2" s="400"/>
      <c r="F2" s="400"/>
      <c r="G2" s="400"/>
      <c r="H2" s="400"/>
      <c r="I2" s="400"/>
      <c r="J2" s="400"/>
      <c r="K2" s="233"/>
      <c r="L2" s="254"/>
      <c r="M2" s="255"/>
      <c r="N2" s="232"/>
      <c r="O2" s="400" t="str">
        <f>названиеКратко&amp;" / Контрольная карта"</f>
        <v>Смоленск - 2019 / Контрольная карта</v>
      </c>
      <c r="P2" s="400"/>
      <c r="Q2" s="400"/>
      <c r="R2" s="400"/>
      <c r="S2" s="400"/>
      <c r="T2" s="400"/>
      <c r="U2" s="400"/>
      <c r="V2" s="400"/>
      <c r="W2" s="400"/>
      <c r="X2" s="233"/>
    </row>
    <row r="3" spans="1:24" ht="3" customHeight="1" thickBot="1" x14ac:dyDescent="0.3">
      <c r="A3" s="232"/>
      <c r="B3" s="227"/>
      <c r="C3" s="227"/>
      <c r="D3" s="227"/>
      <c r="E3" s="227"/>
      <c r="F3" s="227"/>
      <c r="G3" s="227"/>
      <c r="H3" s="227"/>
      <c r="I3" s="227"/>
      <c r="J3" s="227"/>
      <c r="K3" s="233"/>
      <c r="L3" s="254"/>
      <c r="M3" s="255"/>
      <c r="N3" s="232"/>
      <c r="O3" s="227"/>
      <c r="P3" s="227"/>
      <c r="Q3" s="227"/>
      <c r="R3" s="227"/>
      <c r="S3" s="227"/>
      <c r="T3" s="227"/>
      <c r="U3" s="227"/>
      <c r="V3" s="227"/>
      <c r="W3" s="227"/>
      <c r="X3" s="233"/>
    </row>
    <row r="4" spans="1:24" ht="39.950000000000003" customHeight="1" thickBot="1" x14ac:dyDescent="0.3">
      <c r="A4" s="232"/>
      <c r="B4" s="227"/>
      <c r="C4" s="227"/>
      <c r="D4" s="401"/>
      <c r="E4" s="401"/>
      <c r="F4" s="401"/>
      <c r="G4" s="227"/>
      <c r="H4" s="395" t="s">
        <v>331</v>
      </c>
      <c r="I4" s="396"/>
      <c r="J4" s="397"/>
      <c r="K4" s="233"/>
      <c r="L4" s="254"/>
      <c r="M4" s="255"/>
      <c r="N4" s="232"/>
      <c r="O4" s="227"/>
      <c r="P4" s="227"/>
      <c r="Q4" s="401"/>
      <c r="R4" s="401"/>
      <c r="S4" s="401"/>
      <c r="T4" s="227"/>
      <c r="U4" s="395" t="s">
        <v>331</v>
      </c>
      <c r="V4" s="396"/>
      <c r="W4" s="397"/>
      <c r="X4" s="233"/>
    </row>
    <row r="5" spans="1:24" ht="3" customHeight="1" x14ac:dyDescent="0.25">
      <c r="A5" s="232"/>
      <c r="B5" s="252"/>
      <c r="C5" s="235"/>
      <c r="D5" s="235"/>
      <c r="E5" s="235"/>
      <c r="F5" s="235"/>
      <c r="G5" s="235"/>
      <c r="H5" s="235"/>
      <c r="I5" s="235"/>
      <c r="J5" s="235"/>
      <c r="K5" s="233"/>
      <c r="L5" s="254"/>
      <c r="M5" s="255"/>
      <c r="N5" s="232"/>
      <c r="O5" s="252"/>
      <c r="P5" s="235"/>
      <c r="Q5" s="235"/>
      <c r="R5" s="235"/>
      <c r="S5" s="235"/>
      <c r="T5" s="235"/>
      <c r="U5" s="235"/>
      <c r="V5" s="235"/>
      <c r="W5" s="235"/>
      <c r="X5" s="233"/>
    </row>
    <row r="6" spans="1:24" ht="3" customHeight="1" thickBot="1" x14ac:dyDescent="0.3">
      <c r="A6" s="232"/>
      <c r="B6" s="253"/>
      <c r="C6" s="236"/>
      <c r="D6" s="236"/>
      <c r="E6" s="236"/>
      <c r="F6" s="236"/>
      <c r="G6" s="236"/>
      <c r="H6" s="236"/>
      <c r="I6" s="236"/>
      <c r="J6" s="236"/>
      <c r="K6" s="233"/>
      <c r="L6" s="254"/>
      <c r="M6" s="255"/>
      <c r="N6" s="232"/>
      <c r="O6" s="253"/>
      <c r="P6" s="236"/>
      <c r="Q6" s="236"/>
      <c r="R6" s="236"/>
      <c r="S6" s="236"/>
      <c r="T6" s="236"/>
      <c r="U6" s="236"/>
      <c r="V6" s="236"/>
      <c r="W6" s="236"/>
      <c r="X6" s="233"/>
    </row>
    <row r="7" spans="1:24" ht="30" customHeight="1" thickBot="1" x14ac:dyDescent="0.3">
      <c r="A7" s="232"/>
      <c r="B7" s="393" t="str">
        <f>getMpWoName(_КВ1)</f>
        <v>КВ-1</v>
      </c>
      <c r="C7" s="227"/>
      <c r="D7" s="273" t="s">
        <v>323</v>
      </c>
      <c r="E7" s="272" t="s">
        <v>333</v>
      </c>
      <c r="F7" s="273" t="s">
        <v>324</v>
      </c>
      <c r="G7" s="227"/>
      <c r="H7" s="394" t="s">
        <v>62</v>
      </c>
      <c r="I7" s="394"/>
      <c r="J7" s="394"/>
      <c r="K7" s="233"/>
      <c r="L7" s="254"/>
      <c r="M7" s="255"/>
      <c r="N7" s="232"/>
      <c r="O7" s="393" t="str">
        <f>getMpWoName(_КВ1)</f>
        <v>КВ-1</v>
      </c>
      <c r="P7" s="227"/>
      <c r="Q7" s="273" t="s">
        <v>323</v>
      </c>
      <c r="R7" s="272" t="s">
        <v>333</v>
      </c>
      <c r="S7" s="273" t="s">
        <v>324</v>
      </c>
      <c r="T7" s="227"/>
      <c r="U7" s="394" t="s">
        <v>62</v>
      </c>
      <c r="V7" s="394"/>
      <c r="W7" s="394"/>
      <c r="X7" s="233"/>
    </row>
    <row r="8" spans="1:24" ht="5.0999999999999996" customHeight="1" thickBot="1" x14ac:dyDescent="0.3">
      <c r="A8" s="232"/>
      <c r="B8" s="393"/>
      <c r="C8" s="227"/>
      <c r="D8" s="227"/>
      <c r="E8" s="227"/>
      <c r="F8" s="227"/>
      <c r="G8" s="227"/>
      <c r="H8" s="227"/>
      <c r="I8" s="227"/>
      <c r="J8" s="227"/>
      <c r="K8" s="233"/>
      <c r="L8" s="254"/>
      <c r="M8" s="255"/>
      <c r="N8" s="232"/>
      <c r="O8" s="393"/>
      <c r="P8" s="227"/>
      <c r="Q8" s="227"/>
      <c r="R8" s="227"/>
      <c r="S8" s="227"/>
      <c r="T8" s="227"/>
      <c r="U8" s="227"/>
      <c r="V8" s="227"/>
      <c r="W8" s="227"/>
      <c r="X8" s="233"/>
    </row>
    <row r="9" spans="1:24" ht="30" customHeight="1" thickBot="1" x14ac:dyDescent="0.3">
      <c r="A9" s="232"/>
      <c r="B9" s="393"/>
      <c r="C9" s="227"/>
      <c r="D9" s="273" t="s">
        <v>323</v>
      </c>
      <c r="E9" s="272" t="s">
        <v>333</v>
      </c>
      <c r="F9" s="273" t="s">
        <v>324</v>
      </c>
      <c r="G9" s="227"/>
      <c r="H9" s="394" t="s">
        <v>146</v>
      </c>
      <c r="I9" s="394"/>
      <c r="J9" s="394"/>
      <c r="K9" s="233"/>
      <c r="L9" s="254"/>
      <c r="M9" s="255"/>
      <c r="N9" s="232"/>
      <c r="O9" s="393"/>
      <c r="P9" s="227"/>
      <c r="Q9" s="273" t="s">
        <v>323</v>
      </c>
      <c r="R9" s="272" t="s">
        <v>333</v>
      </c>
      <c r="S9" s="273" t="s">
        <v>324</v>
      </c>
      <c r="T9" s="227"/>
      <c r="U9" s="394" t="s">
        <v>146</v>
      </c>
      <c r="V9" s="394"/>
      <c r="W9" s="394"/>
      <c r="X9" s="233"/>
    </row>
    <row r="10" spans="1:24" ht="3" customHeight="1" x14ac:dyDescent="0.25">
      <c r="A10" s="232"/>
      <c r="B10" s="235"/>
      <c r="C10" s="235"/>
      <c r="D10" s="235"/>
      <c r="E10" s="235"/>
      <c r="F10" s="235"/>
      <c r="G10" s="235"/>
      <c r="H10" s="235"/>
      <c r="I10" s="235"/>
      <c r="J10" s="235"/>
      <c r="K10" s="233"/>
      <c r="L10" s="254"/>
      <c r="M10" s="255"/>
      <c r="N10" s="232"/>
      <c r="O10" s="235"/>
      <c r="P10" s="235"/>
      <c r="Q10" s="235"/>
      <c r="R10" s="235"/>
      <c r="S10" s="235"/>
      <c r="T10" s="235"/>
      <c r="U10" s="235"/>
      <c r="V10" s="235"/>
      <c r="W10" s="235"/>
      <c r="X10" s="233"/>
    </row>
    <row r="11" spans="1:24" ht="3" customHeight="1" thickBot="1" x14ac:dyDescent="0.3">
      <c r="A11" s="232"/>
      <c r="B11" s="236"/>
      <c r="C11" s="236"/>
      <c r="D11" s="236"/>
      <c r="E11" s="236"/>
      <c r="F11" s="236"/>
      <c r="G11" s="236"/>
      <c r="H11" s="236"/>
      <c r="I11" s="236"/>
      <c r="J11" s="236"/>
      <c r="K11" s="233"/>
      <c r="L11" s="254"/>
      <c r="M11" s="255"/>
      <c r="N11" s="232"/>
      <c r="O11" s="236"/>
      <c r="P11" s="236"/>
      <c r="Q11" s="236"/>
      <c r="R11" s="236"/>
      <c r="S11" s="236"/>
      <c r="T11" s="236"/>
      <c r="U11" s="236"/>
      <c r="V11" s="236"/>
      <c r="W11" s="236"/>
      <c r="X11" s="233"/>
    </row>
    <row r="12" spans="1:24" ht="30" customHeight="1" thickBot="1" x14ac:dyDescent="0.3">
      <c r="A12" s="232"/>
      <c r="B12" s="393" t="str">
        <f>getMpWoName(_ДС1)</f>
        <v>ДС-1 РДС</v>
      </c>
      <c r="C12" s="227"/>
      <c r="D12" s="273" t="s">
        <v>323</v>
      </c>
      <c r="E12" s="272" t="s">
        <v>333</v>
      </c>
      <c r="F12" s="273" t="s">
        <v>324</v>
      </c>
      <c r="G12" s="227"/>
      <c r="H12" s="394" t="s">
        <v>147</v>
      </c>
      <c r="I12" s="394"/>
      <c r="J12" s="394"/>
      <c r="K12" s="233"/>
      <c r="L12" s="254"/>
      <c r="M12" s="255"/>
      <c r="N12" s="232"/>
      <c r="O12" s="393" t="str">
        <f>getMpWoName(_ДС1)</f>
        <v>ДС-1 РДС</v>
      </c>
      <c r="P12" s="227"/>
      <c r="Q12" s="273" t="s">
        <v>323</v>
      </c>
      <c r="R12" s="272" t="s">
        <v>333</v>
      </c>
      <c r="S12" s="273" t="s">
        <v>324</v>
      </c>
      <c r="T12" s="227"/>
      <c r="U12" s="394" t="s">
        <v>147</v>
      </c>
      <c r="V12" s="394"/>
      <c r="W12" s="394"/>
      <c r="X12" s="233"/>
    </row>
    <row r="13" spans="1:24" ht="3" customHeight="1" thickBot="1" x14ac:dyDescent="0.3">
      <c r="A13" s="232"/>
      <c r="B13" s="393"/>
      <c r="C13" s="227"/>
      <c r="D13" s="227"/>
      <c r="E13" s="227"/>
      <c r="F13" s="227"/>
      <c r="G13" s="227"/>
      <c r="H13" s="227"/>
      <c r="I13" s="227"/>
      <c r="J13" s="227"/>
      <c r="K13" s="233"/>
      <c r="L13" s="254"/>
      <c r="M13" s="255"/>
      <c r="N13" s="232"/>
      <c r="O13" s="393"/>
      <c r="P13" s="227"/>
      <c r="Q13" s="227"/>
      <c r="R13" s="227"/>
      <c r="S13" s="227"/>
      <c r="T13" s="227"/>
      <c r="U13" s="227"/>
      <c r="V13" s="227"/>
      <c r="W13" s="227"/>
      <c r="X13" s="233"/>
    </row>
    <row r="14" spans="1:24" ht="30" customHeight="1" thickBot="1" x14ac:dyDescent="0.3">
      <c r="A14" s="232"/>
      <c r="B14" s="393"/>
      <c r="C14" s="227"/>
      <c r="D14" s="273" t="s">
        <v>323</v>
      </c>
      <c r="E14" s="272" t="s">
        <v>333</v>
      </c>
      <c r="F14" s="273" t="s">
        <v>324</v>
      </c>
      <c r="G14" s="227"/>
      <c r="H14" s="394" t="s">
        <v>14</v>
      </c>
      <c r="I14" s="394"/>
      <c r="J14" s="394"/>
      <c r="K14" s="233"/>
      <c r="L14" s="254"/>
      <c r="M14" s="255"/>
      <c r="N14" s="232"/>
      <c r="O14" s="393"/>
      <c r="P14" s="227"/>
      <c r="Q14" s="273" t="s">
        <v>323</v>
      </c>
      <c r="R14" s="272" t="s">
        <v>333</v>
      </c>
      <c r="S14" s="273" t="s">
        <v>324</v>
      </c>
      <c r="T14" s="227"/>
      <c r="U14" s="394" t="s">
        <v>14</v>
      </c>
      <c r="V14" s="394"/>
      <c r="W14" s="394"/>
      <c r="X14" s="233"/>
    </row>
    <row r="15" spans="1:24" ht="3" customHeight="1" x14ac:dyDescent="0.25">
      <c r="A15" s="232"/>
      <c r="B15" s="393"/>
      <c r="C15" s="235"/>
      <c r="D15" s="235"/>
      <c r="E15" s="235"/>
      <c r="F15" s="235"/>
      <c r="G15" s="235"/>
      <c r="H15" s="235"/>
      <c r="I15" s="235"/>
      <c r="J15" s="235"/>
      <c r="K15" s="233"/>
      <c r="L15" s="254"/>
      <c r="M15" s="255"/>
      <c r="N15" s="232"/>
      <c r="O15" s="393"/>
      <c r="P15" s="235"/>
      <c r="Q15" s="235"/>
      <c r="R15" s="235"/>
      <c r="S15" s="235"/>
      <c r="T15" s="235"/>
      <c r="U15" s="235"/>
      <c r="V15" s="235"/>
      <c r="W15" s="235"/>
      <c r="X15" s="233"/>
    </row>
    <row r="16" spans="1:24" ht="3" customHeight="1" thickBot="1" x14ac:dyDescent="0.3">
      <c r="A16" s="232"/>
      <c r="B16" s="393"/>
      <c r="C16" s="236"/>
      <c r="D16" s="236"/>
      <c r="E16" s="236"/>
      <c r="F16" s="236"/>
      <c r="G16" s="236"/>
      <c r="H16" s="236"/>
      <c r="I16" s="236"/>
      <c r="J16" s="236"/>
      <c r="K16" s="233"/>
      <c r="L16" s="254"/>
      <c r="M16" s="255"/>
      <c r="N16" s="232"/>
      <c r="O16" s="393"/>
      <c r="P16" s="236"/>
      <c r="Q16" s="236"/>
      <c r="R16" s="236"/>
      <c r="S16" s="236"/>
      <c r="T16" s="236"/>
      <c r="U16" s="236"/>
      <c r="V16" s="236"/>
      <c r="W16" s="236"/>
      <c r="X16" s="233"/>
    </row>
    <row r="17" spans="1:24" ht="30" customHeight="1" thickBot="1" x14ac:dyDescent="0.3">
      <c r="A17" s="232"/>
      <c r="B17" s="393"/>
      <c r="C17" s="227"/>
      <c r="D17" s="273" t="s">
        <v>323</v>
      </c>
      <c r="E17" s="272" t="s">
        <v>333</v>
      </c>
      <c r="F17" s="273" t="s">
        <v>324</v>
      </c>
      <c r="G17" s="272" t="s">
        <v>333</v>
      </c>
      <c r="H17" s="273" t="s">
        <v>325</v>
      </c>
      <c r="I17" s="234"/>
      <c r="J17" s="330" t="s">
        <v>15</v>
      </c>
      <c r="K17" s="233"/>
      <c r="L17" s="254"/>
      <c r="M17" s="255"/>
      <c r="N17" s="232"/>
      <c r="O17" s="393"/>
      <c r="P17" s="227"/>
      <c r="Q17" s="273" t="s">
        <v>323</v>
      </c>
      <c r="R17" s="272" t="s">
        <v>333</v>
      </c>
      <c r="S17" s="273" t="s">
        <v>324</v>
      </c>
      <c r="T17" s="272" t="s">
        <v>333</v>
      </c>
      <c r="U17" s="273" t="s">
        <v>325</v>
      </c>
      <c r="V17" s="234"/>
      <c r="W17" s="339" t="s">
        <v>15</v>
      </c>
      <c r="X17" s="233"/>
    </row>
    <row r="18" spans="1:24" ht="3" customHeight="1" x14ac:dyDescent="0.25">
      <c r="A18" s="232"/>
      <c r="B18" s="235"/>
      <c r="C18" s="235"/>
      <c r="D18" s="235"/>
      <c r="E18" s="235"/>
      <c r="F18" s="235"/>
      <c r="G18" s="235"/>
      <c r="H18" s="235"/>
      <c r="I18" s="235"/>
      <c r="J18" s="235"/>
      <c r="K18" s="233"/>
      <c r="L18" s="254"/>
      <c r="M18" s="255"/>
      <c r="N18" s="232"/>
      <c r="O18" s="235"/>
      <c r="P18" s="235"/>
      <c r="Q18" s="235"/>
      <c r="R18" s="235"/>
      <c r="S18" s="235"/>
      <c r="T18" s="235"/>
      <c r="U18" s="235"/>
      <c r="V18" s="235"/>
      <c r="W18" s="235"/>
      <c r="X18" s="233"/>
    </row>
    <row r="19" spans="1:24" ht="3" customHeight="1" thickBot="1" x14ac:dyDescent="0.3">
      <c r="A19" s="232"/>
      <c r="B19" s="236"/>
      <c r="C19" s="236"/>
      <c r="D19" s="236"/>
      <c r="E19" s="236"/>
      <c r="F19" s="236"/>
      <c r="G19" s="236"/>
      <c r="H19" s="236"/>
      <c r="I19" s="236"/>
      <c r="J19" s="236"/>
      <c r="K19" s="233"/>
      <c r="L19" s="254"/>
      <c r="M19" s="255"/>
      <c r="N19" s="232"/>
      <c r="O19" s="236"/>
      <c r="P19" s="236"/>
      <c r="Q19" s="236"/>
      <c r="R19" s="236"/>
      <c r="S19" s="236"/>
      <c r="T19" s="236"/>
      <c r="U19" s="236"/>
      <c r="V19" s="236"/>
      <c r="W19" s="236"/>
      <c r="X19" s="233"/>
    </row>
    <row r="20" spans="1:24" ht="30" customHeight="1" thickBot="1" x14ac:dyDescent="0.3">
      <c r="A20" s="232"/>
      <c r="B20" s="329" t="str">
        <f>getMpWoName(_КВ2)</f>
        <v>КВ-2</v>
      </c>
      <c r="C20" s="227"/>
      <c r="D20" s="273" t="s">
        <v>323</v>
      </c>
      <c r="E20" s="272" t="s">
        <v>333</v>
      </c>
      <c r="F20" s="273" t="s">
        <v>324</v>
      </c>
      <c r="G20" s="227"/>
      <c r="H20" s="393" t="str">
        <f>"+ "&amp;TEXT(_КВ2Время,"ч:мм")</f>
        <v>+ 2:00</v>
      </c>
      <c r="I20" s="393"/>
      <c r="J20" s="393"/>
      <c r="K20" s="233"/>
      <c r="L20" s="254"/>
      <c r="M20" s="255"/>
      <c r="N20" s="232"/>
      <c r="O20" s="338" t="str">
        <f>getMpWoName(_КВ2)</f>
        <v>КВ-2</v>
      </c>
      <c r="P20" s="227"/>
      <c r="Q20" s="273" t="s">
        <v>323</v>
      </c>
      <c r="R20" s="272" t="s">
        <v>333</v>
      </c>
      <c r="S20" s="273" t="s">
        <v>324</v>
      </c>
      <c r="T20" s="227"/>
      <c r="U20" s="393" t="str">
        <f>"+ "&amp;TEXT(_КВ2Время,"ч:мм")</f>
        <v>+ 2:00</v>
      </c>
      <c r="V20" s="393"/>
      <c r="W20" s="393"/>
      <c r="X20" s="233"/>
    </row>
    <row r="21" spans="1:24" ht="3" customHeight="1" x14ac:dyDescent="0.25">
      <c r="A21" s="232"/>
      <c r="B21" s="235"/>
      <c r="C21" s="235"/>
      <c r="D21" s="235"/>
      <c r="E21" s="235"/>
      <c r="F21" s="235"/>
      <c r="G21" s="235"/>
      <c r="H21" s="235"/>
      <c r="I21" s="235"/>
      <c r="J21" s="235"/>
      <c r="K21" s="233"/>
      <c r="L21" s="254"/>
      <c r="M21" s="255"/>
      <c r="N21" s="232"/>
      <c r="O21" s="235"/>
      <c r="P21" s="235"/>
      <c r="Q21" s="235"/>
      <c r="R21" s="235"/>
      <c r="S21" s="235"/>
      <c r="T21" s="235"/>
      <c r="U21" s="235"/>
      <c r="V21" s="235"/>
      <c r="W21" s="235"/>
      <c r="X21" s="233"/>
    </row>
    <row r="22" spans="1:24" ht="3" customHeight="1" thickBot="1" x14ac:dyDescent="0.3">
      <c r="A22" s="232"/>
      <c r="B22" s="236"/>
      <c r="C22" s="236"/>
      <c r="D22" s="236"/>
      <c r="E22" s="236"/>
      <c r="F22" s="236"/>
      <c r="G22" s="236"/>
      <c r="H22" s="236"/>
      <c r="I22" s="236"/>
      <c r="J22" s="236"/>
      <c r="K22" s="233"/>
      <c r="L22" s="254"/>
      <c r="M22" s="255"/>
      <c r="N22" s="232"/>
      <c r="O22" s="236"/>
      <c r="P22" s="236"/>
      <c r="Q22" s="236"/>
      <c r="R22" s="236"/>
      <c r="S22" s="236"/>
      <c r="T22" s="236"/>
      <c r="U22" s="236"/>
      <c r="V22" s="236"/>
      <c r="W22" s="236"/>
      <c r="X22" s="233"/>
    </row>
    <row r="23" spans="1:24" ht="30" customHeight="1" thickBot="1" x14ac:dyDescent="0.3">
      <c r="A23" s="232"/>
      <c r="B23" s="393" t="str">
        <f>getMpWoName(_ДС2)</f>
        <v>ДС-2 КСЛ</v>
      </c>
      <c r="C23" s="227"/>
      <c r="D23" s="273" t="s">
        <v>323</v>
      </c>
      <c r="E23" s="272" t="s">
        <v>333</v>
      </c>
      <c r="F23" s="273" t="s">
        <v>324</v>
      </c>
      <c r="G23" s="227"/>
      <c r="H23" s="394" t="s">
        <v>147</v>
      </c>
      <c r="I23" s="394"/>
      <c r="J23" s="394"/>
      <c r="K23" s="233"/>
      <c r="L23" s="254"/>
      <c r="M23" s="255"/>
      <c r="N23" s="232"/>
      <c r="O23" s="393" t="str">
        <f>getMpWoName(_ДС2)</f>
        <v>ДС-2 КСЛ</v>
      </c>
      <c r="P23" s="227"/>
      <c r="Q23" s="273" t="s">
        <v>323</v>
      </c>
      <c r="R23" s="272" t="s">
        <v>333</v>
      </c>
      <c r="S23" s="273" t="s">
        <v>324</v>
      </c>
      <c r="T23" s="227"/>
      <c r="U23" s="394" t="s">
        <v>147</v>
      </c>
      <c r="V23" s="394"/>
      <c r="W23" s="394"/>
      <c r="X23" s="233"/>
    </row>
    <row r="24" spans="1:24" ht="3" customHeight="1" thickBot="1" x14ac:dyDescent="0.3">
      <c r="A24" s="232"/>
      <c r="B24" s="393"/>
      <c r="C24" s="227"/>
      <c r="D24" s="227"/>
      <c r="E24" s="227"/>
      <c r="F24" s="227"/>
      <c r="G24" s="227"/>
      <c r="H24" s="227"/>
      <c r="I24" s="227"/>
      <c r="J24" s="227"/>
      <c r="K24" s="233"/>
      <c r="L24" s="254"/>
      <c r="M24" s="255"/>
      <c r="N24" s="232"/>
      <c r="O24" s="393"/>
      <c r="P24" s="227"/>
      <c r="Q24" s="227"/>
      <c r="R24" s="227"/>
      <c r="S24" s="227"/>
      <c r="T24" s="227"/>
      <c r="U24" s="227"/>
      <c r="V24" s="227"/>
      <c r="W24" s="227"/>
      <c r="X24" s="233"/>
    </row>
    <row r="25" spans="1:24" ht="30" customHeight="1" thickBot="1" x14ac:dyDescent="0.3">
      <c r="A25" s="232"/>
      <c r="B25" s="393"/>
      <c r="C25" s="227"/>
      <c r="D25" s="273" t="s">
        <v>323</v>
      </c>
      <c r="E25" s="272" t="s">
        <v>333</v>
      </c>
      <c r="F25" s="273" t="s">
        <v>324</v>
      </c>
      <c r="G25" s="227"/>
      <c r="H25" s="394" t="s">
        <v>14</v>
      </c>
      <c r="I25" s="394"/>
      <c r="J25" s="394"/>
      <c r="K25" s="233"/>
      <c r="L25" s="254"/>
      <c r="M25" s="255"/>
      <c r="N25" s="232"/>
      <c r="O25" s="393"/>
      <c r="P25" s="227"/>
      <c r="Q25" s="273" t="s">
        <v>323</v>
      </c>
      <c r="R25" s="272" t="s">
        <v>333</v>
      </c>
      <c r="S25" s="273" t="s">
        <v>324</v>
      </c>
      <c r="T25" s="227"/>
      <c r="U25" s="394" t="s">
        <v>14</v>
      </c>
      <c r="V25" s="394"/>
      <c r="W25" s="394"/>
      <c r="X25" s="233"/>
    </row>
    <row r="26" spans="1:24" ht="3" customHeight="1" x14ac:dyDescent="0.25">
      <c r="A26" s="232"/>
      <c r="B26" s="393"/>
      <c r="C26" s="235"/>
      <c r="D26" s="235"/>
      <c r="E26" s="235"/>
      <c r="F26" s="235"/>
      <c r="G26" s="235"/>
      <c r="H26" s="235"/>
      <c r="I26" s="235"/>
      <c r="J26" s="235"/>
      <c r="K26" s="233"/>
      <c r="L26" s="254"/>
      <c r="M26" s="255"/>
      <c r="N26" s="232"/>
      <c r="O26" s="393"/>
      <c r="P26" s="235"/>
      <c r="Q26" s="235"/>
      <c r="R26" s="235"/>
      <c r="S26" s="235" t="s">
        <v>628</v>
      </c>
      <c r="T26" s="235"/>
      <c r="U26" s="235"/>
      <c r="V26" s="235"/>
      <c r="W26" s="235"/>
      <c r="X26" s="233"/>
    </row>
    <row r="27" spans="1:24" ht="3" customHeight="1" thickBot="1" x14ac:dyDescent="0.3">
      <c r="A27" s="232"/>
      <c r="B27" s="393"/>
      <c r="C27" s="236"/>
      <c r="D27" s="236"/>
      <c r="E27" s="236"/>
      <c r="F27" s="236"/>
      <c r="G27" s="236"/>
      <c r="H27" s="236"/>
      <c r="I27" s="236"/>
      <c r="J27" s="236"/>
      <c r="K27" s="233"/>
      <c r="L27" s="254"/>
      <c r="M27" s="255"/>
      <c r="N27" s="232"/>
      <c r="O27" s="393"/>
      <c r="P27" s="236"/>
      <c r="Q27" s="236"/>
      <c r="R27" s="236"/>
      <c r="S27" s="236"/>
      <c r="T27" s="236"/>
      <c r="U27" s="236"/>
      <c r="V27" s="236"/>
      <c r="W27" s="236"/>
      <c r="X27" s="233"/>
    </row>
    <row r="28" spans="1:24" ht="30" customHeight="1" thickBot="1" x14ac:dyDescent="0.3">
      <c r="A28" s="232"/>
      <c r="B28" s="393"/>
      <c r="C28" s="227"/>
      <c r="D28" s="273" t="s">
        <v>324</v>
      </c>
      <c r="E28" s="272" t="s">
        <v>333</v>
      </c>
      <c r="F28" s="273" t="s">
        <v>325</v>
      </c>
      <c r="G28" s="272" t="s">
        <v>334</v>
      </c>
      <c r="H28" s="273" t="s">
        <v>332</v>
      </c>
      <c r="I28" s="234"/>
      <c r="J28" s="399" t="s">
        <v>335</v>
      </c>
      <c r="K28" s="233"/>
      <c r="L28" s="254"/>
      <c r="M28" s="255"/>
      <c r="N28" s="232"/>
      <c r="O28" s="393"/>
      <c r="P28" s="227"/>
      <c r="Q28" s="273" t="s">
        <v>324</v>
      </c>
      <c r="R28" s="272" t="s">
        <v>333</v>
      </c>
      <c r="S28" s="273" t="s">
        <v>325</v>
      </c>
      <c r="T28" s="272" t="s">
        <v>334</v>
      </c>
      <c r="U28" s="273" t="s">
        <v>332</v>
      </c>
      <c r="V28" s="234"/>
      <c r="W28" s="399" t="s">
        <v>335</v>
      </c>
      <c r="X28" s="233"/>
    </row>
    <row r="29" spans="1:24" ht="36.75" thickBot="1" x14ac:dyDescent="0.3">
      <c r="A29" s="232"/>
      <c r="B29" s="393"/>
      <c r="C29" s="227"/>
      <c r="D29" s="335" t="s">
        <v>435</v>
      </c>
      <c r="E29" s="227"/>
      <c r="F29" s="337" t="s">
        <v>434</v>
      </c>
      <c r="G29" s="227"/>
      <c r="H29" s="370" t="s">
        <v>546</v>
      </c>
      <c r="I29" s="227"/>
      <c r="J29" s="399"/>
      <c r="K29" s="233"/>
      <c r="L29" s="254"/>
      <c r="M29" s="255"/>
      <c r="N29" s="232"/>
      <c r="O29" s="393"/>
      <c r="P29" s="227"/>
      <c r="Q29" s="335" t="s">
        <v>435</v>
      </c>
      <c r="R29" s="227"/>
      <c r="S29" s="337" t="s">
        <v>434</v>
      </c>
      <c r="T29" s="227"/>
      <c r="U29" s="370" t="s">
        <v>546</v>
      </c>
      <c r="V29" s="227"/>
      <c r="W29" s="399"/>
      <c r="X29" s="233"/>
    </row>
    <row r="30" spans="1:24" ht="30" customHeight="1" thickBot="1" x14ac:dyDescent="0.3">
      <c r="A30" s="232"/>
      <c r="B30" s="393"/>
      <c r="C30" s="227"/>
      <c r="D30" s="273" t="s">
        <v>435</v>
      </c>
      <c r="E30" s="272"/>
      <c r="F30" s="336" t="s">
        <v>434</v>
      </c>
      <c r="G30" s="272"/>
      <c r="H30" s="273" t="s">
        <v>445</v>
      </c>
      <c r="I30" s="234"/>
      <c r="J30" s="399"/>
      <c r="K30" s="233"/>
      <c r="L30" s="254"/>
      <c r="M30" s="255"/>
      <c r="N30" s="232"/>
      <c r="O30" s="393"/>
      <c r="P30" s="227"/>
      <c r="Q30" s="273" t="s">
        <v>435</v>
      </c>
      <c r="R30" s="272"/>
      <c r="S30" s="336" t="s">
        <v>434</v>
      </c>
      <c r="T30" s="272"/>
      <c r="U30" s="273" t="s">
        <v>445</v>
      </c>
      <c r="V30" s="234"/>
      <c r="W30" s="399"/>
      <c r="X30" s="233"/>
    </row>
    <row r="31" spans="1:24" ht="3" customHeight="1" x14ac:dyDescent="0.25">
      <c r="A31" s="232"/>
      <c r="B31" s="235"/>
      <c r="C31" s="235"/>
      <c r="D31" s="235"/>
      <c r="E31" s="235"/>
      <c r="F31" s="235"/>
      <c r="G31" s="235"/>
      <c r="H31" s="235"/>
      <c r="I31" s="235"/>
      <c r="J31" s="235"/>
      <c r="K31" s="233"/>
      <c r="L31" s="254"/>
      <c r="M31" s="255"/>
      <c r="N31" s="232"/>
      <c r="O31" s="235"/>
      <c r="P31" s="235"/>
      <c r="Q31" s="235"/>
      <c r="R31" s="235"/>
      <c r="S31" s="235"/>
      <c r="T31" s="235"/>
      <c r="U31" s="235"/>
      <c r="V31" s="235"/>
      <c r="W31" s="235"/>
      <c r="X31" s="233"/>
    </row>
    <row r="32" spans="1:24" ht="3" customHeight="1" thickBot="1" x14ac:dyDescent="0.3">
      <c r="A32" s="232"/>
      <c r="B32" s="236"/>
      <c r="C32" s="236"/>
      <c r="D32" s="236"/>
      <c r="E32" s="236"/>
      <c r="F32" s="236"/>
      <c r="G32" s="236"/>
      <c r="H32" s="236"/>
      <c r="I32" s="236"/>
      <c r="J32" s="236"/>
      <c r="K32" s="233"/>
      <c r="L32" s="254"/>
      <c r="M32" s="255"/>
      <c r="N32" s="232"/>
      <c r="O32" s="236"/>
      <c r="P32" s="236"/>
      <c r="Q32" s="236"/>
      <c r="R32" s="236"/>
      <c r="S32" s="236"/>
      <c r="T32" s="236"/>
      <c r="U32" s="236"/>
      <c r="V32" s="236"/>
      <c r="W32" s="236"/>
      <c r="X32" s="233"/>
    </row>
    <row r="33" spans="1:24" ht="30" customHeight="1" thickBot="1" x14ac:dyDescent="0.3">
      <c r="A33" s="232"/>
      <c r="B33" s="393" t="str">
        <f>getMpWoName(_ДС3)</f>
        <v>ДС-3 РДС</v>
      </c>
      <c r="C33" s="227"/>
      <c r="D33" s="273" t="s">
        <v>323</v>
      </c>
      <c r="E33" s="272" t="s">
        <v>333</v>
      </c>
      <c r="F33" s="273" t="s">
        <v>324</v>
      </c>
      <c r="G33" s="227"/>
      <c r="H33" s="394" t="s">
        <v>147</v>
      </c>
      <c r="I33" s="394"/>
      <c r="J33" s="394"/>
      <c r="K33" s="233"/>
      <c r="L33" s="254"/>
      <c r="M33" s="255"/>
      <c r="N33" s="232"/>
      <c r="O33" s="393" t="str">
        <f>getMpWoName(_ДС3)</f>
        <v>ДС-3 РДС</v>
      </c>
      <c r="P33" s="227"/>
      <c r="Q33" s="273" t="s">
        <v>323</v>
      </c>
      <c r="R33" s="272" t="s">
        <v>333</v>
      </c>
      <c r="S33" s="273" t="s">
        <v>324</v>
      </c>
      <c r="T33" s="227"/>
      <c r="U33" s="394" t="s">
        <v>147</v>
      </c>
      <c r="V33" s="394"/>
      <c r="W33" s="394"/>
      <c r="X33" s="233"/>
    </row>
    <row r="34" spans="1:24" ht="3" customHeight="1" thickBot="1" x14ac:dyDescent="0.3">
      <c r="A34" s="232"/>
      <c r="B34" s="393"/>
      <c r="C34" s="227"/>
      <c r="D34" s="227"/>
      <c r="E34" s="227"/>
      <c r="F34" s="227"/>
      <c r="G34" s="227"/>
      <c r="H34" s="227"/>
      <c r="I34" s="227"/>
      <c r="J34" s="227"/>
      <c r="K34" s="233"/>
      <c r="L34" s="254"/>
      <c r="M34" s="255"/>
      <c r="N34" s="232"/>
      <c r="O34" s="393"/>
      <c r="P34" s="227"/>
      <c r="Q34" s="227"/>
      <c r="R34" s="227"/>
      <c r="S34" s="227"/>
      <c r="T34" s="227"/>
      <c r="U34" s="227"/>
      <c r="V34" s="227"/>
      <c r="W34" s="227"/>
      <c r="X34" s="233"/>
    </row>
    <row r="35" spans="1:24" ht="30" customHeight="1" thickBot="1" x14ac:dyDescent="0.3">
      <c r="A35" s="232"/>
      <c r="B35" s="393"/>
      <c r="C35" s="227"/>
      <c r="D35" s="273" t="s">
        <v>323</v>
      </c>
      <c r="E35" s="272" t="s">
        <v>333</v>
      </c>
      <c r="F35" s="273" t="s">
        <v>324</v>
      </c>
      <c r="G35" s="227"/>
      <c r="H35" s="394" t="s">
        <v>14</v>
      </c>
      <c r="I35" s="394"/>
      <c r="J35" s="394"/>
      <c r="K35" s="233"/>
      <c r="L35" s="254"/>
      <c r="M35" s="255"/>
      <c r="N35" s="232"/>
      <c r="O35" s="393"/>
      <c r="P35" s="227"/>
      <c r="Q35" s="273" t="s">
        <v>323</v>
      </c>
      <c r="R35" s="272" t="s">
        <v>333</v>
      </c>
      <c r="S35" s="273" t="s">
        <v>324</v>
      </c>
      <c r="T35" s="227"/>
      <c r="U35" s="394" t="s">
        <v>14</v>
      </c>
      <c r="V35" s="394"/>
      <c r="W35" s="394"/>
      <c r="X35" s="233"/>
    </row>
    <row r="36" spans="1:24" ht="3" customHeight="1" x14ac:dyDescent="0.25">
      <c r="A36" s="232"/>
      <c r="B36" s="393"/>
      <c r="C36" s="235"/>
      <c r="D36" s="235"/>
      <c r="E36" s="235"/>
      <c r="F36" s="235"/>
      <c r="G36" s="235"/>
      <c r="H36" s="235"/>
      <c r="I36" s="235"/>
      <c r="J36" s="235"/>
      <c r="K36" s="233"/>
      <c r="L36" s="254"/>
      <c r="M36" s="255"/>
      <c r="N36" s="232"/>
      <c r="O36" s="393"/>
      <c r="P36" s="235"/>
      <c r="Q36" s="235"/>
      <c r="R36" s="235"/>
      <c r="S36" s="235"/>
      <c r="T36" s="235"/>
      <c r="U36" s="235"/>
      <c r="V36" s="235"/>
      <c r="W36" s="235"/>
      <c r="X36" s="233"/>
    </row>
    <row r="37" spans="1:24" ht="3" customHeight="1" thickBot="1" x14ac:dyDescent="0.3">
      <c r="A37" s="232"/>
      <c r="B37" s="393"/>
      <c r="C37" s="236"/>
      <c r="D37" s="236"/>
      <c r="E37" s="236"/>
      <c r="F37" s="236"/>
      <c r="G37" s="236"/>
      <c r="H37" s="236"/>
      <c r="I37" s="236"/>
      <c r="J37" s="236"/>
      <c r="K37" s="233"/>
      <c r="L37" s="254"/>
      <c r="M37" s="255"/>
      <c r="N37" s="232"/>
      <c r="O37" s="393"/>
      <c r="P37" s="236"/>
      <c r="Q37" s="236"/>
      <c r="R37" s="236"/>
      <c r="S37" s="236"/>
      <c r="T37" s="236"/>
      <c r="U37" s="236"/>
      <c r="V37" s="236"/>
      <c r="W37" s="236"/>
      <c r="X37" s="233"/>
    </row>
    <row r="38" spans="1:24" ht="30" customHeight="1" thickBot="1" x14ac:dyDescent="0.3">
      <c r="A38" s="232"/>
      <c r="B38" s="393"/>
      <c r="C38" s="227"/>
      <c r="D38" s="273" t="s">
        <v>323</v>
      </c>
      <c r="E38" s="272" t="s">
        <v>333</v>
      </c>
      <c r="F38" s="273" t="s">
        <v>324</v>
      </c>
      <c r="G38" s="272" t="s">
        <v>333</v>
      </c>
      <c r="H38" s="273" t="s">
        <v>325</v>
      </c>
      <c r="I38" s="234"/>
      <c r="J38" s="330" t="s">
        <v>15</v>
      </c>
      <c r="K38" s="233"/>
      <c r="L38" s="254"/>
      <c r="M38" s="255"/>
      <c r="N38" s="232"/>
      <c r="O38" s="393"/>
      <c r="P38" s="227"/>
      <c r="Q38" s="273" t="s">
        <v>323</v>
      </c>
      <c r="R38" s="272" t="s">
        <v>333</v>
      </c>
      <c r="S38" s="273" t="s">
        <v>324</v>
      </c>
      <c r="T38" s="272" t="s">
        <v>333</v>
      </c>
      <c r="U38" s="273" t="s">
        <v>325</v>
      </c>
      <c r="V38" s="234"/>
      <c r="W38" s="339" t="s">
        <v>15</v>
      </c>
      <c r="X38" s="233"/>
    </row>
    <row r="39" spans="1:24" ht="3" customHeight="1" x14ac:dyDescent="0.25">
      <c r="A39" s="232"/>
      <c r="B39" s="235"/>
      <c r="C39" s="235"/>
      <c r="D39" s="235"/>
      <c r="E39" s="235"/>
      <c r="F39" s="235"/>
      <c r="G39" s="235"/>
      <c r="H39" s="235"/>
      <c r="I39" s="235"/>
      <c r="J39" s="235"/>
      <c r="K39" s="233"/>
      <c r="L39" s="254"/>
      <c r="M39" s="255"/>
      <c r="N39" s="232"/>
      <c r="O39" s="235"/>
      <c r="P39" s="235"/>
      <c r="Q39" s="235"/>
      <c r="R39" s="235"/>
      <c r="S39" s="235"/>
      <c r="T39" s="235"/>
      <c r="U39" s="235"/>
      <c r="V39" s="235"/>
      <c r="W39" s="235"/>
      <c r="X39" s="233"/>
    </row>
    <row r="40" spans="1:24" ht="3" customHeight="1" thickBot="1" x14ac:dyDescent="0.3">
      <c r="A40" s="232"/>
      <c r="B40" s="236"/>
      <c r="C40" s="236"/>
      <c r="D40" s="236"/>
      <c r="E40" s="236"/>
      <c r="F40" s="236"/>
      <c r="G40" s="236"/>
      <c r="H40" s="236"/>
      <c r="I40" s="236"/>
      <c r="J40" s="236"/>
      <c r="K40" s="233"/>
      <c r="L40" s="254"/>
      <c r="M40" s="255"/>
      <c r="N40" s="232"/>
      <c r="O40" s="236"/>
      <c r="P40" s="236"/>
      <c r="Q40" s="236"/>
      <c r="R40" s="236"/>
      <c r="S40" s="236"/>
      <c r="T40" s="236"/>
      <c r="U40" s="236"/>
      <c r="V40" s="236"/>
      <c r="W40" s="236"/>
      <c r="X40" s="233"/>
    </row>
    <row r="41" spans="1:24" ht="30" customHeight="1" thickBot="1" x14ac:dyDescent="0.3">
      <c r="A41" s="232"/>
      <c r="B41" s="329" t="str">
        <f>getMpWoName(_КВ3)</f>
        <v>КВ-3</v>
      </c>
      <c r="C41" s="227"/>
      <c r="D41" s="273" t="s">
        <v>323</v>
      </c>
      <c r="E41" s="272" t="s">
        <v>333</v>
      </c>
      <c r="F41" s="273" t="s">
        <v>324</v>
      </c>
      <c r="G41" s="227"/>
      <c r="H41" s="393" t="str">
        <f>"+ "&amp;TEXT(_КВ3Время,"ч:мм")</f>
        <v>+ 2:00</v>
      </c>
      <c r="I41" s="393"/>
      <c r="J41" s="393"/>
      <c r="K41" s="233"/>
      <c r="L41" s="254"/>
      <c r="M41" s="255"/>
      <c r="N41" s="232"/>
      <c r="O41" s="338" t="str">
        <f>getMpWoName(_КВ3)</f>
        <v>КВ-3</v>
      </c>
      <c r="P41" s="227"/>
      <c r="Q41" s="273" t="s">
        <v>323</v>
      </c>
      <c r="R41" s="272" t="s">
        <v>333</v>
      </c>
      <c r="S41" s="273" t="s">
        <v>324</v>
      </c>
      <c r="T41" s="227"/>
      <c r="U41" s="393" t="str">
        <f>"+ "&amp;TEXT(_КВ3Время,"ч:мм")</f>
        <v>+ 2:00</v>
      </c>
      <c r="V41" s="393"/>
      <c r="W41" s="393"/>
      <c r="X41" s="233"/>
    </row>
    <row r="42" spans="1:24" ht="3" customHeight="1" x14ac:dyDescent="0.25">
      <c r="A42" s="232"/>
      <c r="B42" s="235"/>
      <c r="C42" s="235"/>
      <c r="D42" s="235"/>
      <c r="E42" s="235"/>
      <c r="F42" s="235"/>
      <c r="G42" s="235"/>
      <c r="H42" s="235"/>
      <c r="I42" s="235"/>
      <c r="J42" s="235"/>
      <c r="K42" s="233"/>
      <c r="L42" s="254"/>
      <c r="M42" s="255"/>
      <c r="N42" s="232"/>
      <c r="O42" s="235"/>
      <c r="P42" s="235"/>
      <c r="Q42" s="235"/>
      <c r="R42" s="235"/>
      <c r="S42" s="235"/>
      <c r="T42" s="235"/>
      <c r="U42" s="235"/>
      <c r="V42" s="235"/>
      <c r="W42" s="235"/>
      <c r="X42" s="233"/>
    </row>
    <row r="43" spans="1:24" ht="12.75" customHeight="1" x14ac:dyDescent="0.25">
      <c r="A43" s="232"/>
      <c r="B43" s="398" t="s">
        <v>327</v>
      </c>
      <c r="C43" s="398"/>
      <c r="D43" s="398"/>
      <c r="E43" s="398"/>
      <c r="F43" s="398"/>
      <c r="G43" s="398"/>
      <c r="H43" s="398"/>
      <c r="I43" s="398"/>
      <c r="J43" s="398"/>
      <c r="K43" s="233"/>
      <c r="L43" s="254"/>
      <c r="M43" s="255"/>
      <c r="N43" s="232"/>
      <c r="O43" s="398" t="s">
        <v>327</v>
      </c>
      <c r="P43" s="398"/>
      <c r="Q43" s="398"/>
      <c r="R43" s="398"/>
      <c r="S43" s="398"/>
      <c r="T43" s="398"/>
      <c r="U43" s="398"/>
      <c r="V43" s="398"/>
      <c r="W43" s="398"/>
      <c r="X43" s="233"/>
    </row>
    <row r="44" spans="1:24" ht="3" customHeight="1" x14ac:dyDescent="0.25">
      <c r="A44" s="232"/>
      <c r="B44" s="235"/>
      <c r="C44" s="235"/>
      <c r="D44" s="235"/>
      <c r="E44" s="235"/>
      <c r="F44" s="235"/>
      <c r="G44" s="235"/>
      <c r="H44" s="235"/>
      <c r="I44" s="235"/>
      <c r="J44" s="235"/>
      <c r="K44" s="233"/>
      <c r="L44" s="254"/>
      <c r="M44" s="255"/>
      <c r="N44" s="232"/>
      <c r="O44" s="235"/>
      <c r="P44" s="235"/>
      <c r="Q44" s="235"/>
      <c r="R44" s="235"/>
      <c r="S44" s="235"/>
      <c r="T44" s="235"/>
      <c r="U44" s="235"/>
      <c r="V44" s="235"/>
      <c r="W44" s="235"/>
      <c r="X44" s="233"/>
    </row>
    <row r="45" spans="1:24" ht="3" customHeight="1" x14ac:dyDescent="0.25">
      <c r="A45" s="232"/>
      <c r="B45" s="236"/>
      <c r="C45" s="236"/>
      <c r="D45" s="236"/>
      <c r="E45" s="236"/>
      <c r="F45" s="236"/>
      <c r="G45" s="236"/>
      <c r="H45" s="236"/>
      <c r="I45" s="236"/>
      <c r="J45" s="236"/>
      <c r="K45" s="233"/>
      <c r="L45" s="254"/>
      <c r="M45" s="255"/>
      <c r="N45" s="232"/>
      <c r="O45" s="236"/>
      <c r="P45" s="236"/>
      <c r="Q45" s="236"/>
      <c r="R45" s="236"/>
      <c r="S45" s="236"/>
      <c r="T45" s="236"/>
      <c r="U45" s="236"/>
      <c r="V45" s="236"/>
      <c r="W45" s="236"/>
      <c r="X45" s="233"/>
    </row>
    <row r="46" spans="1:24" ht="12.75" customHeight="1" x14ac:dyDescent="0.25">
      <c r="A46" s="232"/>
      <c r="B46" s="393" t="s">
        <v>322</v>
      </c>
      <c r="C46" s="393"/>
      <c r="D46" s="393"/>
      <c r="E46" s="393"/>
      <c r="F46" s="393"/>
      <c r="G46" s="393"/>
      <c r="H46" s="393"/>
      <c r="I46" s="393"/>
      <c r="J46" s="393"/>
      <c r="K46" s="233"/>
      <c r="L46" s="254"/>
      <c r="M46" s="255"/>
      <c r="N46" s="232"/>
      <c r="O46" s="393" t="s">
        <v>322</v>
      </c>
      <c r="P46" s="393"/>
      <c r="Q46" s="393"/>
      <c r="R46" s="393"/>
      <c r="S46" s="393"/>
      <c r="T46" s="393"/>
      <c r="U46" s="393"/>
      <c r="V46" s="393"/>
      <c r="W46" s="393"/>
      <c r="X46" s="233"/>
    </row>
    <row r="47" spans="1:24" ht="3" customHeight="1" thickBot="1" x14ac:dyDescent="0.3">
      <c r="A47" s="232"/>
      <c r="B47" s="228"/>
      <c r="C47" s="227"/>
      <c r="D47" s="227"/>
      <c r="E47" s="227"/>
      <c r="F47" s="227"/>
      <c r="G47" s="227"/>
      <c r="H47" s="227"/>
      <c r="I47" s="227"/>
      <c r="J47" s="227"/>
      <c r="K47" s="233"/>
      <c r="L47" s="254"/>
      <c r="M47" s="255"/>
      <c r="N47" s="232"/>
      <c r="O47" s="228"/>
      <c r="P47" s="227"/>
      <c r="Q47" s="227"/>
      <c r="R47" s="227"/>
      <c r="S47" s="227"/>
      <c r="T47" s="227"/>
      <c r="U47" s="227"/>
      <c r="V47" s="227"/>
      <c r="W47" s="227"/>
      <c r="X47" s="233"/>
    </row>
    <row r="48" spans="1:24" ht="30" customHeight="1" thickBot="1" x14ac:dyDescent="0.3">
      <c r="A48" s="232"/>
      <c r="B48" s="395" t="s">
        <v>339</v>
      </c>
      <c r="C48" s="396"/>
      <c r="D48" s="397"/>
      <c r="E48" s="272"/>
      <c r="F48" s="273" t="s">
        <v>323</v>
      </c>
      <c r="G48" s="272" t="s">
        <v>333</v>
      </c>
      <c r="H48" s="273" t="s">
        <v>324</v>
      </c>
      <c r="I48" s="256"/>
      <c r="J48" s="256"/>
      <c r="K48" s="233"/>
      <c r="L48" s="254"/>
      <c r="M48" s="255"/>
      <c r="N48" s="232"/>
      <c r="O48" s="395" t="s">
        <v>339</v>
      </c>
      <c r="P48" s="396"/>
      <c r="Q48" s="397"/>
      <c r="R48" s="272"/>
      <c r="S48" s="273" t="s">
        <v>323</v>
      </c>
      <c r="T48" s="272" t="s">
        <v>333</v>
      </c>
      <c r="U48" s="273" t="s">
        <v>324</v>
      </c>
      <c r="V48" s="256"/>
      <c r="W48" s="256"/>
      <c r="X48" s="233"/>
    </row>
    <row r="49" spans="1:24" ht="3" customHeight="1" thickBot="1" x14ac:dyDescent="0.3">
      <c r="A49" s="232"/>
      <c r="B49" s="228"/>
      <c r="C49" s="227"/>
      <c r="D49" s="227"/>
      <c r="E49" s="227"/>
      <c r="F49" s="227"/>
      <c r="G49" s="227"/>
      <c r="H49" s="227"/>
      <c r="I49" s="227"/>
      <c r="J49" s="227"/>
      <c r="K49" s="233"/>
      <c r="L49" s="254"/>
      <c r="M49" s="255"/>
      <c r="N49" s="232"/>
      <c r="O49" s="228"/>
      <c r="P49" s="227"/>
      <c r="Q49" s="227"/>
      <c r="R49" s="227"/>
      <c r="S49" s="227"/>
      <c r="T49" s="227"/>
      <c r="U49" s="227"/>
      <c r="V49" s="227"/>
      <c r="W49" s="227"/>
      <c r="X49" s="233"/>
    </row>
    <row r="50" spans="1:24" ht="30" customHeight="1" thickBot="1" x14ac:dyDescent="0.3">
      <c r="A50" s="232"/>
      <c r="B50" s="395" t="s">
        <v>339</v>
      </c>
      <c r="C50" s="396"/>
      <c r="D50" s="397"/>
      <c r="E50" s="272"/>
      <c r="F50" s="273" t="s">
        <v>323</v>
      </c>
      <c r="G50" s="272" t="s">
        <v>333</v>
      </c>
      <c r="H50" s="273" t="s">
        <v>324</v>
      </c>
      <c r="I50" s="256"/>
      <c r="J50" s="256"/>
      <c r="K50" s="233"/>
      <c r="L50" s="254"/>
      <c r="M50" s="255"/>
      <c r="N50" s="232"/>
      <c r="O50" s="395" t="s">
        <v>339</v>
      </c>
      <c r="P50" s="396"/>
      <c r="Q50" s="397"/>
      <c r="R50" s="272"/>
      <c r="S50" s="273" t="s">
        <v>323</v>
      </c>
      <c r="T50" s="272" t="s">
        <v>333</v>
      </c>
      <c r="U50" s="273" t="s">
        <v>324</v>
      </c>
      <c r="V50" s="256"/>
      <c r="W50" s="256"/>
      <c r="X50" s="233"/>
    </row>
    <row r="51" spans="1:24" ht="3" customHeight="1" thickBot="1" x14ac:dyDescent="0.3">
      <c r="A51" s="232"/>
      <c r="B51" s="228"/>
      <c r="C51" s="227"/>
      <c r="D51" s="227"/>
      <c r="E51" s="227"/>
      <c r="F51" s="227"/>
      <c r="G51" s="227"/>
      <c r="H51" s="227"/>
      <c r="I51" s="227"/>
      <c r="J51" s="227"/>
      <c r="K51" s="233"/>
      <c r="L51" s="254"/>
      <c r="M51" s="255"/>
      <c r="N51" s="232"/>
      <c r="O51" s="228"/>
      <c r="P51" s="227"/>
      <c r="Q51" s="227"/>
      <c r="R51" s="227"/>
      <c r="S51" s="227"/>
      <c r="T51" s="227"/>
      <c r="U51" s="227"/>
      <c r="V51" s="227"/>
      <c r="W51" s="227"/>
      <c r="X51" s="233"/>
    </row>
    <row r="52" spans="1:24" ht="30" customHeight="1" thickBot="1" x14ac:dyDescent="0.3">
      <c r="A52" s="232"/>
      <c r="B52" s="395" t="s">
        <v>339</v>
      </c>
      <c r="C52" s="396"/>
      <c r="D52" s="397"/>
      <c r="E52" s="272"/>
      <c r="F52" s="273" t="s">
        <v>323</v>
      </c>
      <c r="G52" s="272" t="s">
        <v>333</v>
      </c>
      <c r="H52" s="273" t="s">
        <v>324</v>
      </c>
      <c r="I52" s="256"/>
      <c r="J52" s="256"/>
      <c r="K52" s="233"/>
      <c r="L52" s="254"/>
      <c r="M52" s="255"/>
      <c r="N52" s="232"/>
      <c r="O52" s="395" t="s">
        <v>339</v>
      </c>
      <c r="P52" s="396"/>
      <c r="Q52" s="397"/>
      <c r="R52" s="272"/>
      <c r="S52" s="273" t="s">
        <v>323</v>
      </c>
      <c r="T52" s="272" t="s">
        <v>333</v>
      </c>
      <c r="U52" s="273" t="s">
        <v>324</v>
      </c>
      <c r="V52" s="256"/>
      <c r="W52" s="256"/>
      <c r="X52" s="233"/>
    </row>
    <row r="53" spans="1:24" ht="3" customHeight="1" thickBot="1" x14ac:dyDescent="0.3">
      <c r="A53" s="232"/>
      <c r="B53" s="228"/>
      <c r="C53" s="227"/>
      <c r="D53" s="227"/>
      <c r="E53" s="227"/>
      <c r="F53" s="227"/>
      <c r="G53" s="227"/>
      <c r="H53" s="227"/>
      <c r="I53" s="227"/>
      <c r="J53" s="227"/>
      <c r="K53" s="233"/>
      <c r="L53" s="254"/>
      <c r="M53" s="255"/>
      <c r="N53" s="232"/>
      <c r="O53" s="228"/>
      <c r="P53" s="227"/>
      <c r="Q53" s="227"/>
      <c r="R53" s="227"/>
      <c r="S53" s="227"/>
      <c r="T53" s="227"/>
      <c r="U53" s="227"/>
      <c r="V53" s="227"/>
      <c r="W53" s="227"/>
      <c r="X53" s="233"/>
    </row>
    <row r="54" spans="1:24" ht="30" customHeight="1" thickBot="1" x14ac:dyDescent="0.3">
      <c r="A54" s="232"/>
      <c r="B54" s="395" t="s">
        <v>339</v>
      </c>
      <c r="C54" s="396"/>
      <c r="D54" s="397"/>
      <c r="E54" s="272"/>
      <c r="F54" s="273" t="s">
        <v>323</v>
      </c>
      <c r="G54" s="272" t="s">
        <v>333</v>
      </c>
      <c r="H54" s="273" t="s">
        <v>324</v>
      </c>
      <c r="I54" s="256"/>
      <c r="J54" s="256"/>
      <c r="K54" s="233"/>
      <c r="L54" s="254"/>
      <c r="M54" s="255"/>
      <c r="N54" s="232"/>
      <c r="O54" s="395" t="s">
        <v>339</v>
      </c>
      <c r="P54" s="396"/>
      <c r="Q54" s="397"/>
      <c r="R54" s="272"/>
      <c r="S54" s="273" t="s">
        <v>323</v>
      </c>
      <c r="T54" s="272" t="s">
        <v>333</v>
      </c>
      <c r="U54" s="273" t="s">
        <v>324</v>
      </c>
      <c r="V54" s="256"/>
      <c r="W54" s="256"/>
      <c r="X54" s="233"/>
    </row>
    <row r="55" spans="1:24" s="227" customFormat="1" ht="3" customHeight="1" thickBot="1" x14ac:dyDescent="0.3">
      <c r="A55" s="263"/>
      <c r="B55" s="264"/>
      <c r="C55" s="264"/>
      <c r="D55" s="264"/>
      <c r="E55" s="264"/>
      <c r="F55" s="264"/>
      <c r="G55" s="264"/>
      <c r="H55" s="264"/>
      <c r="I55" s="264"/>
      <c r="J55" s="264"/>
      <c r="K55" s="265"/>
      <c r="L55" s="254"/>
      <c r="M55" s="255"/>
      <c r="N55" s="263"/>
      <c r="O55" s="264"/>
      <c r="P55" s="264"/>
      <c r="Q55" s="264"/>
      <c r="R55" s="264"/>
      <c r="S55" s="264"/>
      <c r="T55" s="264"/>
      <c r="U55" s="264"/>
      <c r="V55" s="264"/>
      <c r="W55" s="264"/>
      <c r="X55" s="265"/>
    </row>
  </sheetData>
  <mergeCells count="48">
    <mergeCell ref="B2:J2"/>
    <mergeCell ref="O2:W2"/>
    <mergeCell ref="D4:F4"/>
    <mergeCell ref="H4:J4"/>
    <mergeCell ref="Q4:S4"/>
    <mergeCell ref="U4:W4"/>
    <mergeCell ref="B7:B9"/>
    <mergeCell ref="H7:J7"/>
    <mergeCell ref="O7:O9"/>
    <mergeCell ref="U7:W7"/>
    <mergeCell ref="H9:J9"/>
    <mergeCell ref="U9:W9"/>
    <mergeCell ref="B12:B17"/>
    <mergeCell ref="H12:J12"/>
    <mergeCell ref="O12:O17"/>
    <mergeCell ref="U12:W12"/>
    <mergeCell ref="H14:J14"/>
    <mergeCell ref="U14:W14"/>
    <mergeCell ref="H20:J20"/>
    <mergeCell ref="U20:W20"/>
    <mergeCell ref="B23:B30"/>
    <mergeCell ref="H23:J23"/>
    <mergeCell ref="O23:O30"/>
    <mergeCell ref="U23:W23"/>
    <mergeCell ref="H25:J25"/>
    <mergeCell ref="U25:W25"/>
    <mergeCell ref="J28:J30"/>
    <mergeCell ref="W28:W30"/>
    <mergeCell ref="B52:D52"/>
    <mergeCell ref="O52:Q52"/>
    <mergeCell ref="B54:D54"/>
    <mergeCell ref="O54:Q54"/>
    <mergeCell ref="B43:J43"/>
    <mergeCell ref="O43:W43"/>
    <mergeCell ref="B46:J46"/>
    <mergeCell ref="O46:W46"/>
    <mergeCell ref="B48:D48"/>
    <mergeCell ref="O48:Q48"/>
    <mergeCell ref="B50:D50"/>
    <mergeCell ref="O50:Q50"/>
    <mergeCell ref="H41:J41"/>
    <mergeCell ref="U41:W41"/>
    <mergeCell ref="B33:B38"/>
    <mergeCell ref="H33:J33"/>
    <mergeCell ref="O33:O38"/>
    <mergeCell ref="U33:W33"/>
    <mergeCell ref="H35:J35"/>
    <mergeCell ref="U35:W35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H14"/>
  <sheetViews>
    <sheetView view="pageBreakPreview" zoomScale="70" zoomScaleNormal="70" zoomScaleSheetLayoutView="70" zoomScalePageLayoutView="40" workbookViewId="0">
      <selection activeCell="E13" sqref="E13:G13"/>
    </sheetView>
  </sheetViews>
  <sheetFormatPr defaultRowHeight="15" x14ac:dyDescent="0.25"/>
  <cols>
    <col min="1" max="1" width="10.7109375" style="121" customWidth="1"/>
    <col min="2" max="2" width="10.7109375" style="122" customWidth="1"/>
    <col min="3" max="3" width="8.7109375" style="122" customWidth="1"/>
    <col min="4" max="4" width="8.7109375" style="121" customWidth="1"/>
    <col min="5" max="5" width="17.140625" style="122" customWidth="1"/>
    <col min="6" max="6" width="8.7109375" style="122" customWidth="1"/>
    <col min="7" max="7" width="9.7109375" style="122" customWidth="1"/>
    <col min="8" max="8" width="10.7109375" style="122" customWidth="1"/>
    <col min="9" max="9" width="8" style="122" customWidth="1"/>
    <col min="10" max="16384" width="9.140625" style="122"/>
  </cols>
  <sheetData>
    <row r="1" spans="1:8" ht="54.95" customHeight="1" x14ac:dyDescent="0.25">
      <c r="A1" s="467">
        <v>1.28</v>
      </c>
      <c r="B1" s="555"/>
      <c r="C1" s="243"/>
      <c r="D1" s="244"/>
      <c r="E1" s="553"/>
      <c r="F1" s="554"/>
      <c r="G1" s="554"/>
      <c r="H1" s="551"/>
    </row>
    <row r="2" spans="1:8" ht="54.95" customHeight="1" x14ac:dyDescent="0.25">
      <c r="A2" s="468"/>
      <c r="B2" s="556"/>
      <c r="C2" s="246">
        <v>49</v>
      </c>
      <c r="D2" s="245"/>
      <c r="E2" s="553"/>
      <c r="F2" s="554"/>
      <c r="G2" s="554"/>
      <c r="H2" s="552"/>
    </row>
    <row r="3" spans="1:8" ht="54.95" customHeight="1" x14ac:dyDescent="0.25">
      <c r="A3" s="352"/>
      <c r="B3" s="353"/>
      <c r="C3" s="350"/>
      <c r="D3" s="351"/>
      <c r="E3" s="554"/>
      <c r="F3" s="554"/>
      <c r="G3" s="554"/>
      <c r="H3" s="368"/>
    </row>
    <row r="4" spans="1:8" ht="54.95" customHeight="1" x14ac:dyDescent="0.35">
      <c r="A4" s="467">
        <v>2.38</v>
      </c>
      <c r="B4" s="555"/>
      <c r="C4" s="243"/>
      <c r="D4" s="244"/>
      <c r="E4" s="550"/>
      <c r="F4" s="455"/>
      <c r="G4" s="455"/>
      <c r="H4" s="551"/>
    </row>
    <row r="5" spans="1:8" ht="54.95" customHeight="1" x14ac:dyDescent="0.25">
      <c r="A5" s="468"/>
      <c r="B5" s="556"/>
      <c r="C5" s="246">
        <f>бюллетени!C2+1</f>
        <v>50</v>
      </c>
      <c r="D5" s="245"/>
      <c r="E5" s="553"/>
      <c r="F5" s="554"/>
      <c r="G5" s="554"/>
      <c r="H5" s="552"/>
    </row>
    <row r="6" spans="1:8" ht="54.95" customHeight="1" x14ac:dyDescent="0.25">
      <c r="A6" s="352"/>
      <c r="B6" s="353"/>
      <c r="C6" s="350"/>
      <c r="D6" s="351"/>
      <c r="E6" s="554"/>
      <c r="F6" s="554"/>
      <c r="G6" s="554"/>
      <c r="H6" s="368"/>
    </row>
    <row r="7" spans="1:8" ht="54.95" customHeight="1" x14ac:dyDescent="0.35">
      <c r="A7" s="467">
        <v>3.2</v>
      </c>
      <c r="B7" s="555"/>
      <c r="C7" s="243"/>
      <c r="D7" s="244"/>
      <c r="E7" s="550"/>
      <c r="F7" s="455"/>
      <c r="G7" s="455"/>
      <c r="H7" s="551"/>
    </row>
    <row r="8" spans="1:8" ht="54.95" customHeight="1" x14ac:dyDescent="0.25">
      <c r="A8" s="468"/>
      <c r="B8" s="556"/>
      <c r="C8" s="246">
        <f>бюллетени!C5+1</f>
        <v>51</v>
      </c>
      <c r="D8" s="245"/>
      <c r="E8" s="553"/>
      <c r="F8" s="554"/>
      <c r="G8" s="554"/>
      <c r="H8" s="552"/>
    </row>
    <row r="9" spans="1:8" ht="54.95" customHeight="1" x14ac:dyDescent="0.25">
      <c r="A9" s="353"/>
      <c r="B9" s="353"/>
      <c r="C9" s="350"/>
      <c r="D9" s="351"/>
      <c r="E9" s="554"/>
      <c r="F9" s="554"/>
      <c r="G9" s="554"/>
      <c r="H9" s="368"/>
    </row>
    <row r="10" spans="1:8" ht="54.95" customHeight="1" x14ac:dyDescent="0.35">
      <c r="A10" s="453"/>
      <c r="B10" s="557"/>
      <c r="C10" s="243"/>
      <c r="D10" s="244"/>
      <c r="E10" s="562" t="s">
        <v>527</v>
      </c>
      <c r="F10" s="463"/>
      <c r="G10" s="563"/>
      <c r="H10" s="551"/>
    </row>
    <row r="11" spans="1:8" ht="54.95" customHeight="1" x14ac:dyDescent="0.25">
      <c r="A11" s="462"/>
      <c r="B11" s="558"/>
      <c r="C11" s="246" t="s">
        <v>499</v>
      </c>
      <c r="D11" s="245"/>
      <c r="E11" s="559"/>
      <c r="F11" s="560"/>
      <c r="G11" s="561"/>
      <c r="H11" s="552"/>
    </row>
    <row r="12" spans="1:8" ht="54.95" customHeight="1" x14ac:dyDescent="0.25">
      <c r="A12" s="353"/>
      <c r="B12" s="353"/>
      <c r="C12" s="350"/>
      <c r="D12" s="351"/>
      <c r="E12" s="554"/>
      <c r="F12" s="554"/>
      <c r="G12" s="554"/>
      <c r="H12" s="368"/>
    </row>
    <row r="13" spans="1:8" ht="54.95" customHeight="1" x14ac:dyDescent="0.35">
      <c r="A13" s="453"/>
      <c r="B13" s="557"/>
      <c r="C13" s="243"/>
      <c r="D13" s="244"/>
      <c r="E13" s="562" t="s">
        <v>527</v>
      </c>
      <c r="F13" s="463"/>
      <c r="G13" s="563"/>
      <c r="H13" s="551"/>
    </row>
    <row r="14" spans="1:8" ht="54.95" customHeight="1" x14ac:dyDescent="0.25">
      <c r="A14" s="462"/>
      <c r="B14" s="558"/>
      <c r="C14" s="246" t="s">
        <v>500</v>
      </c>
      <c r="D14" s="245"/>
      <c r="E14" s="559"/>
      <c r="F14" s="560"/>
      <c r="G14" s="561"/>
      <c r="H14" s="552"/>
    </row>
  </sheetData>
  <mergeCells count="29">
    <mergeCell ref="E3:G3"/>
    <mergeCell ref="E6:G6"/>
    <mergeCell ref="A13:A14"/>
    <mergeCell ref="B13:B14"/>
    <mergeCell ref="H13:H14"/>
    <mergeCell ref="E14:G14"/>
    <mergeCell ref="B10:B11"/>
    <mergeCell ref="E10:G10"/>
    <mergeCell ref="H10:H11"/>
    <mergeCell ref="A10:A11"/>
    <mergeCell ref="E11:G11"/>
    <mergeCell ref="E12:G12"/>
    <mergeCell ref="E13:G13"/>
    <mergeCell ref="E9:G9"/>
    <mergeCell ref="A4:A5"/>
    <mergeCell ref="B4:B5"/>
    <mergeCell ref="A1:A2"/>
    <mergeCell ref="B1:B2"/>
    <mergeCell ref="E1:G1"/>
    <mergeCell ref="H1:H2"/>
    <mergeCell ref="E2:G2"/>
    <mergeCell ref="E4:G4"/>
    <mergeCell ref="H4:H5"/>
    <mergeCell ref="E5:G5"/>
    <mergeCell ref="A7:A8"/>
    <mergeCell ref="B7:B8"/>
    <mergeCell ref="E7:G7"/>
    <mergeCell ref="H7:H8"/>
    <mergeCell ref="E8:G8"/>
  </mergeCells>
  <pageMargins left="0.98425196850393704" right="0.59055118110236227" top="0.59055118110236227" bottom="0.59055118110236227" header="1.1811023622047245" footer="0"/>
  <pageSetup paperSize="9" firstPageNumber="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B4:I23"/>
  <sheetViews>
    <sheetView workbookViewId="0">
      <selection activeCell="A16" sqref="A16"/>
    </sheetView>
  </sheetViews>
  <sheetFormatPr defaultRowHeight="15" x14ac:dyDescent="0.25"/>
  <cols>
    <col min="1" max="16384" width="9.140625" style="1"/>
  </cols>
  <sheetData>
    <row r="4" spans="2:9" x14ac:dyDescent="0.25">
      <c r="B4" s="44" t="s">
        <v>297</v>
      </c>
      <c r="C4" s="2"/>
      <c r="D4" s="2" t="s">
        <v>298</v>
      </c>
      <c r="E4" s="2"/>
      <c r="F4" s="2"/>
      <c r="G4" s="2" t="s">
        <v>298</v>
      </c>
      <c r="H4" s="2"/>
      <c r="I4" s="2"/>
    </row>
    <row r="5" spans="2:9" x14ac:dyDescent="0.25">
      <c r="B5" s="44"/>
      <c r="C5" s="2"/>
      <c r="D5" s="187" t="s">
        <v>299</v>
      </c>
      <c r="E5" s="2"/>
      <c r="F5" s="2"/>
      <c r="G5" s="187" t="s">
        <v>300</v>
      </c>
      <c r="H5" s="2"/>
      <c r="I5" s="2"/>
    </row>
    <row r="6" spans="2:9" x14ac:dyDescent="0.25">
      <c r="B6" s="44" t="s">
        <v>301</v>
      </c>
      <c r="C6" s="2"/>
      <c r="D6" s="2" t="s">
        <v>298</v>
      </c>
      <c r="E6" s="2"/>
      <c r="F6" s="2"/>
      <c r="G6" s="2" t="s">
        <v>298</v>
      </c>
      <c r="H6" s="2"/>
      <c r="I6" s="2"/>
    </row>
    <row r="7" spans="2:9" x14ac:dyDescent="0.25">
      <c r="B7" s="44"/>
      <c r="C7" s="2"/>
      <c r="D7" s="187" t="s">
        <v>299</v>
      </c>
      <c r="E7" s="2"/>
      <c r="F7" s="2"/>
      <c r="G7" s="187" t="s">
        <v>300</v>
      </c>
      <c r="H7" s="2"/>
      <c r="I7" s="2"/>
    </row>
    <row r="8" spans="2:9" x14ac:dyDescent="0.25">
      <c r="B8" s="44" t="s">
        <v>301</v>
      </c>
      <c r="C8" s="2"/>
      <c r="D8" s="2" t="s">
        <v>298</v>
      </c>
      <c r="E8" s="2"/>
      <c r="F8" s="2"/>
      <c r="G8" s="2" t="s">
        <v>298</v>
      </c>
      <c r="H8" s="2"/>
      <c r="I8" s="2"/>
    </row>
    <row r="9" spans="2:9" x14ac:dyDescent="0.25">
      <c r="B9" s="44"/>
      <c r="C9" s="2"/>
      <c r="D9" s="187" t="s">
        <v>299</v>
      </c>
      <c r="E9" s="2"/>
      <c r="F9" s="2"/>
      <c r="G9" s="187" t="s">
        <v>300</v>
      </c>
      <c r="H9" s="2"/>
      <c r="I9" s="2"/>
    </row>
    <row r="10" spans="2:9" x14ac:dyDescent="0.25">
      <c r="B10" s="44" t="s">
        <v>302</v>
      </c>
      <c r="C10" s="2"/>
      <c r="D10" s="2" t="s">
        <v>298</v>
      </c>
      <c r="E10" s="2"/>
      <c r="F10" s="2"/>
      <c r="G10" s="2" t="s">
        <v>298</v>
      </c>
      <c r="H10" s="2"/>
      <c r="I10" s="2"/>
    </row>
    <row r="11" spans="2:9" x14ac:dyDescent="0.25">
      <c r="B11" s="44"/>
      <c r="C11" s="2"/>
      <c r="D11" s="187" t="s">
        <v>299</v>
      </c>
      <c r="E11" s="2"/>
      <c r="F11" s="2"/>
      <c r="G11" s="187" t="s">
        <v>300</v>
      </c>
      <c r="H11" s="2"/>
      <c r="I11" s="2"/>
    </row>
    <row r="12" spans="2:9" x14ac:dyDescent="0.25">
      <c r="B12" s="44" t="s">
        <v>303</v>
      </c>
      <c r="C12" s="2"/>
      <c r="D12" s="2" t="s">
        <v>298</v>
      </c>
      <c r="E12" s="2"/>
      <c r="F12" s="2"/>
      <c r="G12" s="2" t="s">
        <v>298</v>
      </c>
      <c r="H12" s="2"/>
      <c r="I12" s="2"/>
    </row>
    <row r="13" spans="2:9" x14ac:dyDescent="0.25">
      <c r="B13" s="44"/>
      <c r="C13" s="2"/>
      <c r="D13" s="187" t="s">
        <v>299</v>
      </c>
      <c r="E13" s="2"/>
      <c r="F13" s="2"/>
      <c r="G13" s="187" t="s">
        <v>300</v>
      </c>
      <c r="H13" s="2"/>
      <c r="I13" s="2"/>
    </row>
    <row r="18" spans="2:2" x14ac:dyDescent="0.25">
      <c r="B18" s="1" t="s">
        <v>304</v>
      </c>
    </row>
    <row r="20" spans="2:2" x14ac:dyDescent="0.25">
      <c r="B20" s="1" t="s">
        <v>305</v>
      </c>
    </row>
    <row r="21" spans="2:2" x14ac:dyDescent="0.25">
      <c r="B21" s="1" t="s">
        <v>306</v>
      </c>
    </row>
    <row r="23" spans="2:2" x14ac:dyDescent="0.25">
      <c r="B23" s="1" t="s">
        <v>307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H72"/>
  <sheetViews>
    <sheetView view="pageBreakPreview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/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/>
      <c r="B10" s="213"/>
      <c r="C10" s="214" t="str">
        <f>IF(ISNUMBER(B11),B11-B10,"")</f>
        <v/>
      </c>
      <c r="D10" s="214"/>
      <c r="E10" s="214"/>
      <c r="F10" s="214"/>
      <c r="G10" s="214" t="str">
        <f>IF(C10&lt;&gt;"",D10*IF(ISNUMBER(E10),E10,1)+IF(ISNUMBER(F10),F10,0),"")</f>
        <v/>
      </c>
      <c r="H10" s="215" t="str">
        <f t="shared" ref="H10:H41" si="0">IF(G10&lt;&gt;"",ROUNDDOWN(C10/G10*3600,округлениеРД),"")</f>
        <v/>
      </c>
    </row>
    <row r="11" spans="1:8" ht="30" customHeight="1" x14ac:dyDescent="0.25">
      <c r="A11" s="224"/>
      <c r="B11" s="213"/>
      <c r="C11" s="214" t="str">
        <f t="shared" ref="C11:C69" si="1">IF(ISNUMBER(B12),B12-B11,"")</f>
        <v/>
      </c>
      <c r="D11" s="214"/>
      <c r="E11" s="216"/>
      <c r="F11" s="214"/>
      <c r="G11" s="214" t="str">
        <f t="shared" ref="G11:G69" si="2">IF(C11&lt;&gt;"",D11*IF(ISNUMBER(E11),E11,1)+IF(ISNUMBER(F11),F11,0),"")</f>
        <v/>
      </c>
      <c r="H11" s="215" t="str">
        <f t="shared" si="0"/>
        <v/>
      </c>
    </row>
    <row r="12" spans="1:8" ht="30" customHeight="1" x14ac:dyDescent="0.25">
      <c r="A12" s="224"/>
      <c r="B12" s="213"/>
      <c r="C12" s="214" t="str">
        <f t="shared" si="1"/>
        <v/>
      </c>
      <c r="D12" s="214"/>
      <c r="E12" s="216"/>
      <c r="F12" s="214"/>
      <c r="G12" s="214" t="str">
        <f t="shared" si="2"/>
        <v/>
      </c>
      <c r="H12" s="215" t="str">
        <f t="shared" si="0"/>
        <v/>
      </c>
    </row>
    <row r="13" spans="1:8" ht="30" customHeight="1" x14ac:dyDescent="0.25">
      <c r="A13" s="224"/>
      <c r="B13" s="213"/>
      <c r="C13" s="214" t="str">
        <f t="shared" si="1"/>
        <v/>
      </c>
      <c r="D13" s="214"/>
      <c r="E13" s="216"/>
      <c r="F13" s="214"/>
      <c r="G13" s="214" t="str">
        <f t="shared" si="2"/>
        <v/>
      </c>
      <c r="H13" s="215" t="str">
        <f t="shared" si="0"/>
        <v/>
      </c>
    </row>
    <row r="14" spans="1:8" ht="30" customHeight="1" x14ac:dyDescent="0.25">
      <c r="A14" s="224"/>
      <c r="B14" s="213"/>
      <c r="C14" s="214" t="str">
        <f t="shared" si="1"/>
        <v/>
      </c>
      <c r="D14" s="214"/>
      <c r="E14" s="216"/>
      <c r="F14" s="214"/>
      <c r="G14" s="214" t="str">
        <f t="shared" si="2"/>
        <v/>
      </c>
      <c r="H14" s="215" t="str">
        <f t="shared" si="0"/>
        <v/>
      </c>
    </row>
    <row r="15" spans="1:8" ht="30" customHeight="1" x14ac:dyDescent="0.25">
      <c r="A15" s="224"/>
      <c r="B15" s="213"/>
      <c r="C15" s="214" t="str">
        <f t="shared" si="1"/>
        <v/>
      </c>
      <c r="D15" s="214"/>
      <c r="E15" s="216"/>
      <c r="F15" s="214"/>
      <c r="G15" s="214" t="str">
        <f t="shared" si="2"/>
        <v/>
      </c>
      <c r="H15" s="215" t="str">
        <f t="shared" si="0"/>
        <v/>
      </c>
    </row>
    <row r="16" spans="1:8" ht="30" customHeight="1" x14ac:dyDescent="0.25">
      <c r="A16" s="224"/>
      <c r="B16" s="213"/>
      <c r="C16" s="214" t="str">
        <f t="shared" si="1"/>
        <v/>
      </c>
      <c r="D16" s="214"/>
      <c r="E16" s="216"/>
      <c r="F16" s="214"/>
      <c r="G16" s="214" t="str">
        <f t="shared" si="2"/>
        <v/>
      </c>
      <c r="H16" s="215" t="str">
        <f t="shared" si="0"/>
        <v/>
      </c>
    </row>
    <row r="17" spans="1:8" ht="30" customHeight="1" x14ac:dyDescent="0.25">
      <c r="A17" s="224"/>
      <c r="B17" s="213"/>
      <c r="C17" s="214" t="str">
        <f t="shared" si="1"/>
        <v/>
      </c>
      <c r="D17" s="214"/>
      <c r="E17" s="216"/>
      <c r="F17" s="214"/>
      <c r="G17" s="214" t="str">
        <f t="shared" si="2"/>
        <v/>
      </c>
      <c r="H17" s="215" t="str">
        <f t="shared" si="0"/>
        <v/>
      </c>
    </row>
    <row r="18" spans="1:8" ht="30" customHeight="1" x14ac:dyDescent="0.25">
      <c r="A18" s="224"/>
      <c r="B18" s="213"/>
      <c r="C18" s="214" t="str">
        <f t="shared" si="1"/>
        <v/>
      </c>
      <c r="D18" s="214"/>
      <c r="E18" s="216"/>
      <c r="F18" s="214"/>
      <c r="G18" s="214" t="str">
        <f t="shared" si="2"/>
        <v/>
      </c>
      <c r="H18" s="215" t="str">
        <f t="shared" si="0"/>
        <v/>
      </c>
    </row>
    <row r="19" spans="1:8" ht="30" customHeight="1" x14ac:dyDescent="0.25">
      <c r="A19" s="224"/>
      <c r="B19" s="213"/>
      <c r="C19" s="214" t="str">
        <f t="shared" si="1"/>
        <v/>
      </c>
      <c r="D19" s="214"/>
      <c r="E19" s="216"/>
      <c r="F19" s="214"/>
      <c r="G19" s="214" t="str">
        <f t="shared" si="2"/>
        <v/>
      </c>
      <c r="H19" s="215" t="str">
        <f t="shared" si="0"/>
        <v/>
      </c>
    </row>
    <row r="20" spans="1:8" ht="30" customHeight="1" x14ac:dyDescent="0.25">
      <c r="A20" s="224"/>
      <c r="B20" s="213"/>
      <c r="C20" s="214" t="str">
        <f t="shared" si="1"/>
        <v/>
      </c>
      <c r="D20" s="214"/>
      <c r="E20" s="216"/>
      <c r="F20" s="214"/>
      <c r="G20" s="214" t="str">
        <f t="shared" si="2"/>
        <v/>
      </c>
      <c r="H20" s="215" t="str">
        <f t="shared" si="0"/>
        <v/>
      </c>
    </row>
    <row r="21" spans="1:8" ht="30" customHeight="1" x14ac:dyDescent="0.25">
      <c r="A21" s="224"/>
      <c r="B21" s="213"/>
      <c r="C21" s="214" t="str">
        <f t="shared" si="1"/>
        <v/>
      </c>
      <c r="D21" s="214"/>
      <c r="E21" s="216"/>
      <c r="F21" s="214"/>
      <c r="G21" s="214" t="str">
        <f t="shared" si="2"/>
        <v/>
      </c>
      <c r="H21" s="215" t="str">
        <f t="shared" si="0"/>
        <v/>
      </c>
    </row>
    <row r="22" spans="1:8" ht="30" customHeight="1" x14ac:dyDescent="0.25">
      <c r="A22" s="224"/>
      <c r="B22" s="213"/>
      <c r="C22" s="214" t="str">
        <f t="shared" si="1"/>
        <v/>
      </c>
      <c r="D22" s="214"/>
      <c r="E22" s="216"/>
      <c r="F22" s="214"/>
      <c r="G22" s="214" t="str">
        <f t="shared" si="2"/>
        <v/>
      </c>
      <c r="H22" s="215" t="str">
        <f t="shared" si="0"/>
        <v/>
      </c>
    </row>
    <row r="23" spans="1:8" ht="30" customHeight="1" x14ac:dyDescent="0.25">
      <c r="A23" s="224"/>
      <c r="B23" s="213"/>
      <c r="C23" s="214" t="str">
        <f t="shared" si="1"/>
        <v/>
      </c>
      <c r="D23" s="214"/>
      <c r="E23" s="216"/>
      <c r="F23" s="214"/>
      <c r="G23" s="214" t="str">
        <f t="shared" si="2"/>
        <v/>
      </c>
      <c r="H23" s="215" t="str">
        <f t="shared" si="0"/>
        <v/>
      </c>
    </row>
    <row r="24" spans="1:8" ht="30" customHeight="1" x14ac:dyDescent="0.25">
      <c r="A24" s="224"/>
      <c r="B24" s="213"/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ref="H42:H69" si="3">IF(G42&lt;&gt;"",ROUNDDOWN(C42/G42*3600,округлениеРД),"")</f>
        <v/>
      </c>
    </row>
    <row r="43" spans="1:8" ht="30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3"/>
        <v/>
      </c>
    </row>
    <row r="44" spans="1:8" ht="30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3"/>
        <v/>
      </c>
    </row>
    <row r="45" spans="1:8" ht="30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3"/>
        <v/>
      </c>
    </row>
    <row r="46" spans="1:8" ht="30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3"/>
        <v/>
      </c>
    </row>
    <row r="47" spans="1:8" ht="30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3"/>
        <v/>
      </c>
    </row>
    <row r="48" spans="1:8" ht="30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3"/>
        <v/>
      </c>
    </row>
    <row r="49" spans="1:8" ht="30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3"/>
        <v/>
      </c>
    </row>
    <row r="50" spans="1:8" ht="30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3"/>
        <v/>
      </c>
    </row>
    <row r="51" spans="1:8" ht="30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3"/>
        <v/>
      </c>
    </row>
    <row r="52" spans="1:8" ht="30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3"/>
        <v/>
      </c>
    </row>
    <row r="53" spans="1:8" ht="30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3"/>
        <v/>
      </c>
    </row>
    <row r="54" spans="1:8" ht="30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3"/>
        <v/>
      </c>
    </row>
    <row r="55" spans="1:8" ht="30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3"/>
        <v/>
      </c>
    </row>
    <row r="56" spans="1:8" ht="30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3"/>
        <v/>
      </c>
    </row>
    <row r="57" spans="1:8" ht="30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3"/>
        <v/>
      </c>
    </row>
    <row r="58" spans="1:8" ht="30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3"/>
        <v/>
      </c>
    </row>
    <row r="59" spans="1:8" ht="30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3"/>
        <v/>
      </c>
    </row>
    <row r="60" spans="1:8" ht="30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3"/>
        <v/>
      </c>
    </row>
    <row r="61" spans="1:8" ht="30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3"/>
        <v/>
      </c>
    </row>
    <row r="62" spans="1:8" ht="30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3"/>
        <v/>
      </c>
    </row>
    <row r="63" spans="1:8" ht="30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3"/>
        <v/>
      </c>
    </row>
    <row r="64" spans="1:8" ht="30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3"/>
        <v/>
      </c>
    </row>
    <row r="65" spans="1:8" ht="30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3"/>
        <v/>
      </c>
    </row>
    <row r="66" spans="1:8" ht="30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3"/>
        <v/>
      </c>
    </row>
    <row r="67" spans="1:8" ht="30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3"/>
        <v/>
      </c>
    </row>
    <row r="68" spans="1:8" ht="30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3"/>
        <v/>
      </c>
    </row>
    <row r="69" spans="1:8" ht="30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3"/>
        <v/>
      </c>
    </row>
    <row r="70" spans="1:8" ht="30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0</v>
      </c>
    </row>
    <row r="72" spans="1:8" ht="15" customHeight="1" x14ac:dyDescent="0.25">
      <c r="B72" s="340" t="e">
        <f>ROUND(SUM(C10:C70)/H71*3600,2)</f>
        <v>#DIV/0!</v>
      </c>
      <c r="F72" s="26"/>
      <c r="G72" s="222" t="s">
        <v>103</v>
      </c>
      <c r="H72" s="223">
        <f>H71/86400</f>
        <v>0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F0"/>
  </sheetPr>
  <dimension ref="A1:K59"/>
  <sheetViews>
    <sheetView view="pageBreakPreview" topLeftCell="A16" zoomScale="85" zoomScaleSheetLayoutView="85" workbookViewId="0">
      <selection activeCell="I12" sqref="I12"/>
    </sheetView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99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>
        <v>0.39583333333333331</v>
      </c>
      <c r="C3" s="38" t="s">
        <v>104</v>
      </c>
      <c r="D3" s="36">
        <v>0.39583333333333331</v>
      </c>
    </row>
    <row r="4" spans="1:11" ht="20.100000000000001" customHeight="1" x14ac:dyDescent="0.25">
      <c r="A4" s="38" t="s">
        <v>111</v>
      </c>
      <c r="B4" s="36">
        <v>0.5</v>
      </c>
      <c r="C4" s="38" t="s">
        <v>105</v>
      </c>
      <c r="D4" s="36">
        <v>0.5</v>
      </c>
    </row>
    <row r="5" spans="1:11" ht="46.5" x14ac:dyDescent="0.25">
      <c r="A5" s="564" t="s">
        <v>239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customHeight="1" x14ac:dyDescent="0.25">
      <c r="A9" s="89" t="s">
        <v>0</v>
      </c>
      <c r="B9" s="90" t="s">
        <v>108</v>
      </c>
      <c r="C9" s="90" t="s">
        <v>106</v>
      </c>
      <c r="D9" s="91" t="s">
        <v>113</v>
      </c>
      <c r="J9" s="30"/>
      <c r="K9" s="31"/>
    </row>
    <row r="10" spans="1:11" ht="30" customHeight="1" x14ac:dyDescent="0.25">
      <c r="A10" s="34">
        <v>1</v>
      </c>
      <c r="B10" s="106">
        <v>0.4201388888888889</v>
      </c>
      <c r="C10" s="47"/>
      <c r="D10" s="34"/>
    </row>
    <row r="11" spans="1:11" ht="30" customHeight="1" x14ac:dyDescent="0.25">
      <c r="A11" s="34">
        <v>10</v>
      </c>
      <c r="B11" s="106">
        <v>0.4236111111111111</v>
      </c>
      <c r="C11" s="47"/>
      <c r="D11" s="34"/>
    </row>
    <row r="12" spans="1:11" ht="30" customHeight="1" x14ac:dyDescent="0.25">
      <c r="A12" s="34">
        <v>9</v>
      </c>
      <c r="B12" s="106">
        <v>0.42708333333333331</v>
      </c>
      <c r="C12" s="47"/>
      <c r="D12" s="34"/>
    </row>
    <row r="13" spans="1:11" ht="30" customHeight="1" x14ac:dyDescent="0.25">
      <c r="A13" s="34">
        <v>18</v>
      </c>
      <c r="B13" s="106">
        <v>0.42708333333333331</v>
      </c>
      <c r="C13" s="47" t="s">
        <v>685</v>
      </c>
      <c r="D13" s="34"/>
    </row>
    <row r="14" spans="1:11" ht="30" customHeight="1" x14ac:dyDescent="0.25">
      <c r="A14" s="34">
        <v>20</v>
      </c>
      <c r="B14" s="106">
        <v>0.43055555555555558</v>
      </c>
      <c r="C14" s="47" t="s">
        <v>686</v>
      </c>
      <c r="D14" s="34"/>
    </row>
    <row r="15" spans="1:11" ht="30" customHeight="1" x14ac:dyDescent="0.25">
      <c r="A15" s="34">
        <v>6</v>
      </c>
      <c r="B15" s="106">
        <v>0.43402777777777773</v>
      </c>
      <c r="C15" s="47"/>
      <c r="D15" s="34"/>
    </row>
    <row r="16" spans="1:11" ht="30" customHeight="1" x14ac:dyDescent="0.25">
      <c r="A16" s="34">
        <v>23</v>
      </c>
      <c r="B16" s="106">
        <v>0.4375</v>
      </c>
      <c r="C16" s="47"/>
      <c r="D16" s="34"/>
    </row>
    <row r="17" spans="1:4" ht="30" customHeight="1" x14ac:dyDescent="0.25">
      <c r="A17" s="34">
        <v>19</v>
      </c>
      <c r="B17" s="106">
        <v>0.4375</v>
      </c>
      <c r="C17" s="47"/>
      <c r="D17" s="34"/>
    </row>
    <row r="18" spans="1:4" ht="30" customHeight="1" x14ac:dyDescent="0.25">
      <c r="A18" s="34">
        <v>5</v>
      </c>
      <c r="B18" s="106">
        <v>0.4375</v>
      </c>
      <c r="C18" s="47" t="s">
        <v>687</v>
      </c>
      <c r="D18" s="34"/>
    </row>
    <row r="19" spans="1:4" ht="30" customHeight="1" x14ac:dyDescent="0.25">
      <c r="A19" s="34">
        <v>7</v>
      </c>
      <c r="B19" s="106">
        <v>0.4375</v>
      </c>
      <c r="C19" s="47" t="s">
        <v>688</v>
      </c>
      <c r="D19" s="34"/>
    </row>
    <row r="20" spans="1:4" ht="30" customHeight="1" x14ac:dyDescent="0.25">
      <c r="A20" s="34">
        <v>15</v>
      </c>
      <c r="B20" s="106">
        <v>0.4375</v>
      </c>
      <c r="C20" s="47"/>
      <c r="D20" s="34"/>
    </row>
    <row r="21" spans="1:4" ht="30" customHeight="1" x14ac:dyDescent="0.25">
      <c r="A21" s="34">
        <v>17</v>
      </c>
      <c r="B21" s="106">
        <v>0.4375</v>
      </c>
      <c r="C21" s="47"/>
      <c r="D21" s="34"/>
    </row>
    <row r="22" spans="1:4" ht="30" customHeight="1" x14ac:dyDescent="0.25">
      <c r="A22" s="34">
        <v>4</v>
      </c>
      <c r="B22" s="106">
        <v>0.4375</v>
      </c>
      <c r="C22" s="47" t="s">
        <v>689</v>
      </c>
      <c r="D22" s="34"/>
    </row>
    <row r="23" spans="1:4" ht="30" customHeight="1" x14ac:dyDescent="0.25">
      <c r="A23" s="34">
        <v>16</v>
      </c>
      <c r="B23" s="106">
        <v>0.4375</v>
      </c>
      <c r="C23" s="47"/>
      <c r="D23" s="34"/>
    </row>
    <row r="24" spans="1:4" ht="30" customHeight="1" x14ac:dyDescent="0.25">
      <c r="A24" s="34">
        <v>24</v>
      </c>
      <c r="B24" s="106">
        <v>0.4375</v>
      </c>
      <c r="C24" s="47"/>
      <c r="D24" s="34"/>
    </row>
    <row r="25" spans="1:4" ht="30" customHeight="1" x14ac:dyDescent="0.25">
      <c r="A25" s="34">
        <v>22</v>
      </c>
      <c r="B25" s="106">
        <v>0.4375</v>
      </c>
      <c r="C25" s="47"/>
      <c r="D25" s="34"/>
    </row>
    <row r="26" spans="1:4" ht="30" customHeight="1" x14ac:dyDescent="0.25">
      <c r="A26" s="34">
        <v>11</v>
      </c>
      <c r="B26" s="106">
        <v>0.4375</v>
      </c>
      <c r="C26" s="47"/>
      <c r="D26" s="34"/>
    </row>
    <row r="27" spans="1:4" ht="30" customHeight="1" x14ac:dyDescent="0.25">
      <c r="A27" s="34">
        <v>0</v>
      </c>
      <c r="B27" s="106">
        <v>0.4375</v>
      </c>
      <c r="C27" s="47"/>
      <c r="D27" s="34"/>
    </row>
    <row r="28" spans="1:4" ht="30" customHeight="1" x14ac:dyDescent="0.25">
      <c r="A28" s="34">
        <v>14</v>
      </c>
      <c r="B28" s="106">
        <v>0.44097222222222227</v>
      </c>
      <c r="C28" s="47"/>
      <c r="D28" s="34"/>
    </row>
    <row r="29" spans="1:4" ht="30" customHeight="1" x14ac:dyDescent="0.25">
      <c r="A29" s="34">
        <v>2</v>
      </c>
      <c r="B29" s="106">
        <v>0.44444444444444442</v>
      </c>
      <c r="C29" s="47"/>
      <c r="D29" s="34"/>
    </row>
    <row r="30" spans="1:4" ht="30" customHeight="1" x14ac:dyDescent="0.25">
      <c r="A30" s="34">
        <v>3</v>
      </c>
      <c r="B30" s="106">
        <v>0.44444444444444442</v>
      </c>
      <c r="C30" s="47"/>
      <c r="D30" s="34"/>
    </row>
    <row r="31" spans="1:4" ht="30" customHeight="1" x14ac:dyDescent="0.25">
      <c r="A31" s="34">
        <v>13</v>
      </c>
      <c r="B31" s="106">
        <v>0.4513888888888889</v>
      </c>
      <c r="C31" s="47"/>
      <c r="D31" s="34"/>
    </row>
    <row r="32" spans="1:4" ht="30" customHeight="1" x14ac:dyDescent="0.25">
      <c r="A32" s="34">
        <v>8</v>
      </c>
      <c r="B32" s="106">
        <v>0.4513888888888889</v>
      </c>
      <c r="C32" s="47"/>
      <c r="D32" s="34"/>
    </row>
    <row r="33" spans="1:4" ht="30" customHeight="1" x14ac:dyDescent="0.25">
      <c r="A33" s="34">
        <v>27</v>
      </c>
      <c r="B33" s="106">
        <v>0.4513888888888889</v>
      </c>
      <c r="C33" s="47"/>
      <c r="D33" s="34"/>
    </row>
    <row r="34" spans="1:4" ht="30" customHeight="1" x14ac:dyDescent="0.25">
      <c r="A34" s="34">
        <v>25</v>
      </c>
      <c r="B34" s="106">
        <v>0.4548611111111111</v>
      </c>
      <c r="C34" s="47"/>
      <c r="D34" s="34"/>
    </row>
    <row r="35" spans="1:4" ht="30" customHeight="1" x14ac:dyDescent="0.25">
      <c r="A35" s="34">
        <v>26</v>
      </c>
      <c r="B35" s="106">
        <v>0.45833333333333331</v>
      </c>
      <c r="C35" s="47"/>
      <c r="D35" s="34"/>
    </row>
    <row r="36" spans="1:4" ht="30" customHeight="1" x14ac:dyDescent="0.25">
      <c r="A36" s="34">
        <v>28</v>
      </c>
      <c r="B36" s="106">
        <v>0.45833333333333331</v>
      </c>
      <c r="C36" s="47"/>
      <c r="D36" s="34"/>
    </row>
    <row r="37" spans="1:4" ht="30" customHeight="1" x14ac:dyDescent="0.25">
      <c r="A37" s="34"/>
      <c r="B37" s="106"/>
      <c r="C37" s="47"/>
      <c r="D37" s="34"/>
    </row>
    <row r="38" spans="1:4" ht="30" customHeight="1" x14ac:dyDescent="0.25">
      <c r="A38" s="34"/>
      <c r="B38" s="106"/>
      <c r="C38" s="47"/>
      <c r="D38" s="34"/>
    </row>
    <row r="39" spans="1:4" ht="30" customHeight="1" x14ac:dyDescent="0.25">
      <c r="A39" s="34"/>
      <c r="B39" s="106"/>
      <c r="C39" s="47"/>
      <c r="D39" s="34"/>
    </row>
    <row r="40" spans="1:4" ht="30" customHeight="1" x14ac:dyDescent="0.25">
      <c r="A40" s="34"/>
      <c r="B40" s="106"/>
      <c r="C40" s="47"/>
      <c r="D40" s="34"/>
    </row>
    <row r="41" spans="1:4" ht="30" customHeight="1" x14ac:dyDescent="0.25">
      <c r="A41" s="34"/>
      <c r="B41" s="106"/>
      <c r="C41" s="37"/>
      <c r="D41" s="34"/>
    </row>
    <row r="42" spans="1:4" ht="30" customHeight="1" x14ac:dyDescent="0.25">
      <c r="A42" s="34"/>
      <c r="B42" s="106"/>
      <c r="C42" s="37"/>
      <c r="D42" s="34"/>
    </row>
    <row r="43" spans="1:4" ht="30" customHeight="1" x14ac:dyDescent="0.25">
      <c r="A43" s="34"/>
      <c r="B43" s="106"/>
      <c r="C43" s="37"/>
      <c r="D43" s="34"/>
    </row>
    <row r="44" spans="1:4" ht="30" customHeight="1" x14ac:dyDescent="0.25">
      <c r="A44" s="34"/>
      <c r="B44" s="106"/>
      <c r="C44" s="37"/>
      <c r="D44" s="34"/>
    </row>
    <row r="45" spans="1:4" ht="30" customHeight="1" x14ac:dyDescent="0.25">
      <c r="A45" s="34"/>
      <c r="B45" s="106"/>
      <c r="C45" s="37"/>
      <c r="D45" s="34"/>
    </row>
    <row r="46" spans="1:4" ht="30" customHeight="1" x14ac:dyDescent="0.25">
      <c r="A46" s="34"/>
      <c r="B46" s="106"/>
      <c r="C46" s="37"/>
      <c r="D46" s="34"/>
    </row>
    <row r="47" spans="1:4" ht="30" customHeight="1" x14ac:dyDescent="0.25">
      <c r="A47" s="34"/>
      <c r="B47" s="106"/>
      <c r="C47" s="37"/>
      <c r="D47" s="34"/>
    </row>
    <row r="48" spans="1:4" ht="30" customHeight="1" x14ac:dyDescent="0.25">
      <c r="A48" s="34"/>
      <c r="B48" s="106"/>
      <c r="C48" s="37"/>
      <c r="D48" s="34"/>
    </row>
    <row r="49" spans="1:4" ht="30" customHeight="1" x14ac:dyDescent="0.25">
      <c r="A49" s="34"/>
      <c r="B49" s="106"/>
      <c r="C49" s="37"/>
      <c r="D49" s="34"/>
    </row>
    <row r="50" spans="1:4" ht="30" customHeight="1" x14ac:dyDescent="0.25">
      <c r="A50" s="34"/>
      <c r="B50" s="106"/>
      <c r="C50" s="37"/>
      <c r="D50" s="34"/>
    </row>
    <row r="51" spans="1:4" ht="30" customHeight="1" x14ac:dyDescent="0.25">
      <c r="A51" s="34"/>
      <c r="B51" s="106"/>
      <c r="C51" s="37"/>
      <c r="D51" s="34"/>
    </row>
    <row r="52" spans="1:4" ht="30" customHeight="1" x14ac:dyDescent="0.25">
      <c r="A52" s="34"/>
      <c r="B52" s="106"/>
      <c r="C52" s="37"/>
      <c r="D52" s="34"/>
    </row>
    <row r="53" spans="1:4" ht="30" customHeight="1" x14ac:dyDescent="0.25">
      <c r="A53" s="34"/>
      <c r="B53" s="106"/>
      <c r="C53" s="37"/>
      <c r="D53" s="34"/>
    </row>
    <row r="54" spans="1:4" ht="30" customHeight="1" x14ac:dyDescent="0.25">
      <c r="A54" s="34"/>
      <c r="B54" s="106"/>
      <c r="C54" s="37"/>
      <c r="D54" s="34"/>
    </row>
    <row r="55" spans="1:4" ht="30" customHeight="1" x14ac:dyDescent="0.25">
      <c r="A55" s="34"/>
      <c r="B55" s="106"/>
      <c r="C55" s="37"/>
      <c r="D55" s="34"/>
    </row>
    <row r="56" spans="1:4" ht="30" customHeight="1" x14ac:dyDescent="0.25">
      <c r="A56" s="34"/>
      <c r="B56" s="106"/>
      <c r="C56" s="37"/>
      <c r="D56" s="34"/>
    </row>
    <row r="57" spans="1:4" ht="30" customHeight="1" x14ac:dyDescent="0.25">
      <c r="A57" s="34"/>
      <c r="B57" s="106"/>
      <c r="C57" s="37"/>
      <c r="D57" s="34"/>
    </row>
    <row r="58" spans="1:4" ht="30" customHeight="1" x14ac:dyDescent="0.25">
      <c r="A58" s="34"/>
      <c r="B58" s="106"/>
      <c r="C58" s="37"/>
      <c r="D58" s="34"/>
    </row>
    <row r="59" spans="1:4" ht="30" customHeight="1" x14ac:dyDescent="0.25">
      <c r="A59" s="34"/>
      <c r="B59" s="106"/>
      <c r="C59" s="37"/>
      <c r="D59" s="34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</sheetPr>
  <dimension ref="A1:K59"/>
  <sheetViews>
    <sheetView view="pageBreakPreview" zoomScale="85" zoomScaleSheetLayoutView="85" workbookViewId="0"/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114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240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40"/>
      <c r="C8" s="40"/>
      <c r="D8" s="40"/>
    </row>
    <row r="9" spans="1:11" ht="21" customHeight="1" x14ac:dyDescent="0.25">
      <c r="A9" s="89" t="s">
        <v>0</v>
      </c>
      <c r="B9" s="567" t="s">
        <v>106</v>
      </c>
      <c r="C9" s="568"/>
      <c r="D9" s="91" t="s">
        <v>113</v>
      </c>
      <c r="J9" s="30"/>
      <c r="K9" s="31"/>
    </row>
    <row r="10" spans="1:11" ht="30" customHeight="1" x14ac:dyDescent="0.25">
      <c r="A10" s="34"/>
      <c r="B10" s="565"/>
      <c r="C10" s="566"/>
      <c r="D10" s="34"/>
    </row>
    <row r="11" spans="1:11" ht="30" customHeight="1" x14ac:dyDescent="0.25">
      <c r="A11" s="34"/>
      <c r="B11" s="565"/>
      <c r="C11" s="566"/>
      <c r="D11" s="34"/>
    </row>
    <row r="12" spans="1:11" ht="30" customHeight="1" x14ac:dyDescent="0.25">
      <c r="A12" s="34"/>
      <c r="B12" s="565"/>
      <c r="C12" s="566"/>
      <c r="D12" s="34"/>
    </row>
    <row r="13" spans="1:11" ht="30" customHeight="1" x14ac:dyDescent="0.25">
      <c r="A13" s="34"/>
      <c r="B13" s="565"/>
      <c r="C13" s="566"/>
      <c r="D13" s="34"/>
    </row>
    <row r="14" spans="1:11" ht="30" customHeight="1" x14ac:dyDescent="0.25">
      <c r="A14" s="34"/>
      <c r="B14" s="565"/>
      <c r="C14" s="566"/>
      <c r="D14" s="34"/>
    </row>
    <row r="15" spans="1:11" ht="30" customHeight="1" x14ac:dyDescent="0.25">
      <c r="A15" s="34"/>
      <c r="B15" s="565"/>
      <c r="C15" s="566"/>
      <c r="D15" s="34"/>
    </row>
    <row r="16" spans="1:11" ht="30" customHeight="1" x14ac:dyDescent="0.25">
      <c r="A16" s="34"/>
      <c r="B16" s="565"/>
      <c r="C16" s="566"/>
      <c r="D16" s="34"/>
    </row>
    <row r="17" spans="1:4" ht="30" customHeight="1" x14ac:dyDescent="0.25">
      <c r="A17" s="34"/>
      <c r="B17" s="565"/>
      <c r="C17" s="566"/>
      <c r="D17" s="34"/>
    </row>
    <row r="18" spans="1:4" ht="30" customHeight="1" x14ac:dyDescent="0.25">
      <c r="A18" s="34"/>
      <c r="B18" s="565"/>
      <c r="C18" s="566"/>
      <c r="D18" s="34"/>
    </row>
    <row r="19" spans="1:4" ht="30" customHeight="1" x14ac:dyDescent="0.25">
      <c r="A19" s="34"/>
      <c r="B19" s="565"/>
      <c r="C19" s="566"/>
      <c r="D19" s="34"/>
    </row>
    <row r="20" spans="1:4" ht="30" customHeight="1" x14ac:dyDescent="0.25">
      <c r="A20" s="34"/>
      <c r="B20" s="565"/>
      <c r="C20" s="566"/>
      <c r="D20" s="34"/>
    </row>
    <row r="21" spans="1:4" ht="30" customHeight="1" x14ac:dyDescent="0.25">
      <c r="A21" s="34"/>
      <c r="B21" s="565"/>
      <c r="C21" s="566"/>
      <c r="D21" s="34"/>
    </row>
    <row r="22" spans="1:4" ht="30" customHeight="1" x14ac:dyDescent="0.25">
      <c r="A22" s="34"/>
      <c r="B22" s="565"/>
      <c r="C22" s="566"/>
      <c r="D22" s="34"/>
    </row>
    <row r="23" spans="1:4" ht="30" customHeight="1" x14ac:dyDescent="0.25">
      <c r="A23" s="34"/>
      <c r="B23" s="565"/>
      <c r="C23" s="566"/>
      <c r="D23" s="34"/>
    </row>
    <row r="24" spans="1:4" ht="30" customHeight="1" x14ac:dyDescent="0.25">
      <c r="A24" s="34"/>
      <c r="B24" s="565"/>
      <c r="C24" s="566"/>
      <c r="D24" s="34"/>
    </row>
    <row r="25" spans="1:4" ht="30" customHeight="1" x14ac:dyDescent="0.25">
      <c r="A25" s="34"/>
      <c r="B25" s="565"/>
      <c r="C25" s="566"/>
      <c r="D25" s="34"/>
    </row>
    <row r="26" spans="1:4" ht="30" customHeight="1" x14ac:dyDescent="0.25">
      <c r="A26" s="34"/>
      <c r="B26" s="565"/>
      <c r="C26" s="566"/>
      <c r="D26" s="34"/>
    </row>
    <row r="27" spans="1:4" ht="30" customHeight="1" x14ac:dyDescent="0.25">
      <c r="A27" s="34"/>
      <c r="B27" s="565"/>
      <c r="C27" s="566"/>
      <c r="D27" s="34"/>
    </row>
    <row r="28" spans="1:4" ht="30" customHeight="1" x14ac:dyDescent="0.25">
      <c r="A28" s="34"/>
      <c r="B28" s="565"/>
      <c r="C28" s="566"/>
      <c r="D28" s="34"/>
    </row>
    <row r="29" spans="1:4" ht="30" customHeight="1" x14ac:dyDescent="0.25">
      <c r="A29" s="34"/>
      <c r="B29" s="565"/>
      <c r="C29" s="566"/>
      <c r="D29" s="34"/>
    </row>
    <row r="30" spans="1:4" ht="30" customHeight="1" x14ac:dyDescent="0.25">
      <c r="A30" s="34"/>
      <c r="B30" s="565"/>
      <c r="C30" s="566"/>
      <c r="D30" s="34"/>
    </row>
    <row r="31" spans="1:4" ht="30" customHeight="1" x14ac:dyDescent="0.25">
      <c r="A31" s="34"/>
      <c r="B31" s="565"/>
      <c r="C31" s="566"/>
      <c r="D31" s="34"/>
    </row>
    <row r="32" spans="1:4" ht="30" customHeight="1" x14ac:dyDescent="0.25">
      <c r="A32" s="34"/>
      <c r="B32" s="565"/>
      <c r="C32" s="566"/>
      <c r="D32" s="34"/>
    </row>
    <row r="33" spans="1:4" ht="30" customHeight="1" x14ac:dyDescent="0.25">
      <c r="A33" s="34"/>
      <c r="B33" s="565"/>
      <c r="C33" s="566"/>
      <c r="D33" s="34"/>
    </row>
    <row r="34" spans="1:4" ht="30" customHeight="1" x14ac:dyDescent="0.25">
      <c r="A34" s="34"/>
      <c r="B34" s="565"/>
      <c r="C34" s="566"/>
      <c r="D34" s="34"/>
    </row>
    <row r="35" spans="1:4" ht="30" customHeight="1" x14ac:dyDescent="0.25">
      <c r="A35" s="34"/>
      <c r="B35" s="565"/>
      <c r="C35" s="566"/>
      <c r="D35" s="34"/>
    </row>
    <row r="36" spans="1:4" ht="30" customHeight="1" x14ac:dyDescent="0.25">
      <c r="A36" s="34"/>
      <c r="B36" s="565"/>
      <c r="C36" s="566"/>
      <c r="D36" s="34"/>
    </row>
    <row r="37" spans="1:4" ht="30" customHeight="1" x14ac:dyDescent="0.25">
      <c r="A37" s="34"/>
      <c r="B37" s="565"/>
      <c r="C37" s="566"/>
      <c r="D37" s="34"/>
    </row>
    <row r="38" spans="1:4" ht="30" customHeight="1" x14ac:dyDescent="0.25">
      <c r="A38" s="34"/>
      <c r="B38" s="565"/>
      <c r="C38" s="566"/>
      <c r="D38" s="34"/>
    </row>
    <row r="39" spans="1:4" ht="30" customHeight="1" x14ac:dyDescent="0.25">
      <c r="A39" s="34"/>
      <c r="B39" s="565"/>
      <c r="C39" s="566"/>
      <c r="D39" s="34"/>
    </row>
    <row r="40" spans="1:4" ht="30" customHeight="1" x14ac:dyDescent="0.25">
      <c r="A40" s="34"/>
      <c r="B40" s="565"/>
      <c r="C40" s="566"/>
      <c r="D40" s="34"/>
    </row>
    <row r="41" spans="1:4" ht="30" customHeight="1" x14ac:dyDescent="0.25">
      <c r="A41" s="34"/>
      <c r="B41" s="565"/>
      <c r="C41" s="566"/>
      <c r="D41" s="34"/>
    </row>
    <row r="42" spans="1:4" ht="30" customHeight="1" x14ac:dyDescent="0.25">
      <c r="A42" s="34"/>
      <c r="B42" s="565"/>
      <c r="C42" s="566"/>
      <c r="D42" s="34"/>
    </row>
    <row r="43" spans="1:4" ht="30" customHeight="1" x14ac:dyDescent="0.25">
      <c r="A43" s="34"/>
      <c r="B43" s="565"/>
      <c r="C43" s="566"/>
      <c r="D43" s="34"/>
    </row>
    <row r="44" spans="1:4" ht="30" customHeight="1" x14ac:dyDescent="0.25">
      <c r="A44" s="34"/>
      <c r="B44" s="565"/>
      <c r="C44" s="566"/>
      <c r="D44" s="34"/>
    </row>
    <row r="45" spans="1:4" ht="30" customHeight="1" x14ac:dyDescent="0.25">
      <c r="A45" s="34"/>
      <c r="B45" s="565"/>
      <c r="C45" s="566"/>
      <c r="D45" s="34"/>
    </row>
    <row r="46" spans="1:4" ht="30" customHeight="1" x14ac:dyDescent="0.25">
      <c r="A46" s="34"/>
      <c r="B46" s="565"/>
      <c r="C46" s="566"/>
      <c r="D46" s="34"/>
    </row>
    <row r="47" spans="1:4" ht="30" customHeight="1" x14ac:dyDescent="0.25">
      <c r="A47" s="34"/>
      <c r="B47" s="565"/>
      <c r="C47" s="566"/>
      <c r="D47" s="34"/>
    </row>
    <row r="48" spans="1:4" ht="30" customHeight="1" x14ac:dyDescent="0.25">
      <c r="A48" s="34"/>
      <c r="B48" s="565"/>
      <c r="C48" s="566"/>
      <c r="D48" s="34"/>
    </row>
    <row r="49" spans="1:4" ht="30" customHeight="1" x14ac:dyDescent="0.25">
      <c r="A49" s="34"/>
      <c r="B49" s="565"/>
      <c r="C49" s="566"/>
      <c r="D49" s="34"/>
    </row>
    <row r="50" spans="1:4" ht="30" customHeight="1" x14ac:dyDescent="0.25">
      <c r="A50" s="34"/>
      <c r="B50" s="565"/>
      <c r="C50" s="566"/>
      <c r="D50" s="34"/>
    </row>
    <row r="51" spans="1:4" ht="30" customHeight="1" x14ac:dyDescent="0.25">
      <c r="A51" s="34"/>
      <c r="B51" s="565"/>
      <c r="C51" s="566"/>
      <c r="D51" s="34"/>
    </row>
    <row r="52" spans="1:4" ht="30" customHeight="1" x14ac:dyDescent="0.25">
      <c r="A52" s="34"/>
      <c r="B52" s="565"/>
      <c r="C52" s="566"/>
      <c r="D52" s="34"/>
    </row>
    <row r="53" spans="1:4" ht="30" customHeight="1" x14ac:dyDescent="0.25">
      <c r="A53" s="34"/>
      <c r="B53" s="565"/>
      <c r="C53" s="566"/>
      <c r="D53" s="34"/>
    </row>
    <row r="54" spans="1:4" ht="30" customHeight="1" x14ac:dyDescent="0.25">
      <c r="A54" s="34"/>
      <c r="B54" s="565"/>
      <c r="C54" s="566"/>
      <c r="D54" s="34"/>
    </row>
    <row r="55" spans="1:4" ht="30" customHeight="1" x14ac:dyDescent="0.25">
      <c r="A55" s="34"/>
      <c r="B55" s="565"/>
      <c r="C55" s="566"/>
      <c r="D55" s="34"/>
    </row>
    <row r="56" spans="1:4" ht="30" customHeight="1" x14ac:dyDescent="0.25">
      <c r="A56" s="34"/>
      <c r="B56" s="565"/>
      <c r="C56" s="566"/>
      <c r="D56" s="34"/>
    </row>
    <row r="57" spans="1:4" ht="30" customHeight="1" x14ac:dyDescent="0.25">
      <c r="A57" s="34"/>
      <c r="B57" s="565"/>
      <c r="C57" s="566"/>
      <c r="D57" s="34"/>
    </row>
    <row r="58" spans="1:4" ht="30" customHeight="1" x14ac:dyDescent="0.25">
      <c r="A58" s="34"/>
      <c r="B58" s="565"/>
      <c r="C58" s="566"/>
      <c r="D58" s="34"/>
    </row>
    <row r="59" spans="1:4" ht="30" customHeight="1" x14ac:dyDescent="0.25">
      <c r="A59" s="34"/>
      <c r="B59" s="565"/>
      <c r="C59" s="566"/>
      <c r="D59" s="34"/>
    </row>
  </sheetData>
  <sheetProtection sheet="1" objects="1" scenarios="1"/>
  <mergeCells count="52">
    <mergeCell ref="A5:D5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14:C14"/>
    <mergeCell ref="B9:C9"/>
    <mergeCell ref="B10:C10"/>
    <mergeCell ref="B11:C11"/>
    <mergeCell ref="B12:C12"/>
    <mergeCell ref="B13:C13"/>
    <mergeCell ref="B38:C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7:C57"/>
    <mergeCell ref="B58:C58"/>
    <mergeCell ref="B59:C59"/>
    <mergeCell ref="B51:C51"/>
    <mergeCell ref="B52:C52"/>
    <mergeCell ref="B53:C53"/>
    <mergeCell ref="B54:C54"/>
    <mergeCell ref="B55:C55"/>
    <mergeCell ref="B56:C56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F0"/>
  </sheetPr>
  <dimension ref="A1:K59"/>
  <sheetViews>
    <sheetView view="pageBreakPreview" topLeftCell="A38" zoomScale="85" zoomScaleSheetLayoutView="85" workbookViewId="0">
      <selection activeCell="C10" sqref="C10:C38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250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241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92" t="s">
        <v>231</v>
      </c>
      <c r="D8" s="40"/>
    </row>
    <row r="9" spans="1:11" ht="21" x14ac:dyDescent="0.25">
      <c r="A9" s="93" t="s">
        <v>0</v>
      </c>
      <c r="B9" s="94" t="s">
        <v>232</v>
      </c>
      <c r="C9" s="94" t="s">
        <v>233</v>
      </c>
      <c r="D9" s="94" t="s">
        <v>106</v>
      </c>
      <c r="J9" s="30"/>
      <c r="K9" s="31"/>
    </row>
    <row r="10" spans="1:11" ht="30" customHeight="1" x14ac:dyDescent="0.25">
      <c r="A10" s="378" t="str">
        <f>IF(ISBLANK(стартоваяВедомость!B10),"",стартоваяВедомость!B10)</f>
        <v>0</v>
      </c>
      <c r="B10" s="101">
        <f>IF(A10="","",стартоваяВедомость!H10)</f>
        <v>0.49027777777777781</v>
      </c>
      <c r="C10" s="106">
        <v>0.49027777777777781</v>
      </c>
      <c r="D10" s="95"/>
    </row>
    <row r="11" spans="1:11" ht="30" customHeight="1" x14ac:dyDescent="0.25">
      <c r="A11" s="378">
        <f>IF(ISBLANK(стартоваяВедомость!B11),"",стартоваяВедомость!B11)</f>
        <v>1</v>
      </c>
      <c r="B11" s="101">
        <f>IF(A11="","",стартоваяВедомость!H11)</f>
        <v>0.52013888888888882</v>
      </c>
      <c r="C11" s="106">
        <v>0.52013888888888882</v>
      </c>
      <c r="D11" s="95"/>
    </row>
    <row r="12" spans="1:11" ht="30" customHeight="1" x14ac:dyDescent="0.25">
      <c r="A12" s="378">
        <f>IF(ISBLANK(стартоваяВедомость!B12),"",стартоваяВедомость!B12)</f>
        <v>2</v>
      </c>
      <c r="B12" s="101">
        <f>IF(A12="","",стартоваяВедомость!H12)</f>
        <v>0.50138888888888888</v>
      </c>
      <c r="C12" s="106">
        <v>0.50138888888888888</v>
      </c>
      <c r="D12" s="95"/>
    </row>
    <row r="13" spans="1:11" ht="30" customHeight="1" x14ac:dyDescent="0.25">
      <c r="A13" s="378">
        <f>IF(ISBLANK(стартоваяВедомость!B13),"",стартоваяВедомость!B13)</f>
        <v>3</v>
      </c>
      <c r="B13" s="101">
        <f>IF(A13="","",стартоваяВедомость!H13)</f>
        <v>0.50208333333333333</v>
      </c>
      <c r="C13" s="106">
        <v>0.50208333333333333</v>
      </c>
      <c r="D13" s="95"/>
    </row>
    <row r="14" spans="1:11" ht="30" customHeight="1" x14ac:dyDescent="0.25">
      <c r="A14" s="378">
        <f>IF(ISBLANK(стартоваяВедомость!B14),"",стартоваяВедомость!B14)</f>
        <v>4</v>
      </c>
      <c r="B14" s="101">
        <f>IF(A14="","",стартоваяВедомость!H14)</f>
        <v>0.50277777777777777</v>
      </c>
      <c r="C14" s="106">
        <v>0.50277777777777777</v>
      </c>
      <c r="D14" s="95"/>
    </row>
    <row r="15" spans="1:11" ht="30" customHeight="1" x14ac:dyDescent="0.25">
      <c r="A15" s="378">
        <f>IF(ISBLANK(стартоваяВедомость!B15),"",стартоваяВедомость!B15)</f>
        <v>5</v>
      </c>
      <c r="B15" s="101">
        <f>IF(A15="","",стартоваяВедомость!H15)</f>
        <v>0.50347222222222221</v>
      </c>
      <c r="C15" s="106">
        <v>0.50347222222222221</v>
      </c>
      <c r="D15" s="95"/>
    </row>
    <row r="16" spans="1:11" ht="30" customHeight="1" x14ac:dyDescent="0.25">
      <c r="A16" s="378">
        <f>IF(ISBLANK(стартоваяВедомость!B16),"",стартоваяВедомость!B16)</f>
        <v>6</v>
      </c>
      <c r="B16" s="101">
        <f>IF(A16="","",стартоваяВедомость!H16)</f>
        <v>0.50416666666666665</v>
      </c>
      <c r="C16" s="106">
        <v>0.50416666666666665</v>
      </c>
      <c r="D16" s="95"/>
    </row>
    <row r="17" spans="1:4" ht="30" customHeight="1" x14ac:dyDescent="0.25">
      <c r="A17" s="378">
        <f>IF(ISBLANK(стартоваяВедомость!B17),"",стартоваяВедомость!B17)</f>
        <v>7</v>
      </c>
      <c r="B17" s="101">
        <f>IF(A17="","",стартоваяВедомость!H17)</f>
        <v>0.50486111111111109</v>
      </c>
      <c r="C17" s="106">
        <v>0.50486111111111109</v>
      </c>
      <c r="D17" s="95"/>
    </row>
    <row r="18" spans="1:4" ht="30" customHeight="1" x14ac:dyDescent="0.25">
      <c r="A18" s="378">
        <f>IF(ISBLANK(стартоваяВедомость!B18),"",стартоваяВедомость!B18)</f>
        <v>8</v>
      </c>
      <c r="B18" s="101">
        <f>IF(A18="","",стартоваяВедомость!H18)</f>
        <v>0.50555555555555554</v>
      </c>
      <c r="C18" s="106">
        <v>0.50555555555555554</v>
      </c>
      <c r="D18" s="95"/>
    </row>
    <row r="19" spans="1:4" ht="30" customHeight="1" x14ac:dyDescent="0.25">
      <c r="A19" s="378">
        <f>IF(ISBLANK(стартоваяВедомость!B19),"",стартоваяВедомость!B19)</f>
        <v>9</v>
      </c>
      <c r="B19" s="101">
        <f>IF(A19="","",стартоваяВедомость!H19)</f>
        <v>0.50624999999999998</v>
      </c>
      <c r="C19" s="106">
        <v>0.50624999999999998</v>
      </c>
      <c r="D19" s="95"/>
    </row>
    <row r="20" spans="1:4" ht="30" customHeight="1" x14ac:dyDescent="0.25">
      <c r="A20" s="378">
        <f>IF(ISBLANK(стартоваяВедомость!B20),"",стартоваяВедомость!B20)</f>
        <v>10</v>
      </c>
      <c r="B20" s="101">
        <f>IF(A20="","",стартоваяВедомость!H20)</f>
        <v>0.50694444444444442</v>
      </c>
      <c r="C20" s="106">
        <v>0.50694444444444442</v>
      </c>
      <c r="D20" s="95"/>
    </row>
    <row r="21" spans="1:4" ht="30" customHeight="1" x14ac:dyDescent="0.25">
      <c r="A21" s="378">
        <f>IF(ISBLANK(стартоваяВедомость!B21),"",стартоваяВедомость!B21)</f>
        <v>11</v>
      </c>
      <c r="B21" s="101">
        <f>IF(A21="","",стартоваяВедомость!H21)</f>
        <v>0.50763888888888886</v>
      </c>
      <c r="C21" s="106">
        <v>0.50763888888888886</v>
      </c>
      <c r="D21" s="95"/>
    </row>
    <row r="22" spans="1:4" ht="30" customHeight="1" x14ac:dyDescent="0.25">
      <c r="A22" s="378">
        <f>IF(ISBLANK(стартоваяВедомость!B22),"",стартоваяВедомость!B22)</f>
        <v>12</v>
      </c>
      <c r="B22" s="101">
        <f>IF(A22="","",стартоваяВедомость!H22)</f>
        <v>0.5083333333333333</v>
      </c>
      <c r="C22" s="106" t="s">
        <v>690</v>
      </c>
      <c r="D22" s="95"/>
    </row>
    <row r="23" spans="1:4" ht="30" customHeight="1" x14ac:dyDescent="0.25">
      <c r="A23" s="378">
        <f>IF(ISBLANK(стартоваяВедомость!B23),"",стартоваяВедомость!B23)</f>
        <v>13</v>
      </c>
      <c r="B23" s="101">
        <f>IF(A23="","",стартоваяВедомость!H23)</f>
        <v>0.50902777777777775</v>
      </c>
      <c r="C23" s="106">
        <v>0.50902777777777775</v>
      </c>
      <c r="D23" s="95"/>
    </row>
    <row r="24" spans="1:4" ht="30" customHeight="1" x14ac:dyDescent="0.25">
      <c r="A24" s="378">
        <f>IF(ISBLANK(стартоваяВедомость!B24),"",стартоваяВедомость!B24)</f>
        <v>14</v>
      </c>
      <c r="B24" s="101">
        <f>IF(A24="","",стартоваяВедомость!H24)</f>
        <v>0.50972222222222219</v>
      </c>
      <c r="C24" s="106">
        <v>0.50972222222222219</v>
      </c>
      <c r="D24" s="95"/>
    </row>
    <row r="25" spans="1:4" ht="30" customHeight="1" x14ac:dyDescent="0.25">
      <c r="A25" s="378">
        <f>IF(ISBLANK(стартоваяВедомость!B25),"",стартоваяВедомость!B25)</f>
        <v>15</v>
      </c>
      <c r="B25" s="101">
        <f>IF(A25="","",стартоваяВедомость!H25)</f>
        <v>0.51041666666666663</v>
      </c>
      <c r="C25" s="106">
        <v>0.51041666666666663</v>
      </c>
      <c r="D25" s="95"/>
    </row>
    <row r="26" spans="1:4" ht="30" customHeight="1" x14ac:dyDescent="0.25">
      <c r="A26" s="378">
        <f>IF(ISBLANK(стартоваяВедомость!B26),"",стартоваяВедомость!B26)</f>
        <v>16</v>
      </c>
      <c r="B26" s="101">
        <f>IF(A26="","",стартоваяВедомость!H26)</f>
        <v>0.51111111111111107</v>
      </c>
      <c r="C26" s="106">
        <v>0.51111111111111118</v>
      </c>
      <c r="D26" s="95"/>
    </row>
    <row r="27" spans="1:4" ht="30" customHeight="1" x14ac:dyDescent="0.25">
      <c r="A27" s="378">
        <f>IF(ISBLANK(стартоваяВедомость!B27),"",стартоваяВедомость!B27)</f>
        <v>17</v>
      </c>
      <c r="B27" s="101">
        <f>IF(A27="","",стартоваяВедомость!H27)</f>
        <v>0.51180555555555551</v>
      </c>
      <c r="C27" s="106">
        <v>0.51180555555555551</v>
      </c>
      <c r="D27" s="95"/>
    </row>
    <row r="28" spans="1:4" ht="30" customHeight="1" x14ac:dyDescent="0.25">
      <c r="A28" s="378">
        <f>IF(ISBLANK(стартоваяВедомость!B28),"",стартоваяВедомость!B28)</f>
        <v>18</v>
      </c>
      <c r="B28" s="101">
        <f>IF(A28="","",стартоваяВедомость!H28)</f>
        <v>0.51249999999999996</v>
      </c>
      <c r="C28" s="106">
        <v>0.51250000000000007</v>
      </c>
      <c r="D28" s="95"/>
    </row>
    <row r="29" spans="1:4" ht="30" customHeight="1" x14ac:dyDescent="0.25">
      <c r="A29" s="378">
        <f>IF(ISBLANK(стартоваяВедомость!B29),"",стартоваяВедомость!B29)</f>
        <v>19</v>
      </c>
      <c r="B29" s="101">
        <f>IF(A29="","",стартоваяВедомость!H29)</f>
        <v>0.5131944444444444</v>
      </c>
      <c r="C29" s="106">
        <v>0.5131944444444444</v>
      </c>
      <c r="D29" s="95"/>
    </row>
    <row r="30" spans="1:4" ht="30" customHeight="1" x14ac:dyDescent="0.25">
      <c r="A30" s="378">
        <f>IF(ISBLANK(стартоваяВедомость!B30),"",стартоваяВедомость!B30)</f>
        <v>20</v>
      </c>
      <c r="B30" s="101">
        <f>IF(A30="","",стартоваяВедомость!H30)</f>
        <v>0.51388888888888884</v>
      </c>
      <c r="C30" s="106">
        <v>0.51388888888888895</v>
      </c>
      <c r="D30" s="95"/>
    </row>
    <row r="31" spans="1:4" ht="30" customHeight="1" x14ac:dyDescent="0.25">
      <c r="A31" s="378">
        <f>IF(ISBLANK(стартоваяВедомость!B31),"",стартоваяВедомость!B31)</f>
        <v>21</v>
      </c>
      <c r="B31" s="101">
        <f>IF(A31="","",стартоваяВедомость!H31)</f>
        <v>0.51458333333333328</v>
      </c>
      <c r="C31" s="106" t="s">
        <v>690</v>
      </c>
      <c r="D31" s="95"/>
    </row>
    <row r="32" spans="1:4" ht="30" customHeight="1" x14ac:dyDescent="0.25">
      <c r="A32" s="378">
        <f>IF(ISBLANK(стартоваяВедомость!B32),"",стартоваяВедомость!B32)</f>
        <v>22</v>
      </c>
      <c r="B32" s="101">
        <f>IF(A32="","",стартоваяВедомость!H32)</f>
        <v>0.51527777777777772</v>
      </c>
      <c r="C32" s="106">
        <v>0.51527777777777783</v>
      </c>
      <c r="D32" s="95"/>
    </row>
    <row r="33" spans="1:4" ht="30" customHeight="1" x14ac:dyDescent="0.25">
      <c r="A33" s="378">
        <f>IF(ISBLANK(стартоваяВедомость!B33),"",стартоваяВедомость!B33)</f>
        <v>23</v>
      </c>
      <c r="B33" s="101">
        <f>IF(A33="","",стартоваяВедомость!H33)</f>
        <v>0.51597222222222217</v>
      </c>
      <c r="C33" s="106">
        <v>0.51597222222222217</v>
      </c>
      <c r="D33" s="95"/>
    </row>
    <row r="34" spans="1:4" ht="30" customHeight="1" x14ac:dyDescent="0.25">
      <c r="A34" s="378">
        <f>IF(ISBLANK(стартоваяВедомость!B34),"",стартоваяВедомость!B34)</f>
        <v>24</v>
      </c>
      <c r="B34" s="101">
        <f>IF(A34="","",стартоваяВедомость!H34)</f>
        <v>0.51666666666666661</v>
      </c>
      <c r="C34" s="106">
        <v>0.51666666666666672</v>
      </c>
      <c r="D34" s="95"/>
    </row>
    <row r="35" spans="1:4" ht="30" customHeight="1" x14ac:dyDescent="0.25">
      <c r="A35" s="378">
        <f>IF(ISBLANK(стартоваяВедомость!B35),"",стартоваяВедомость!B35)</f>
        <v>25</v>
      </c>
      <c r="B35" s="101">
        <f>IF(A35="","",стартоваяВедомость!H35)</f>
        <v>0.51736111111111105</v>
      </c>
      <c r="C35" s="106">
        <v>0.51736111111111105</v>
      </c>
      <c r="D35" s="95"/>
    </row>
    <row r="36" spans="1:4" ht="30" customHeight="1" x14ac:dyDescent="0.25">
      <c r="A36" s="378">
        <f>IF(ISBLANK(стартоваяВедомость!B36),"",стартоваяВедомость!B36)</f>
        <v>26</v>
      </c>
      <c r="B36" s="101">
        <f>IF(A36="","",стартоваяВедомость!H36)</f>
        <v>0.51805555555555549</v>
      </c>
      <c r="C36" s="106">
        <v>0.5180555555555556</v>
      </c>
      <c r="D36" s="95"/>
    </row>
    <row r="37" spans="1:4" ht="30" customHeight="1" x14ac:dyDescent="0.25">
      <c r="A37" s="378">
        <f>IF(ISBLANK(стартоваяВедомость!B37),"",стартоваяВедомость!B37)</f>
        <v>27</v>
      </c>
      <c r="B37" s="101">
        <f>IF(A37="","",стартоваяВедомость!H37)</f>
        <v>0.51874999999999993</v>
      </c>
      <c r="C37" s="106">
        <v>0.51874999999999993</v>
      </c>
      <c r="D37" s="95"/>
    </row>
    <row r="38" spans="1:4" ht="30" customHeight="1" x14ac:dyDescent="0.25">
      <c r="A38" s="378">
        <f>IF(ISBLANK(стартоваяВедомость!B38),"",стартоваяВедомость!B38)</f>
        <v>28</v>
      </c>
      <c r="B38" s="101">
        <f>IF(A38="","",стартоваяВедомость!H38)</f>
        <v>0.51944444444444438</v>
      </c>
      <c r="C38" s="106">
        <v>0.51944444444444449</v>
      </c>
      <c r="D38" s="95"/>
    </row>
    <row r="39" spans="1:4" ht="30" customHeight="1" x14ac:dyDescent="0.25">
      <c r="A39" s="378" t="str">
        <f>IF(ISBLANK(стартоваяВедомость!B39),"",стартоваяВедомость!B39)</f>
        <v/>
      </c>
      <c r="B39" s="101" t="str">
        <f>IF(A39="","",стартоваяВедомость!H39)</f>
        <v/>
      </c>
      <c r="C39" s="106"/>
      <c r="D39" s="95"/>
    </row>
    <row r="40" spans="1:4" ht="30" customHeight="1" x14ac:dyDescent="0.25">
      <c r="A40" s="378" t="str">
        <f>IF(ISBLANK(стартоваяВедомость!B40),"",стартоваяВедомость!B40)</f>
        <v/>
      </c>
      <c r="B40" s="101" t="str">
        <f>IF(A40="","",стартоваяВедомость!H40)</f>
        <v/>
      </c>
      <c r="C40" s="106"/>
      <c r="D40" s="95"/>
    </row>
    <row r="41" spans="1:4" ht="30" customHeight="1" x14ac:dyDescent="0.25">
      <c r="A41" s="378" t="str">
        <f>IF(ISBLANK(стартоваяВедомость!B41),"",стартоваяВедомость!B41)</f>
        <v/>
      </c>
      <c r="B41" s="101" t="str">
        <f>IF(A41="","",стартоваяВедомость!H41)</f>
        <v/>
      </c>
      <c r="C41" s="106"/>
      <c r="D41" s="95"/>
    </row>
    <row r="42" spans="1:4" ht="30" customHeight="1" x14ac:dyDescent="0.25">
      <c r="A42" s="378" t="str">
        <f>IF(ISBLANK(стартоваяВедомость!B42),"",стартоваяВедомость!B42)</f>
        <v/>
      </c>
      <c r="B42" s="101" t="str">
        <f>IF(A42="","",стартоваяВедомость!H42)</f>
        <v/>
      </c>
      <c r="C42" s="106"/>
      <c r="D42" s="95"/>
    </row>
    <row r="43" spans="1:4" ht="30" customHeight="1" x14ac:dyDescent="0.25">
      <c r="A43" s="378" t="str">
        <f>IF(ISBLANK(стартоваяВедомость!B43),"",стартоваяВедомость!B43)</f>
        <v/>
      </c>
      <c r="B43" s="101" t="str">
        <f>IF(A43="","",стартоваяВедомость!H43)</f>
        <v/>
      </c>
      <c r="C43" s="106"/>
      <c r="D43" s="95"/>
    </row>
    <row r="44" spans="1:4" ht="30" customHeight="1" x14ac:dyDescent="0.25">
      <c r="A44" s="378" t="str">
        <f>IF(ISBLANK(стартоваяВедомость!B44),"",стартоваяВедомость!B44)</f>
        <v/>
      </c>
      <c r="B44" s="101" t="str">
        <f>IF(A44="","",стартоваяВедомость!H44)</f>
        <v/>
      </c>
      <c r="C44" s="106"/>
      <c r="D44" s="95"/>
    </row>
    <row r="45" spans="1:4" ht="30" customHeight="1" x14ac:dyDescent="0.25">
      <c r="A45" s="378" t="str">
        <f>IF(ISBLANK(стартоваяВедомость!B45),"",стартоваяВедомость!B45)</f>
        <v/>
      </c>
      <c r="B45" s="101" t="str">
        <f>IF(A45="","",стартоваяВедомость!H45)</f>
        <v/>
      </c>
      <c r="C45" s="106"/>
      <c r="D45" s="95"/>
    </row>
    <row r="46" spans="1:4" ht="30" customHeight="1" x14ac:dyDescent="0.25">
      <c r="A46" s="378" t="str">
        <f>IF(ISBLANK(стартоваяВедомость!B46),"",стартоваяВедомость!B46)</f>
        <v/>
      </c>
      <c r="B46" s="101" t="str">
        <f>IF(A46="","",стартоваяВедомость!H46)</f>
        <v/>
      </c>
      <c r="C46" s="106"/>
      <c r="D46" s="95"/>
    </row>
    <row r="47" spans="1:4" ht="30" customHeight="1" x14ac:dyDescent="0.25">
      <c r="A47" s="378" t="str">
        <f>IF(ISBLANK(стартоваяВедомость!B47),"",стартоваяВедомость!B47)</f>
        <v/>
      </c>
      <c r="B47" s="101" t="str">
        <f>IF(A47="","",стартоваяВедомость!H47)</f>
        <v/>
      </c>
      <c r="C47" s="106"/>
      <c r="D47" s="95"/>
    </row>
    <row r="48" spans="1:4" ht="30" customHeight="1" x14ac:dyDescent="0.25">
      <c r="A48" s="378" t="str">
        <f>IF(ISBLANK(стартоваяВедомость!B48),"",стартоваяВедомость!B48)</f>
        <v/>
      </c>
      <c r="B48" s="101" t="str">
        <f>IF(A48="","",стартоваяВедомость!H48)</f>
        <v/>
      </c>
      <c r="C48" s="106"/>
      <c r="D48" s="95"/>
    </row>
    <row r="49" spans="1:4" ht="30" customHeight="1" x14ac:dyDescent="0.25">
      <c r="A49" s="378" t="str">
        <f>IF(ISBLANK(стартоваяВедомость!B49),"",стартоваяВедомость!B49)</f>
        <v/>
      </c>
      <c r="B49" s="101" t="str">
        <f>IF(A49="","",стартоваяВедомость!H49)</f>
        <v/>
      </c>
      <c r="C49" s="106"/>
      <c r="D49" s="95"/>
    </row>
    <row r="50" spans="1:4" ht="30" customHeight="1" x14ac:dyDescent="0.25">
      <c r="A50" s="378" t="str">
        <f>IF(ISBLANK(стартоваяВедомость!B50),"",стартоваяВедомость!B50)</f>
        <v/>
      </c>
      <c r="B50" s="101" t="str">
        <f>IF(A50="","",стартоваяВедомость!H50)</f>
        <v/>
      </c>
      <c r="C50" s="106"/>
      <c r="D50" s="95"/>
    </row>
    <row r="51" spans="1:4" ht="30" customHeight="1" x14ac:dyDescent="0.25">
      <c r="A51" s="378" t="str">
        <f>IF(ISBLANK(стартоваяВедомость!B51),"",стартоваяВедомость!B51)</f>
        <v/>
      </c>
      <c r="B51" s="101" t="str">
        <f>IF(A51="","",стартоваяВедомость!H51)</f>
        <v/>
      </c>
      <c r="C51" s="106"/>
      <c r="D51" s="95"/>
    </row>
    <row r="52" spans="1:4" ht="30" customHeight="1" x14ac:dyDescent="0.25">
      <c r="A52" s="378" t="str">
        <f>IF(ISBLANK(стартоваяВедомость!B52),"",стартоваяВедомость!B52)</f>
        <v/>
      </c>
      <c r="B52" s="101" t="str">
        <f>IF(A52="","",стартоваяВедомость!H52)</f>
        <v/>
      </c>
      <c r="C52" s="106"/>
      <c r="D52" s="95"/>
    </row>
    <row r="53" spans="1:4" ht="30" customHeight="1" x14ac:dyDescent="0.25">
      <c r="A53" s="378" t="str">
        <f>IF(ISBLANK(стартоваяВедомость!B53),"",стартоваяВедомость!B53)</f>
        <v/>
      </c>
      <c r="B53" s="101" t="str">
        <f>IF(A53="","",стартоваяВедомость!H53)</f>
        <v/>
      </c>
      <c r="C53" s="106"/>
      <c r="D53" s="95"/>
    </row>
    <row r="54" spans="1:4" ht="30" customHeight="1" x14ac:dyDescent="0.25">
      <c r="A54" s="378" t="str">
        <f>IF(ISBLANK(стартоваяВедомость!B54),"",стартоваяВедомость!B54)</f>
        <v/>
      </c>
      <c r="B54" s="101" t="str">
        <f>IF(A54="","",стартоваяВедомость!H54)</f>
        <v/>
      </c>
      <c r="C54" s="106"/>
      <c r="D54" s="95"/>
    </row>
    <row r="55" spans="1:4" ht="30" customHeight="1" x14ac:dyDescent="0.25">
      <c r="A55" s="378" t="str">
        <f>IF(ISBLANK(стартоваяВедомость!B55),"",стартоваяВедомость!B55)</f>
        <v/>
      </c>
      <c r="B55" s="101" t="str">
        <f>IF(A55="","",стартоваяВедомость!H55)</f>
        <v/>
      </c>
      <c r="C55" s="106"/>
      <c r="D55" s="95"/>
    </row>
    <row r="56" spans="1:4" ht="30" customHeight="1" x14ac:dyDescent="0.25">
      <c r="A56" s="378" t="str">
        <f>IF(ISBLANK(стартоваяВедомость!B56),"",стартоваяВедомость!B56)</f>
        <v/>
      </c>
      <c r="B56" s="101" t="str">
        <f>IF(A56="","",стартоваяВедомость!H56)</f>
        <v/>
      </c>
      <c r="C56" s="106"/>
      <c r="D56" s="95"/>
    </row>
    <row r="57" spans="1:4" ht="30" customHeight="1" x14ac:dyDescent="0.25">
      <c r="A57" s="378" t="str">
        <f>IF(ISBLANK(стартоваяВедомость!B57),"",стартоваяВедомость!B57)</f>
        <v/>
      </c>
      <c r="B57" s="101" t="str">
        <f>IF(A57="","",стартоваяВедомость!H57)</f>
        <v/>
      </c>
      <c r="C57" s="106"/>
      <c r="D57" s="95"/>
    </row>
    <row r="58" spans="1:4" ht="30" customHeight="1" x14ac:dyDescent="0.25">
      <c r="A58" s="378" t="str">
        <f>IF(ISBLANK(стартоваяВедомость!B58),"",стартоваяВедомость!B58)</f>
        <v/>
      </c>
      <c r="B58" s="101" t="str">
        <f>IF(A58="","",стартоваяВедомость!H58)</f>
        <v/>
      </c>
      <c r="C58" s="106"/>
      <c r="D58" s="95"/>
    </row>
    <row r="59" spans="1:4" ht="30" customHeight="1" x14ac:dyDescent="0.25">
      <c r="A59" s="378" t="str">
        <f>IF(ISBLANK(стартоваяВедомость!B59),"",стартоваяВедомость!B59)</f>
        <v/>
      </c>
      <c r="B59" s="101" t="str">
        <f>IF(A59="","",стартоваяВедомость!H59)</f>
        <v/>
      </c>
      <c r="C59" s="106"/>
      <c r="D59" s="95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F0"/>
  </sheetPr>
  <dimension ref="A1:K59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242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4"/>
      <c r="B10" s="106"/>
      <c r="C10" s="565"/>
      <c r="D10" s="566"/>
    </row>
    <row r="11" spans="1:11" ht="30" customHeight="1" x14ac:dyDescent="0.25">
      <c r="A11" s="34"/>
      <c r="B11" s="106"/>
      <c r="C11" s="565"/>
      <c r="D11" s="566"/>
    </row>
    <row r="12" spans="1:11" ht="30" customHeight="1" x14ac:dyDescent="0.25">
      <c r="A12" s="34"/>
      <c r="B12" s="106"/>
      <c r="C12" s="565"/>
      <c r="D12" s="566"/>
    </row>
    <row r="13" spans="1:11" ht="30" customHeight="1" x14ac:dyDescent="0.25">
      <c r="A13" s="34"/>
      <c r="B13" s="106"/>
      <c r="C13" s="565"/>
      <c r="D13" s="566"/>
    </row>
    <row r="14" spans="1:11" ht="30" customHeight="1" x14ac:dyDescent="0.25">
      <c r="A14" s="34"/>
      <c r="B14" s="106"/>
      <c r="C14" s="565"/>
      <c r="D14" s="566"/>
    </row>
    <row r="15" spans="1:11" ht="30" customHeight="1" x14ac:dyDescent="0.25">
      <c r="A15" s="34"/>
      <c r="B15" s="106"/>
      <c r="C15" s="565"/>
      <c r="D15" s="566"/>
    </row>
    <row r="16" spans="1:11" ht="30" customHeight="1" x14ac:dyDescent="0.25">
      <c r="A16" s="34"/>
      <c r="B16" s="106"/>
      <c r="C16" s="565"/>
      <c r="D16" s="566"/>
    </row>
    <row r="17" spans="1:4" ht="30" customHeight="1" x14ac:dyDescent="0.25">
      <c r="A17" s="34"/>
      <c r="B17" s="106"/>
      <c r="C17" s="565"/>
      <c r="D17" s="566"/>
    </row>
    <row r="18" spans="1:4" ht="30" customHeight="1" x14ac:dyDescent="0.25">
      <c r="A18" s="34"/>
      <c r="B18" s="106"/>
      <c r="C18" s="565"/>
      <c r="D18" s="566"/>
    </row>
    <row r="19" spans="1:4" ht="30" customHeight="1" x14ac:dyDescent="0.25">
      <c r="A19" s="34"/>
      <c r="B19" s="106"/>
      <c r="C19" s="565"/>
      <c r="D19" s="566"/>
    </row>
    <row r="20" spans="1:4" ht="30" customHeight="1" x14ac:dyDescent="0.25">
      <c r="A20" s="34"/>
      <c r="B20" s="106"/>
      <c r="C20" s="565"/>
      <c r="D20" s="566"/>
    </row>
    <row r="21" spans="1:4" ht="30" customHeight="1" x14ac:dyDescent="0.25">
      <c r="A21" s="34"/>
      <c r="B21" s="106"/>
      <c r="C21" s="565"/>
      <c r="D21" s="566"/>
    </row>
    <row r="22" spans="1:4" ht="30" customHeight="1" x14ac:dyDescent="0.25">
      <c r="A22" s="34"/>
      <c r="B22" s="106"/>
      <c r="C22" s="565"/>
      <c r="D22" s="566"/>
    </row>
    <row r="23" spans="1:4" ht="30" customHeight="1" x14ac:dyDescent="0.25">
      <c r="A23" s="34"/>
      <c r="B23" s="106"/>
      <c r="C23" s="565"/>
      <c r="D23" s="566"/>
    </row>
    <row r="24" spans="1:4" ht="30" customHeight="1" x14ac:dyDescent="0.25">
      <c r="A24" s="34"/>
      <c r="B24" s="106"/>
      <c r="C24" s="565"/>
      <c r="D24" s="566"/>
    </row>
    <row r="25" spans="1:4" ht="30" customHeight="1" x14ac:dyDescent="0.25">
      <c r="A25" s="34"/>
      <c r="B25" s="106"/>
      <c r="C25" s="565"/>
      <c r="D25" s="566"/>
    </row>
    <row r="26" spans="1:4" ht="30" customHeight="1" x14ac:dyDescent="0.25">
      <c r="A26" s="34"/>
      <c r="B26" s="106"/>
      <c r="C26" s="565"/>
      <c r="D26" s="566"/>
    </row>
    <row r="27" spans="1:4" ht="30" customHeight="1" x14ac:dyDescent="0.25">
      <c r="A27" s="34"/>
      <c r="B27" s="106"/>
      <c r="C27" s="565"/>
      <c r="D27" s="566"/>
    </row>
    <row r="28" spans="1:4" ht="30" customHeight="1" x14ac:dyDescent="0.25">
      <c r="A28" s="34"/>
      <c r="B28" s="106"/>
      <c r="C28" s="565"/>
      <c r="D28" s="566"/>
    </row>
    <row r="29" spans="1:4" ht="30" customHeight="1" x14ac:dyDescent="0.25">
      <c r="A29" s="34"/>
      <c r="B29" s="106"/>
      <c r="C29" s="565"/>
      <c r="D29" s="566"/>
    </row>
    <row r="30" spans="1:4" ht="30" customHeight="1" x14ac:dyDescent="0.25">
      <c r="A30" s="34"/>
      <c r="B30" s="106"/>
      <c r="C30" s="565"/>
      <c r="D30" s="566"/>
    </row>
    <row r="31" spans="1:4" ht="30" customHeight="1" x14ac:dyDescent="0.25">
      <c r="A31" s="34"/>
      <c r="B31" s="106"/>
      <c r="C31" s="565"/>
      <c r="D31" s="566"/>
    </row>
    <row r="32" spans="1:4" ht="30" customHeight="1" x14ac:dyDescent="0.25">
      <c r="A32" s="34"/>
      <c r="B32" s="106"/>
      <c r="C32" s="565"/>
      <c r="D32" s="566"/>
    </row>
    <row r="33" spans="1:4" ht="30" customHeight="1" x14ac:dyDescent="0.25">
      <c r="A33" s="34"/>
      <c r="B33" s="106"/>
      <c r="C33" s="565"/>
      <c r="D33" s="566"/>
    </row>
    <row r="34" spans="1:4" ht="30" customHeight="1" x14ac:dyDescent="0.25">
      <c r="A34" s="34"/>
      <c r="B34" s="106"/>
      <c r="C34" s="565"/>
      <c r="D34" s="566"/>
    </row>
    <row r="35" spans="1:4" ht="30" customHeight="1" x14ac:dyDescent="0.25">
      <c r="A35" s="34"/>
      <c r="B35" s="106"/>
      <c r="C35" s="565"/>
      <c r="D35" s="566"/>
    </row>
    <row r="36" spans="1:4" ht="30" customHeight="1" x14ac:dyDescent="0.25">
      <c r="A36" s="34"/>
      <c r="B36" s="106"/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</sheetPr>
  <dimension ref="A1:K59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102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243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92" t="s">
        <v>231</v>
      </c>
      <c r="D8" s="40"/>
    </row>
    <row r="9" spans="1:11" ht="21" x14ac:dyDescent="0.25">
      <c r="A9" s="93" t="s">
        <v>0</v>
      </c>
      <c r="B9" s="94" t="s">
        <v>108</v>
      </c>
      <c r="C9" s="94" t="s">
        <v>127</v>
      </c>
      <c r="D9" s="94" t="s">
        <v>106</v>
      </c>
      <c r="J9" s="30"/>
      <c r="K9" s="31"/>
    </row>
    <row r="10" spans="1:11" ht="30" customHeight="1" x14ac:dyDescent="0.25">
      <c r="A10" s="34"/>
      <c r="B10" s="106"/>
      <c r="C10" s="106"/>
      <c r="D10" s="43"/>
    </row>
    <row r="11" spans="1:11" ht="30" customHeight="1" x14ac:dyDescent="0.25">
      <c r="A11" s="34"/>
      <c r="B11" s="106"/>
      <c r="C11" s="106"/>
      <c r="D11" s="43"/>
    </row>
    <row r="12" spans="1:11" ht="30" customHeight="1" x14ac:dyDescent="0.25">
      <c r="A12" s="34"/>
      <c r="B12" s="106"/>
      <c r="C12" s="106"/>
      <c r="D12" s="43"/>
    </row>
    <row r="13" spans="1:11" ht="30" customHeight="1" x14ac:dyDescent="0.25">
      <c r="A13" s="34"/>
      <c r="B13" s="106"/>
      <c r="C13" s="106"/>
      <c r="D13" s="43"/>
    </row>
    <row r="14" spans="1:11" ht="30" customHeight="1" x14ac:dyDescent="0.25">
      <c r="A14" s="34"/>
      <c r="B14" s="106"/>
      <c r="C14" s="106"/>
      <c r="D14" s="43"/>
    </row>
    <row r="15" spans="1:11" ht="30" customHeight="1" x14ac:dyDescent="0.25">
      <c r="A15" s="34"/>
      <c r="B15" s="106"/>
      <c r="C15" s="106"/>
      <c r="D15" s="43"/>
    </row>
    <row r="16" spans="1:11" ht="30" customHeight="1" x14ac:dyDescent="0.25">
      <c r="A16" s="34"/>
      <c r="B16" s="106"/>
      <c r="C16" s="106"/>
      <c r="D16" s="43"/>
    </row>
    <row r="17" spans="1:4" ht="30" customHeight="1" x14ac:dyDescent="0.25">
      <c r="A17" s="34"/>
      <c r="B17" s="106"/>
      <c r="C17" s="106"/>
      <c r="D17" s="43"/>
    </row>
    <row r="18" spans="1:4" ht="30" customHeight="1" x14ac:dyDescent="0.25">
      <c r="A18" s="34"/>
      <c r="B18" s="106"/>
      <c r="C18" s="106"/>
      <c r="D18" s="43"/>
    </row>
    <row r="19" spans="1:4" ht="30" customHeight="1" x14ac:dyDescent="0.25">
      <c r="A19" s="34"/>
      <c r="B19" s="106"/>
      <c r="C19" s="106"/>
      <c r="D19" s="43"/>
    </row>
    <row r="20" spans="1:4" ht="30" customHeight="1" x14ac:dyDescent="0.25">
      <c r="A20" s="34"/>
      <c r="B20" s="106"/>
      <c r="C20" s="106"/>
      <c r="D20" s="43"/>
    </row>
    <row r="21" spans="1:4" ht="30" customHeight="1" x14ac:dyDescent="0.25">
      <c r="A21" s="34"/>
      <c r="B21" s="106"/>
      <c r="C21" s="106"/>
      <c r="D21" s="43"/>
    </row>
    <row r="22" spans="1:4" ht="30" customHeight="1" x14ac:dyDescent="0.25">
      <c r="A22" s="34"/>
      <c r="B22" s="106"/>
      <c r="C22" s="106"/>
      <c r="D22" s="43"/>
    </row>
    <row r="23" spans="1:4" ht="30" customHeight="1" x14ac:dyDescent="0.25">
      <c r="A23" s="34"/>
      <c r="B23" s="106"/>
      <c r="C23" s="106"/>
      <c r="D23" s="43"/>
    </row>
    <row r="24" spans="1:4" ht="30" customHeight="1" x14ac:dyDescent="0.25">
      <c r="A24" s="34"/>
      <c r="B24" s="106"/>
      <c r="C24" s="106"/>
      <c r="D24" s="43"/>
    </row>
    <row r="25" spans="1:4" ht="30" customHeight="1" x14ac:dyDescent="0.25">
      <c r="A25" s="34"/>
      <c r="B25" s="106"/>
      <c r="C25" s="106"/>
      <c r="D25" s="43"/>
    </row>
    <row r="26" spans="1:4" ht="30" customHeight="1" x14ac:dyDescent="0.25">
      <c r="A26" s="34"/>
      <c r="B26" s="106"/>
      <c r="C26" s="106"/>
      <c r="D26" s="43"/>
    </row>
    <row r="27" spans="1:4" ht="30" customHeight="1" x14ac:dyDescent="0.25">
      <c r="A27" s="34"/>
      <c r="B27" s="106"/>
      <c r="C27" s="106"/>
      <c r="D27" s="43"/>
    </row>
    <row r="28" spans="1:4" ht="30" customHeight="1" x14ac:dyDescent="0.25">
      <c r="A28" s="34"/>
      <c r="B28" s="106"/>
      <c r="C28" s="106"/>
      <c r="D28" s="43"/>
    </row>
    <row r="29" spans="1:4" ht="30" customHeight="1" x14ac:dyDescent="0.25">
      <c r="A29" s="34"/>
      <c r="B29" s="106"/>
      <c r="C29" s="106"/>
      <c r="D29" s="43"/>
    </row>
    <row r="30" spans="1:4" ht="30" customHeight="1" x14ac:dyDescent="0.25">
      <c r="A30" s="34"/>
      <c r="B30" s="106"/>
      <c r="C30" s="106"/>
      <c r="D30" s="43"/>
    </row>
    <row r="31" spans="1:4" ht="30" customHeight="1" x14ac:dyDescent="0.25">
      <c r="A31" s="34"/>
      <c r="B31" s="106"/>
      <c r="C31" s="106"/>
      <c r="D31" s="43"/>
    </row>
    <row r="32" spans="1:4" ht="30" customHeight="1" x14ac:dyDescent="0.25">
      <c r="A32" s="34"/>
      <c r="B32" s="106"/>
      <c r="C32" s="106"/>
      <c r="D32" s="43"/>
    </row>
    <row r="33" spans="1:4" ht="30" customHeight="1" x14ac:dyDescent="0.25">
      <c r="A33" s="34"/>
      <c r="B33" s="106"/>
      <c r="C33" s="106"/>
      <c r="D33" s="43"/>
    </row>
    <row r="34" spans="1:4" ht="30" customHeight="1" x14ac:dyDescent="0.25">
      <c r="A34" s="34"/>
      <c r="B34" s="106"/>
      <c r="C34" s="106"/>
      <c r="D34" s="43"/>
    </row>
    <row r="35" spans="1:4" ht="30" customHeight="1" x14ac:dyDescent="0.25">
      <c r="A35" s="34"/>
      <c r="B35" s="106"/>
      <c r="C35" s="106"/>
      <c r="D35" s="43"/>
    </row>
    <row r="36" spans="1:4" ht="30" customHeight="1" x14ac:dyDescent="0.25">
      <c r="A36" s="34"/>
      <c r="B36" s="106"/>
      <c r="C36" s="106"/>
      <c r="D36" s="43"/>
    </row>
    <row r="37" spans="1:4" ht="30" customHeight="1" x14ac:dyDescent="0.25">
      <c r="A37" s="34"/>
      <c r="B37" s="106"/>
      <c r="C37" s="106"/>
      <c r="D37" s="43"/>
    </row>
    <row r="38" spans="1:4" ht="30" customHeight="1" x14ac:dyDescent="0.25">
      <c r="A38" s="34"/>
      <c r="B38" s="106"/>
      <c r="C38" s="106"/>
      <c r="D38" s="43"/>
    </row>
    <row r="39" spans="1:4" ht="30" customHeight="1" x14ac:dyDescent="0.25">
      <c r="A39" s="34"/>
      <c r="B39" s="106"/>
      <c r="C39" s="106"/>
      <c r="D39" s="43"/>
    </row>
    <row r="40" spans="1:4" ht="30" customHeight="1" x14ac:dyDescent="0.25">
      <c r="A40" s="34"/>
      <c r="B40" s="106"/>
      <c r="C40" s="106"/>
      <c r="D40" s="43"/>
    </row>
    <row r="41" spans="1:4" ht="30" customHeight="1" x14ac:dyDescent="0.25">
      <c r="A41" s="34"/>
      <c r="B41" s="106"/>
      <c r="C41" s="106"/>
      <c r="D41" s="43"/>
    </row>
    <row r="42" spans="1:4" ht="30" customHeight="1" x14ac:dyDescent="0.25">
      <c r="A42" s="34"/>
      <c r="B42" s="106"/>
      <c r="C42" s="106"/>
      <c r="D42" s="43"/>
    </row>
    <row r="43" spans="1:4" ht="30" customHeight="1" x14ac:dyDescent="0.25">
      <c r="A43" s="34"/>
      <c r="B43" s="106"/>
      <c r="C43" s="106"/>
      <c r="D43" s="43"/>
    </row>
    <row r="44" spans="1:4" ht="30" customHeight="1" x14ac:dyDescent="0.25">
      <c r="A44" s="34"/>
      <c r="B44" s="106"/>
      <c r="C44" s="106"/>
      <c r="D44" s="43"/>
    </row>
    <row r="45" spans="1:4" ht="30" customHeight="1" x14ac:dyDescent="0.25">
      <c r="A45" s="34"/>
      <c r="B45" s="106"/>
      <c r="C45" s="106"/>
      <c r="D45" s="43"/>
    </row>
    <row r="46" spans="1:4" ht="30" customHeight="1" x14ac:dyDescent="0.25">
      <c r="A46" s="34"/>
      <c r="B46" s="106"/>
      <c r="C46" s="106"/>
      <c r="D46" s="43"/>
    </row>
    <row r="47" spans="1:4" ht="30" customHeight="1" x14ac:dyDescent="0.25">
      <c r="A47" s="34"/>
      <c r="B47" s="106"/>
      <c r="C47" s="106"/>
      <c r="D47" s="43"/>
    </row>
    <row r="48" spans="1:4" ht="30" customHeight="1" x14ac:dyDescent="0.25">
      <c r="A48" s="34"/>
      <c r="B48" s="106"/>
      <c r="C48" s="106"/>
      <c r="D48" s="43"/>
    </row>
    <row r="49" spans="1:4" ht="30" customHeight="1" x14ac:dyDescent="0.25">
      <c r="A49" s="34"/>
      <c r="B49" s="106"/>
      <c r="C49" s="106"/>
      <c r="D49" s="43"/>
    </row>
    <row r="50" spans="1:4" ht="30" customHeight="1" x14ac:dyDescent="0.25">
      <c r="A50" s="34"/>
      <c r="B50" s="106"/>
      <c r="C50" s="106"/>
      <c r="D50" s="43"/>
    </row>
    <row r="51" spans="1:4" ht="30" customHeight="1" x14ac:dyDescent="0.25">
      <c r="A51" s="34"/>
      <c r="B51" s="106"/>
      <c r="C51" s="106"/>
      <c r="D51" s="43"/>
    </row>
    <row r="52" spans="1:4" ht="30" customHeight="1" x14ac:dyDescent="0.25">
      <c r="A52" s="34"/>
      <c r="B52" s="106"/>
      <c r="C52" s="106"/>
      <c r="D52" s="43"/>
    </row>
    <row r="53" spans="1:4" ht="30" customHeight="1" x14ac:dyDescent="0.25">
      <c r="A53" s="34"/>
      <c r="B53" s="106"/>
      <c r="C53" s="106"/>
      <c r="D53" s="43"/>
    </row>
    <row r="54" spans="1:4" ht="30" customHeight="1" x14ac:dyDescent="0.25">
      <c r="A54" s="34"/>
      <c r="B54" s="106"/>
      <c r="C54" s="106"/>
      <c r="D54" s="43"/>
    </row>
    <row r="55" spans="1:4" ht="30" customHeight="1" x14ac:dyDescent="0.25">
      <c r="A55" s="34"/>
      <c r="B55" s="106"/>
      <c r="C55" s="106"/>
      <c r="D55" s="43"/>
    </row>
    <row r="56" spans="1:4" ht="30" customHeight="1" x14ac:dyDescent="0.25">
      <c r="A56" s="34"/>
      <c r="B56" s="106"/>
      <c r="C56" s="106"/>
      <c r="D56" s="43"/>
    </row>
    <row r="57" spans="1:4" ht="30" customHeight="1" x14ac:dyDescent="0.25">
      <c r="A57" s="34"/>
      <c r="B57" s="106"/>
      <c r="C57" s="106"/>
      <c r="D57" s="43"/>
    </row>
    <row r="58" spans="1:4" ht="30" customHeight="1" x14ac:dyDescent="0.25">
      <c r="A58" s="34"/>
      <c r="B58" s="106"/>
      <c r="C58" s="106"/>
      <c r="D58" s="43"/>
    </row>
    <row r="59" spans="1:4" ht="30" customHeight="1" x14ac:dyDescent="0.25">
      <c r="A59" s="34"/>
      <c r="B59" s="106"/>
      <c r="C59" s="106"/>
      <c r="D59" s="43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F0"/>
  </sheetPr>
  <dimension ref="A1:K59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109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244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4"/>
      <c r="B10" s="33"/>
      <c r="C10" s="571"/>
      <c r="D10" s="572"/>
    </row>
    <row r="11" spans="1:11" ht="30" customHeight="1" x14ac:dyDescent="0.25">
      <c r="A11" s="34"/>
      <c r="B11" s="33"/>
      <c r="C11" s="571"/>
      <c r="D11" s="572"/>
    </row>
    <row r="12" spans="1:11" ht="30" customHeight="1" x14ac:dyDescent="0.25">
      <c r="A12" s="34"/>
      <c r="B12" s="33"/>
      <c r="C12" s="571"/>
      <c r="D12" s="572"/>
    </row>
    <row r="13" spans="1:11" ht="30" customHeight="1" x14ac:dyDescent="0.25">
      <c r="A13" s="34"/>
      <c r="B13" s="33"/>
      <c r="C13" s="571"/>
      <c r="D13" s="572"/>
    </row>
    <row r="14" spans="1:11" ht="30" customHeight="1" x14ac:dyDescent="0.25">
      <c r="A14" s="34"/>
      <c r="B14" s="33"/>
      <c r="C14" s="571"/>
      <c r="D14" s="572"/>
    </row>
    <row r="15" spans="1:11" ht="30" customHeight="1" x14ac:dyDescent="0.25">
      <c r="A15" s="34"/>
      <c r="B15" s="33"/>
      <c r="C15" s="571"/>
      <c r="D15" s="572"/>
    </row>
    <row r="16" spans="1:11" ht="30" customHeight="1" x14ac:dyDescent="0.25">
      <c r="A16" s="34"/>
      <c r="B16" s="33"/>
      <c r="C16" s="571"/>
      <c r="D16" s="572"/>
    </row>
    <row r="17" spans="1:4" ht="30" customHeight="1" x14ac:dyDescent="0.25">
      <c r="A17" s="34"/>
      <c r="B17" s="33"/>
      <c r="C17" s="571"/>
      <c r="D17" s="572"/>
    </row>
    <row r="18" spans="1:4" ht="30" customHeight="1" x14ac:dyDescent="0.25">
      <c r="A18" s="34"/>
      <c r="B18" s="33"/>
      <c r="C18" s="571"/>
      <c r="D18" s="572"/>
    </row>
    <row r="19" spans="1:4" ht="30" customHeight="1" x14ac:dyDescent="0.25">
      <c r="A19" s="34"/>
      <c r="B19" s="33"/>
      <c r="C19" s="571"/>
      <c r="D19" s="572"/>
    </row>
    <row r="20" spans="1:4" ht="30" customHeight="1" x14ac:dyDescent="0.25">
      <c r="A20" s="34"/>
      <c r="B20" s="33"/>
      <c r="C20" s="571"/>
      <c r="D20" s="572"/>
    </row>
    <row r="21" spans="1:4" ht="30" customHeight="1" x14ac:dyDescent="0.25">
      <c r="A21" s="34"/>
      <c r="B21" s="33"/>
      <c r="C21" s="571"/>
      <c r="D21" s="572"/>
    </row>
    <row r="22" spans="1:4" ht="30" customHeight="1" x14ac:dyDescent="0.25">
      <c r="A22" s="34"/>
      <c r="B22" s="33"/>
      <c r="C22" s="571"/>
      <c r="D22" s="572"/>
    </row>
    <row r="23" spans="1:4" ht="30" customHeight="1" x14ac:dyDescent="0.25">
      <c r="A23" s="34"/>
      <c r="B23" s="33"/>
      <c r="C23" s="571"/>
      <c r="D23" s="572"/>
    </row>
    <row r="24" spans="1:4" ht="30" customHeight="1" x14ac:dyDescent="0.25">
      <c r="A24" s="34"/>
      <c r="B24" s="33"/>
      <c r="C24" s="571"/>
      <c r="D24" s="572"/>
    </row>
    <row r="25" spans="1:4" ht="30" customHeight="1" x14ac:dyDescent="0.25">
      <c r="A25" s="34"/>
      <c r="B25" s="33"/>
      <c r="C25" s="571"/>
      <c r="D25" s="572"/>
    </row>
    <row r="26" spans="1:4" ht="30" customHeight="1" x14ac:dyDescent="0.25">
      <c r="A26" s="34"/>
      <c r="B26" s="33"/>
      <c r="C26" s="571"/>
      <c r="D26" s="572"/>
    </row>
    <row r="27" spans="1:4" ht="30" customHeight="1" x14ac:dyDescent="0.25">
      <c r="A27" s="34"/>
      <c r="B27" s="33"/>
      <c r="C27" s="571"/>
      <c r="D27" s="572"/>
    </row>
    <row r="28" spans="1:4" ht="30" customHeight="1" x14ac:dyDescent="0.25">
      <c r="A28" s="34"/>
      <c r="B28" s="33"/>
      <c r="C28" s="571"/>
      <c r="D28" s="572"/>
    </row>
    <row r="29" spans="1:4" ht="30" customHeight="1" x14ac:dyDescent="0.25">
      <c r="A29" s="34"/>
      <c r="B29" s="33"/>
      <c r="C29" s="571"/>
      <c r="D29" s="572"/>
    </row>
    <row r="30" spans="1:4" ht="30" customHeight="1" x14ac:dyDescent="0.25">
      <c r="A30" s="34"/>
      <c r="B30" s="33"/>
      <c r="C30" s="571"/>
      <c r="D30" s="572"/>
    </row>
    <row r="31" spans="1:4" ht="30" customHeight="1" x14ac:dyDescent="0.25">
      <c r="A31" s="34"/>
      <c r="B31" s="33"/>
      <c r="C31" s="571"/>
      <c r="D31" s="572"/>
    </row>
    <row r="32" spans="1:4" ht="30" customHeight="1" x14ac:dyDescent="0.25">
      <c r="A32" s="34"/>
      <c r="B32" s="33"/>
      <c r="C32" s="571"/>
      <c r="D32" s="572"/>
    </row>
    <row r="33" spans="1:4" ht="30" customHeight="1" x14ac:dyDescent="0.25">
      <c r="A33" s="34"/>
      <c r="B33" s="33"/>
      <c r="C33" s="571"/>
      <c r="D33" s="572"/>
    </row>
    <row r="34" spans="1:4" ht="30" customHeight="1" x14ac:dyDescent="0.25">
      <c r="A34" s="34"/>
      <c r="B34" s="33"/>
      <c r="C34" s="571"/>
      <c r="D34" s="572"/>
    </row>
    <row r="35" spans="1:4" ht="30" customHeight="1" x14ac:dyDescent="0.25">
      <c r="A35" s="34"/>
      <c r="B35" s="33"/>
      <c r="C35" s="571"/>
      <c r="D35" s="572"/>
    </row>
    <row r="36" spans="1:4" ht="30" customHeight="1" x14ac:dyDescent="0.25">
      <c r="A36" s="34"/>
      <c r="B36" s="33"/>
      <c r="C36" s="571"/>
      <c r="D36" s="572"/>
    </row>
    <row r="37" spans="1:4" ht="30" customHeight="1" x14ac:dyDescent="0.25">
      <c r="A37" s="34"/>
      <c r="B37" s="33"/>
      <c r="C37" s="571"/>
      <c r="D37" s="572"/>
    </row>
    <row r="38" spans="1:4" ht="30" customHeight="1" x14ac:dyDescent="0.25">
      <c r="A38" s="34"/>
      <c r="B38" s="33"/>
      <c r="C38" s="571"/>
      <c r="D38" s="572"/>
    </row>
    <row r="39" spans="1:4" ht="30" customHeight="1" x14ac:dyDescent="0.25">
      <c r="A39" s="34"/>
      <c r="B39" s="33"/>
      <c r="C39" s="571"/>
      <c r="D39" s="572"/>
    </row>
    <row r="40" spans="1:4" ht="30" customHeight="1" x14ac:dyDescent="0.25">
      <c r="A40" s="34"/>
      <c r="B40" s="33"/>
      <c r="C40" s="571"/>
      <c r="D40" s="572"/>
    </row>
    <row r="41" spans="1:4" ht="30" customHeight="1" x14ac:dyDescent="0.25">
      <c r="A41" s="34"/>
      <c r="B41" s="33"/>
      <c r="C41" s="571"/>
      <c r="D41" s="572"/>
    </row>
    <row r="42" spans="1:4" ht="30" customHeight="1" x14ac:dyDescent="0.25">
      <c r="A42" s="34"/>
      <c r="B42" s="33"/>
      <c r="C42" s="571"/>
      <c r="D42" s="572"/>
    </row>
    <row r="43" spans="1:4" ht="30" customHeight="1" x14ac:dyDescent="0.25">
      <c r="A43" s="34"/>
      <c r="B43" s="33"/>
      <c r="C43" s="571"/>
      <c r="D43" s="572"/>
    </row>
    <row r="44" spans="1:4" ht="30" customHeight="1" x14ac:dyDescent="0.25">
      <c r="A44" s="34"/>
      <c r="B44" s="33"/>
      <c r="C44" s="571"/>
      <c r="D44" s="572"/>
    </row>
    <row r="45" spans="1:4" ht="30" customHeight="1" x14ac:dyDescent="0.25">
      <c r="A45" s="34"/>
      <c r="B45" s="33"/>
      <c r="C45" s="571"/>
      <c r="D45" s="572"/>
    </row>
    <row r="46" spans="1:4" ht="30" customHeight="1" x14ac:dyDescent="0.25">
      <c r="A46" s="34"/>
      <c r="B46" s="33"/>
      <c r="C46" s="571"/>
      <c r="D46" s="572"/>
    </row>
    <row r="47" spans="1:4" ht="30" customHeight="1" x14ac:dyDescent="0.25">
      <c r="A47" s="34"/>
      <c r="B47" s="33"/>
      <c r="C47" s="571"/>
      <c r="D47" s="572"/>
    </row>
    <row r="48" spans="1:4" ht="30" customHeight="1" x14ac:dyDescent="0.25">
      <c r="A48" s="34"/>
      <c r="B48" s="33"/>
      <c r="C48" s="571"/>
      <c r="D48" s="572"/>
    </row>
    <row r="49" spans="1:4" ht="30" customHeight="1" x14ac:dyDescent="0.25">
      <c r="A49" s="34"/>
      <c r="B49" s="33"/>
      <c r="C49" s="571"/>
      <c r="D49" s="572"/>
    </row>
    <row r="50" spans="1:4" ht="30" customHeight="1" x14ac:dyDescent="0.25">
      <c r="A50" s="34"/>
      <c r="B50" s="33"/>
      <c r="C50" s="571"/>
      <c r="D50" s="572"/>
    </row>
    <row r="51" spans="1:4" ht="30" customHeight="1" x14ac:dyDescent="0.25">
      <c r="A51" s="34"/>
      <c r="B51" s="33"/>
      <c r="C51" s="571"/>
      <c r="D51" s="572"/>
    </row>
    <row r="52" spans="1:4" ht="30" customHeight="1" x14ac:dyDescent="0.25">
      <c r="A52" s="34"/>
      <c r="B52" s="33"/>
      <c r="C52" s="571"/>
      <c r="D52" s="572"/>
    </row>
    <row r="53" spans="1:4" ht="30" customHeight="1" x14ac:dyDescent="0.25">
      <c r="A53" s="34"/>
      <c r="B53" s="33"/>
      <c r="C53" s="571"/>
      <c r="D53" s="572"/>
    </row>
    <row r="54" spans="1:4" ht="30" customHeight="1" x14ac:dyDescent="0.25">
      <c r="A54" s="34"/>
      <c r="B54" s="33"/>
      <c r="C54" s="571"/>
      <c r="D54" s="572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heetProtection sheet="1" objects="1" scenarios="1"/>
  <mergeCells count="52">
    <mergeCell ref="A5:D5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14:D14"/>
    <mergeCell ref="C9:D9"/>
    <mergeCell ref="C10:D10"/>
    <mergeCell ref="C11:D11"/>
    <mergeCell ref="C12:D12"/>
    <mergeCell ref="C13:D13"/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50:D50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7:D57"/>
    <mergeCell ref="C58:D58"/>
    <mergeCell ref="C59:D59"/>
    <mergeCell ref="C51:D51"/>
    <mergeCell ref="C52:D52"/>
    <mergeCell ref="C53:D53"/>
    <mergeCell ref="C54:D54"/>
    <mergeCell ref="C55:D55"/>
    <mergeCell ref="C56:D56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F0"/>
  </sheetPr>
  <dimension ref="A1:Q59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25.7109375" style="2" customWidth="1"/>
    <col min="5" max="5" width="13.7109375" style="2" customWidth="1"/>
    <col min="6" max="6" width="10.7109375" style="2" customWidth="1"/>
    <col min="7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ht="21" x14ac:dyDescent="0.25">
      <c r="A1" s="87" t="s">
        <v>109</v>
      </c>
      <c r="B1" s="88"/>
      <c r="C1" s="88"/>
      <c r="D1" s="105" t="s">
        <v>100</v>
      </c>
      <c r="J1" s="2"/>
    </row>
    <row r="2" spans="1:17" x14ac:dyDescent="0.25">
      <c r="A2" s="38" t="s">
        <v>45</v>
      </c>
      <c r="B2" s="27" t="s">
        <v>49</v>
      </c>
      <c r="C2" s="41"/>
      <c r="D2" s="41"/>
      <c r="E2" s="96"/>
      <c r="F2" s="96"/>
      <c r="G2" s="96"/>
      <c r="H2" s="96"/>
      <c r="I2" s="97"/>
      <c r="J2" s="2"/>
    </row>
    <row r="3" spans="1:17" ht="20.100000000000001" customHeight="1" x14ac:dyDescent="0.25">
      <c r="A3" s="38" t="s">
        <v>110</v>
      </c>
      <c r="B3" s="36"/>
      <c r="C3" s="38" t="s">
        <v>104</v>
      </c>
      <c r="D3" s="28"/>
      <c r="E3" s="96"/>
      <c r="F3" s="96"/>
      <c r="G3" s="96"/>
      <c r="H3" s="96"/>
      <c r="I3" s="97"/>
      <c r="J3" s="2"/>
    </row>
    <row r="4" spans="1:17" ht="20.100000000000001" customHeight="1" x14ac:dyDescent="0.25">
      <c r="A4" s="38" t="s">
        <v>111</v>
      </c>
      <c r="B4" s="36"/>
      <c r="C4" s="38" t="s">
        <v>105</v>
      </c>
      <c r="D4" s="28"/>
      <c r="E4" s="96"/>
      <c r="F4" s="96"/>
      <c r="G4" s="96"/>
      <c r="H4" s="96"/>
      <c r="I4" s="97"/>
      <c r="J4" s="2"/>
    </row>
    <row r="5" spans="1:17" ht="46.5" x14ac:dyDescent="0.25">
      <c r="A5" s="564" t="s">
        <v>245</v>
      </c>
      <c r="B5" s="564"/>
      <c r="C5" s="564"/>
      <c r="D5" s="564"/>
      <c r="E5" s="564"/>
      <c r="F5" s="564"/>
      <c r="G5" s="564"/>
      <c r="H5" s="564"/>
      <c r="I5" s="564"/>
      <c r="J5" s="2"/>
    </row>
    <row r="6" spans="1:17" ht="5.0999999999999996" customHeight="1" x14ac:dyDescent="0.25">
      <c r="A6" s="86"/>
      <c r="J6" s="2"/>
    </row>
    <row r="7" spans="1:17" ht="5.0999999999999996" customHeight="1" x14ac:dyDescent="0.25">
      <c r="A7" s="86"/>
      <c r="J7" s="2"/>
    </row>
    <row r="8" spans="1:17" s="29" customFormat="1" ht="21" customHeight="1" x14ac:dyDescent="0.25">
      <c r="A8" s="39"/>
      <c r="B8" s="92" t="s">
        <v>231</v>
      </c>
      <c r="C8" s="92" t="s">
        <v>231</v>
      </c>
      <c r="D8" s="40"/>
      <c r="E8" s="92" t="s">
        <v>236</v>
      </c>
      <c r="F8" s="92" t="s">
        <v>237</v>
      </c>
      <c r="G8" s="92" t="s">
        <v>238</v>
      </c>
      <c r="H8" s="92" t="s">
        <v>238</v>
      </c>
      <c r="I8" s="92" t="s">
        <v>238</v>
      </c>
    </row>
    <row r="9" spans="1:17" ht="37.5" x14ac:dyDescent="0.25">
      <c r="A9" s="89" t="s">
        <v>0</v>
      </c>
      <c r="B9" s="91" t="s">
        <v>108</v>
      </c>
      <c r="C9" s="90" t="s">
        <v>127</v>
      </c>
      <c r="D9" s="90" t="s">
        <v>106</v>
      </c>
      <c r="E9" s="91" t="s">
        <v>235</v>
      </c>
      <c r="F9" s="91" t="s">
        <v>128</v>
      </c>
      <c r="G9" s="91" t="s">
        <v>153</v>
      </c>
      <c r="H9" s="91" t="s">
        <v>154</v>
      </c>
      <c r="I9" s="91" t="s">
        <v>155</v>
      </c>
      <c r="P9" s="30"/>
      <c r="Q9" s="31"/>
    </row>
    <row r="10" spans="1:17" ht="24.95" customHeight="1" x14ac:dyDescent="0.25">
      <c r="A10" s="34"/>
      <c r="B10" s="106"/>
      <c r="C10" s="106"/>
      <c r="D10" s="32"/>
      <c r="E10" s="34"/>
      <c r="F10" s="35"/>
      <c r="G10" s="34"/>
      <c r="H10" s="34"/>
      <c r="I10" s="34"/>
    </row>
    <row r="11" spans="1:17" ht="24.95" customHeight="1" x14ac:dyDescent="0.25">
      <c r="A11" s="34"/>
      <c r="B11" s="106"/>
      <c r="C11" s="106"/>
      <c r="D11" s="32"/>
      <c r="E11" s="34"/>
      <c r="F11" s="35"/>
      <c r="G11" s="34"/>
      <c r="H11" s="34"/>
      <c r="I11" s="34" t="s">
        <v>112</v>
      </c>
    </row>
    <row r="12" spans="1:17" ht="24.95" customHeight="1" x14ac:dyDescent="0.25">
      <c r="A12" s="34"/>
      <c r="B12" s="106"/>
      <c r="C12" s="106"/>
      <c r="D12" s="32"/>
      <c r="E12" s="34"/>
      <c r="F12" s="35"/>
      <c r="G12" s="34"/>
      <c r="H12" s="34"/>
      <c r="I12" s="34"/>
    </row>
    <row r="13" spans="1:17" ht="24.95" customHeight="1" x14ac:dyDescent="0.25">
      <c r="A13" s="34"/>
      <c r="B13" s="106"/>
      <c r="C13" s="106"/>
      <c r="D13" s="32"/>
      <c r="E13" s="34"/>
      <c r="F13" s="35"/>
      <c r="G13" s="34"/>
      <c r="H13" s="34"/>
      <c r="I13" s="34"/>
    </row>
    <row r="14" spans="1:17" ht="24.95" customHeight="1" x14ac:dyDescent="0.25">
      <c r="A14" s="34"/>
      <c r="B14" s="106"/>
      <c r="C14" s="106"/>
      <c r="D14" s="32"/>
      <c r="E14" s="34"/>
      <c r="F14" s="35"/>
      <c r="G14" s="34"/>
      <c r="H14" s="34"/>
      <c r="I14" s="34"/>
    </row>
    <row r="15" spans="1:17" ht="24.95" customHeight="1" x14ac:dyDescent="0.25">
      <c r="A15" s="34"/>
      <c r="B15" s="106"/>
      <c r="C15" s="106"/>
      <c r="D15" s="32"/>
      <c r="E15" s="34"/>
      <c r="F15" s="35"/>
      <c r="G15" s="34"/>
      <c r="H15" s="34"/>
      <c r="I15" s="34"/>
    </row>
    <row r="16" spans="1:17" ht="24.95" customHeight="1" x14ac:dyDescent="0.25">
      <c r="A16" s="34"/>
      <c r="B16" s="106"/>
      <c r="C16" s="106"/>
      <c r="D16" s="32"/>
      <c r="E16" s="34"/>
      <c r="F16" s="35"/>
      <c r="G16" s="34"/>
      <c r="H16" s="34"/>
      <c r="I16" s="34"/>
    </row>
    <row r="17" spans="1:9" ht="24.95" customHeight="1" x14ac:dyDescent="0.25">
      <c r="A17" s="34"/>
      <c r="B17" s="106"/>
      <c r="C17" s="106"/>
      <c r="D17" s="32"/>
      <c r="E17" s="34"/>
      <c r="F17" s="35"/>
      <c r="G17" s="34"/>
      <c r="H17" s="34"/>
      <c r="I17" s="34"/>
    </row>
    <row r="18" spans="1:9" ht="24.95" customHeight="1" x14ac:dyDescent="0.25">
      <c r="A18" s="34"/>
      <c r="B18" s="106"/>
      <c r="C18" s="106"/>
      <c r="D18" s="32"/>
      <c r="E18" s="34"/>
      <c r="F18" s="35"/>
      <c r="G18" s="34"/>
      <c r="H18" s="34"/>
      <c r="I18" s="34"/>
    </row>
    <row r="19" spans="1:9" ht="24.95" customHeight="1" x14ac:dyDescent="0.25">
      <c r="A19" s="34"/>
      <c r="B19" s="106"/>
      <c r="C19" s="106"/>
      <c r="D19" s="32"/>
      <c r="E19" s="34"/>
      <c r="F19" s="35"/>
      <c r="G19" s="34"/>
      <c r="H19" s="34"/>
      <c r="I19" s="34"/>
    </row>
    <row r="20" spans="1:9" ht="24.95" customHeight="1" x14ac:dyDescent="0.25">
      <c r="A20" s="34"/>
      <c r="B20" s="106"/>
      <c r="C20" s="106"/>
      <c r="D20" s="32"/>
      <c r="E20" s="34"/>
      <c r="F20" s="35"/>
      <c r="G20" s="34"/>
      <c r="H20" s="34"/>
      <c r="I20" s="34"/>
    </row>
    <row r="21" spans="1:9" ht="24.95" customHeight="1" x14ac:dyDescent="0.25">
      <c r="A21" s="34"/>
      <c r="B21" s="106"/>
      <c r="C21" s="106"/>
      <c r="D21" s="32"/>
      <c r="E21" s="34"/>
      <c r="F21" s="35"/>
      <c r="G21" s="34"/>
      <c r="H21" s="34"/>
      <c r="I21" s="34"/>
    </row>
    <row r="22" spans="1:9" ht="24.95" customHeight="1" x14ac:dyDescent="0.25">
      <c r="A22" s="34"/>
      <c r="B22" s="106"/>
      <c r="C22" s="106"/>
      <c r="D22" s="32"/>
      <c r="E22" s="34"/>
      <c r="F22" s="35"/>
      <c r="G22" s="34"/>
      <c r="H22" s="34"/>
      <c r="I22" s="34"/>
    </row>
    <row r="23" spans="1:9" ht="24.95" customHeight="1" x14ac:dyDescent="0.25">
      <c r="A23" s="34"/>
      <c r="B23" s="106"/>
      <c r="C23" s="106"/>
      <c r="D23" s="32"/>
      <c r="E23" s="34"/>
      <c r="F23" s="35"/>
      <c r="G23" s="34"/>
      <c r="H23" s="34"/>
      <c r="I23" s="34"/>
    </row>
    <row r="24" spans="1:9" ht="24.95" customHeight="1" x14ac:dyDescent="0.25">
      <c r="A24" s="34"/>
      <c r="B24" s="106"/>
      <c r="C24" s="106"/>
      <c r="D24" s="32"/>
      <c r="E24" s="34"/>
      <c r="F24" s="35"/>
      <c r="G24" s="34"/>
      <c r="H24" s="34"/>
      <c r="I24" s="34"/>
    </row>
    <row r="25" spans="1:9" ht="24.95" customHeight="1" x14ac:dyDescent="0.25">
      <c r="A25" s="34"/>
      <c r="B25" s="106"/>
      <c r="C25" s="106"/>
      <c r="D25" s="32"/>
      <c r="E25" s="34"/>
      <c r="F25" s="35"/>
      <c r="G25" s="34"/>
      <c r="H25" s="34"/>
      <c r="I25" s="34"/>
    </row>
    <row r="26" spans="1:9" ht="24.95" customHeight="1" x14ac:dyDescent="0.25">
      <c r="A26" s="34"/>
      <c r="B26" s="106"/>
      <c r="C26" s="106"/>
      <c r="D26" s="32"/>
      <c r="E26" s="34"/>
      <c r="F26" s="35"/>
      <c r="G26" s="34"/>
      <c r="H26" s="34"/>
      <c r="I26" s="34"/>
    </row>
    <row r="27" spans="1:9" ht="24.95" customHeight="1" x14ac:dyDescent="0.25">
      <c r="A27" s="34"/>
      <c r="B27" s="106"/>
      <c r="C27" s="106"/>
      <c r="D27" s="32"/>
      <c r="E27" s="34"/>
      <c r="F27" s="35"/>
      <c r="G27" s="34"/>
      <c r="H27" s="34"/>
      <c r="I27" s="34"/>
    </row>
    <row r="28" spans="1:9" ht="24.95" customHeight="1" x14ac:dyDescent="0.25">
      <c r="A28" s="34"/>
      <c r="B28" s="106"/>
      <c r="C28" s="106"/>
      <c r="D28" s="32"/>
      <c r="E28" s="34"/>
      <c r="F28" s="35"/>
      <c r="G28" s="34"/>
      <c r="H28" s="34"/>
      <c r="I28" s="34"/>
    </row>
    <row r="29" spans="1:9" ht="24.95" customHeight="1" x14ac:dyDescent="0.25">
      <c r="A29" s="34"/>
      <c r="B29" s="106"/>
      <c r="C29" s="106"/>
      <c r="D29" s="32"/>
      <c r="E29" s="34"/>
      <c r="F29" s="35"/>
      <c r="G29" s="34"/>
      <c r="H29" s="34"/>
      <c r="I29" s="34"/>
    </row>
    <row r="30" spans="1:9" ht="24.95" customHeight="1" x14ac:dyDescent="0.25">
      <c r="A30" s="34"/>
      <c r="B30" s="106"/>
      <c r="C30" s="106"/>
      <c r="D30" s="32"/>
      <c r="E30" s="34"/>
      <c r="F30" s="35"/>
      <c r="G30" s="34"/>
      <c r="H30" s="34"/>
      <c r="I30" s="34"/>
    </row>
    <row r="31" spans="1:9" ht="24.95" customHeight="1" x14ac:dyDescent="0.25">
      <c r="A31" s="34"/>
      <c r="B31" s="106"/>
      <c r="C31" s="106"/>
      <c r="D31" s="32"/>
      <c r="E31" s="34"/>
      <c r="F31" s="35"/>
      <c r="G31" s="34"/>
      <c r="H31" s="34"/>
      <c r="I31" s="34"/>
    </row>
    <row r="32" spans="1:9" ht="24.95" customHeight="1" x14ac:dyDescent="0.25">
      <c r="A32" s="34"/>
      <c r="B32" s="106"/>
      <c r="C32" s="106"/>
      <c r="D32" s="32"/>
      <c r="E32" s="34"/>
      <c r="F32" s="35"/>
      <c r="G32" s="34"/>
      <c r="H32" s="34"/>
      <c r="I32" s="34"/>
    </row>
    <row r="33" spans="1:9" ht="24.95" customHeight="1" x14ac:dyDescent="0.25">
      <c r="A33" s="34"/>
      <c r="B33" s="106"/>
      <c r="C33" s="106"/>
      <c r="D33" s="32"/>
      <c r="E33" s="34"/>
      <c r="F33" s="35"/>
      <c r="G33" s="34"/>
      <c r="H33" s="34"/>
      <c r="I33" s="34"/>
    </row>
    <row r="34" spans="1:9" ht="24.95" customHeight="1" x14ac:dyDescent="0.25">
      <c r="A34" s="34"/>
      <c r="B34" s="106"/>
      <c r="C34" s="106"/>
      <c r="D34" s="32"/>
      <c r="E34" s="34"/>
      <c r="F34" s="35"/>
      <c r="G34" s="34"/>
      <c r="H34" s="34"/>
      <c r="I34" s="34"/>
    </row>
    <row r="35" spans="1:9" ht="24.95" customHeight="1" x14ac:dyDescent="0.25">
      <c r="A35" s="34"/>
      <c r="B35" s="106"/>
      <c r="C35" s="106"/>
      <c r="D35" s="32"/>
      <c r="E35" s="34"/>
      <c r="F35" s="35"/>
      <c r="G35" s="34"/>
      <c r="H35" s="34"/>
      <c r="I35" s="34"/>
    </row>
    <row r="36" spans="1:9" ht="24.95" customHeight="1" x14ac:dyDescent="0.25">
      <c r="A36" s="34"/>
      <c r="B36" s="106"/>
      <c r="C36" s="106"/>
      <c r="D36" s="32"/>
      <c r="E36" s="34"/>
      <c r="F36" s="35"/>
      <c r="G36" s="34"/>
      <c r="H36" s="34"/>
      <c r="I36" s="34"/>
    </row>
    <row r="37" spans="1:9" ht="24.95" customHeight="1" x14ac:dyDescent="0.25">
      <c r="A37" s="34"/>
      <c r="B37" s="106"/>
      <c r="C37" s="106"/>
      <c r="D37" s="32"/>
      <c r="E37" s="34"/>
      <c r="F37" s="35"/>
      <c r="G37" s="34"/>
      <c r="H37" s="34"/>
      <c r="I37" s="34"/>
    </row>
    <row r="38" spans="1:9" ht="24.95" customHeight="1" x14ac:dyDescent="0.25">
      <c r="A38" s="34"/>
      <c r="B38" s="106"/>
      <c r="C38" s="106"/>
      <c r="D38" s="32"/>
      <c r="E38" s="34"/>
      <c r="F38" s="35"/>
      <c r="G38" s="34"/>
      <c r="H38" s="34"/>
      <c r="I38" s="34"/>
    </row>
    <row r="39" spans="1:9" ht="24.95" customHeight="1" x14ac:dyDescent="0.25">
      <c r="A39" s="34"/>
      <c r="B39" s="106"/>
      <c r="C39" s="106"/>
      <c r="D39" s="32"/>
      <c r="E39" s="34"/>
      <c r="F39" s="35"/>
      <c r="G39" s="34"/>
      <c r="H39" s="34"/>
      <c r="I39" s="34"/>
    </row>
    <row r="40" spans="1:9" ht="24.95" customHeight="1" x14ac:dyDescent="0.25">
      <c r="A40" s="34"/>
      <c r="B40" s="106"/>
      <c r="C40" s="106"/>
      <c r="D40" s="32"/>
      <c r="E40" s="34"/>
      <c r="F40" s="35"/>
      <c r="G40" s="34"/>
      <c r="H40" s="34"/>
      <c r="I40" s="34"/>
    </row>
    <row r="41" spans="1:9" ht="24.95" customHeight="1" x14ac:dyDescent="0.25">
      <c r="A41" s="34"/>
      <c r="B41" s="106"/>
      <c r="C41" s="106"/>
      <c r="D41" s="32"/>
      <c r="E41" s="34"/>
      <c r="F41" s="35"/>
      <c r="G41" s="34"/>
      <c r="H41" s="34"/>
      <c r="I41" s="34"/>
    </row>
    <row r="42" spans="1:9" ht="24.95" customHeight="1" x14ac:dyDescent="0.25">
      <c r="A42" s="34"/>
      <c r="B42" s="106"/>
      <c r="C42" s="106"/>
      <c r="D42" s="32"/>
      <c r="E42" s="34"/>
      <c r="F42" s="35"/>
      <c r="G42" s="34"/>
      <c r="H42" s="34"/>
      <c r="I42" s="34"/>
    </row>
    <row r="43" spans="1:9" ht="24.95" customHeight="1" x14ac:dyDescent="0.25">
      <c r="A43" s="34"/>
      <c r="B43" s="106"/>
      <c r="C43" s="106"/>
      <c r="D43" s="32"/>
      <c r="E43" s="34"/>
      <c r="F43" s="35"/>
      <c r="G43" s="34"/>
      <c r="H43" s="34"/>
      <c r="I43" s="34"/>
    </row>
    <row r="44" spans="1:9" ht="24.95" customHeight="1" x14ac:dyDescent="0.25">
      <c r="A44" s="34"/>
      <c r="B44" s="106"/>
      <c r="C44" s="106"/>
      <c r="D44" s="32"/>
      <c r="E44" s="34"/>
      <c r="F44" s="35"/>
      <c r="G44" s="34"/>
      <c r="H44" s="34"/>
      <c r="I44" s="34"/>
    </row>
    <row r="45" spans="1:9" ht="24.95" customHeight="1" x14ac:dyDescent="0.25">
      <c r="A45" s="34"/>
      <c r="B45" s="106"/>
      <c r="C45" s="106"/>
      <c r="D45" s="32"/>
      <c r="E45" s="34"/>
      <c r="F45" s="35"/>
      <c r="G45" s="34"/>
      <c r="H45" s="34"/>
      <c r="I45" s="34"/>
    </row>
    <row r="46" spans="1:9" ht="24.95" customHeight="1" x14ac:dyDescent="0.25">
      <c r="A46" s="34"/>
      <c r="B46" s="106"/>
      <c r="C46" s="106"/>
      <c r="D46" s="32"/>
      <c r="E46" s="34"/>
      <c r="F46" s="35"/>
      <c r="G46" s="34"/>
      <c r="H46" s="34"/>
      <c r="I46" s="34"/>
    </row>
    <row r="47" spans="1:9" ht="24.95" customHeight="1" x14ac:dyDescent="0.25">
      <c r="A47" s="34"/>
      <c r="B47" s="106"/>
      <c r="C47" s="106"/>
      <c r="D47" s="32"/>
      <c r="E47" s="34"/>
      <c r="F47" s="35"/>
      <c r="G47" s="34"/>
      <c r="H47" s="34"/>
      <c r="I47" s="34"/>
    </row>
    <row r="48" spans="1:9" ht="24.95" customHeight="1" x14ac:dyDescent="0.25">
      <c r="A48" s="34"/>
      <c r="B48" s="106"/>
      <c r="C48" s="106"/>
      <c r="D48" s="32"/>
      <c r="E48" s="34"/>
      <c r="F48" s="35"/>
      <c r="G48" s="34"/>
      <c r="H48" s="34"/>
      <c r="I48" s="34"/>
    </row>
    <row r="49" spans="1:9" ht="24.95" customHeight="1" x14ac:dyDescent="0.25">
      <c r="A49" s="34"/>
      <c r="B49" s="106"/>
      <c r="C49" s="106"/>
      <c r="D49" s="32"/>
      <c r="E49" s="34"/>
      <c r="F49" s="35"/>
      <c r="G49" s="34"/>
      <c r="H49" s="34"/>
      <c r="I49" s="34"/>
    </row>
    <row r="50" spans="1:9" ht="24.95" customHeight="1" x14ac:dyDescent="0.25">
      <c r="A50" s="34"/>
      <c r="B50" s="106"/>
      <c r="C50" s="106"/>
      <c r="D50" s="32"/>
      <c r="E50" s="34"/>
      <c r="F50" s="35"/>
      <c r="G50" s="34"/>
      <c r="H50" s="34"/>
      <c r="I50" s="34"/>
    </row>
    <row r="51" spans="1:9" ht="24.95" customHeight="1" x14ac:dyDescent="0.25">
      <c r="A51" s="34"/>
      <c r="B51" s="106"/>
      <c r="C51" s="106"/>
      <c r="D51" s="32"/>
      <c r="E51" s="34"/>
      <c r="F51" s="35"/>
      <c r="G51" s="34"/>
      <c r="H51" s="34"/>
      <c r="I51" s="34"/>
    </row>
    <row r="52" spans="1:9" ht="24.95" customHeight="1" x14ac:dyDescent="0.25">
      <c r="A52" s="34"/>
      <c r="B52" s="106"/>
      <c r="C52" s="106"/>
      <c r="D52" s="32"/>
      <c r="E52" s="34"/>
      <c r="F52" s="35"/>
      <c r="G52" s="34"/>
      <c r="H52" s="34"/>
      <c r="I52" s="34"/>
    </row>
    <row r="53" spans="1:9" ht="24.95" customHeight="1" x14ac:dyDescent="0.25">
      <c r="A53" s="34"/>
      <c r="B53" s="106"/>
      <c r="C53" s="106"/>
      <c r="D53" s="32"/>
      <c r="E53" s="34"/>
      <c r="F53" s="35"/>
      <c r="G53" s="34"/>
      <c r="H53" s="34"/>
      <c r="I53" s="34"/>
    </row>
    <row r="54" spans="1:9" ht="24.95" customHeight="1" x14ac:dyDescent="0.25">
      <c r="A54" s="34"/>
      <c r="B54" s="106"/>
      <c r="C54" s="106"/>
      <c r="D54" s="32"/>
      <c r="E54" s="34"/>
      <c r="F54" s="35"/>
      <c r="G54" s="34"/>
      <c r="H54" s="34"/>
      <c r="I54" s="34"/>
    </row>
    <row r="55" spans="1:9" ht="24.95" customHeight="1" x14ac:dyDescent="0.25">
      <c r="A55" s="34"/>
      <c r="B55" s="106"/>
      <c r="C55" s="106"/>
      <c r="D55" s="32"/>
      <c r="E55" s="34"/>
      <c r="F55" s="35"/>
      <c r="G55" s="34"/>
      <c r="H55" s="34"/>
      <c r="I55" s="34"/>
    </row>
    <row r="56" spans="1:9" ht="24.95" customHeight="1" x14ac:dyDescent="0.25">
      <c r="A56" s="34"/>
      <c r="B56" s="106"/>
      <c r="C56" s="106"/>
      <c r="D56" s="32"/>
      <c r="E56" s="34"/>
      <c r="F56" s="35"/>
      <c r="G56" s="34"/>
      <c r="H56" s="34"/>
      <c r="I56" s="34"/>
    </row>
    <row r="57" spans="1:9" ht="24.95" customHeight="1" x14ac:dyDescent="0.25">
      <c r="A57" s="34"/>
      <c r="B57" s="106"/>
      <c r="C57" s="106"/>
      <c r="D57" s="32"/>
      <c r="E57" s="34"/>
      <c r="F57" s="35"/>
      <c r="G57" s="34"/>
      <c r="H57" s="34"/>
      <c r="I57" s="34"/>
    </row>
    <row r="58" spans="1:9" ht="24.95" customHeight="1" x14ac:dyDescent="0.25">
      <c r="A58" s="34"/>
      <c r="B58" s="106"/>
      <c r="C58" s="106"/>
      <c r="D58" s="32"/>
      <c r="E58" s="34"/>
      <c r="F58" s="35"/>
      <c r="G58" s="34"/>
      <c r="H58" s="34"/>
      <c r="I58" s="34"/>
    </row>
    <row r="59" spans="1:9" ht="24.95" customHeight="1" x14ac:dyDescent="0.25">
      <c r="A59" s="34"/>
      <c r="B59" s="106"/>
      <c r="C59" s="106"/>
      <c r="D59" s="32"/>
      <c r="E59" s="34"/>
      <c r="F59" s="35"/>
      <c r="G59" s="34"/>
      <c r="H59" s="34"/>
      <c r="I59" s="34"/>
    </row>
  </sheetData>
  <sheetProtection sheet="1" objects="1" scenarios="1"/>
  <mergeCells count="1">
    <mergeCell ref="A5:I5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15 строк&amp;RСтраница  &amp;P из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J39"/>
  <sheetViews>
    <sheetView workbookViewId="0">
      <selection activeCell="C1" sqref="C1"/>
    </sheetView>
  </sheetViews>
  <sheetFormatPr defaultRowHeight="15" x14ac:dyDescent="0.25"/>
  <cols>
    <col min="1" max="16384" width="9.140625" style="1"/>
  </cols>
  <sheetData>
    <row r="1" spans="1:10" ht="50.1" customHeight="1" x14ac:dyDescent="0.25">
      <c r="A1" s="75" t="str">
        <f>"Заявка экипажа на "&amp;название</f>
        <v>Заявка экипажа на Ралли "Смоленск - 2019"</v>
      </c>
      <c r="B1" s="51"/>
      <c r="C1" s="52"/>
      <c r="D1" s="53"/>
      <c r="E1" s="53"/>
      <c r="F1" s="53"/>
      <c r="G1" s="53"/>
      <c r="H1" s="53"/>
      <c r="I1" s="74"/>
      <c r="J1" s="74"/>
    </row>
    <row r="2" spans="1:10" ht="5.0999999999999996" customHeight="1" thickBot="1" x14ac:dyDescent="0.3">
      <c r="A2" s="54"/>
      <c r="B2" s="55"/>
      <c r="C2" s="56"/>
      <c r="D2" s="57"/>
      <c r="E2" s="57"/>
      <c r="F2" s="57"/>
      <c r="G2" s="57"/>
      <c r="H2" s="57"/>
      <c r="I2" s="57"/>
      <c r="J2" s="57"/>
    </row>
    <row r="3" spans="1:10" ht="24.95" customHeight="1" thickBot="1" x14ac:dyDescent="0.3">
      <c r="A3" s="102" t="s">
        <v>310</v>
      </c>
      <c r="B3" s="58"/>
      <c r="C3" s="58"/>
      <c r="D3" s="103"/>
      <c r="E3" s="66"/>
      <c r="F3" s="192"/>
      <c r="G3" s="192"/>
      <c r="H3" s="192"/>
      <c r="I3" s="192"/>
      <c r="J3" s="193"/>
    </row>
    <row r="4" spans="1:10" ht="5.0999999999999996" customHeight="1" thickBot="1" x14ac:dyDescent="0.3">
      <c r="A4" s="60"/>
      <c r="B4" s="61"/>
      <c r="C4" s="61"/>
      <c r="D4" s="62"/>
      <c r="E4" s="63"/>
      <c r="F4" s="63"/>
      <c r="G4" s="63"/>
      <c r="H4" s="63"/>
      <c r="I4" s="63"/>
      <c r="J4" s="63"/>
    </row>
    <row r="5" spans="1:10" ht="24.95" customHeight="1" thickBot="1" x14ac:dyDescent="0.3">
      <c r="A5" s="102" t="s">
        <v>624</v>
      </c>
      <c r="B5" s="58"/>
      <c r="C5" s="58"/>
      <c r="D5" s="104"/>
      <c r="E5" s="64"/>
      <c r="F5" s="64"/>
      <c r="G5" s="64"/>
      <c r="H5" s="64"/>
      <c r="I5" s="64"/>
      <c r="J5" s="65"/>
    </row>
    <row r="6" spans="1:10" ht="5.0999999999999996" customHeight="1" thickBot="1" x14ac:dyDescent="0.3">
      <c r="A6" s="60"/>
      <c r="B6" s="61"/>
      <c r="C6" s="61"/>
      <c r="D6" s="62"/>
      <c r="E6" s="63"/>
      <c r="F6" s="63"/>
      <c r="G6" s="63"/>
      <c r="H6" s="63"/>
      <c r="I6" s="63"/>
      <c r="J6" s="63"/>
    </row>
    <row r="7" spans="1:10" ht="24.95" customHeight="1" thickBot="1" x14ac:dyDescent="0.3">
      <c r="A7" s="102" t="s">
        <v>24</v>
      </c>
      <c r="B7" s="58"/>
      <c r="C7" s="58"/>
      <c r="D7" s="104"/>
      <c r="E7" s="64"/>
      <c r="F7" s="65"/>
      <c r="G7" s="102" t="s">
        <v>37</v>
      </c>
      <c r="H7" s="104"/>
      <c r="I7" s="64"/>
      <c r="J7" s="65"/>
    </row>
    <row r="8" spans="1:10" ht="5.0999999999999996" customHeight="1" thickBot="1" x14ac:dyDescent="0.3">
      <c r="A8" s="60"/>
      <c r="B8" s="61"/>
      <c r="C8" s="61"/>
      <c r="D8" s="62"/>
      <c r="E8" s="63"/>
      <c r="F8" s="63"/>
      <c r="G8" s="63"/>
      <c r="H8" s="63"/>
      <c r="I8" s="63"/>
      <c r="J8" s="63"/>
    </row>
    <row r="9" spans="1:10" ht="24.95" customHeight="1" thickBot="1" x14ac:dyDescent="0.3">
      <c r="A9" s="102" t="s">
        <v>625</v>
      </c>
      <c r="B9" s="58"/>
      <c r="C9" s="58"/>
      <c r="D9" s="104"/>
      <c r="E9" s="64"/>
      <c r="F9" s="64"/>
      <c r="G9" s="64"/>
      <c r="H9" s="64"/>
      <c r="I9" s="64"/>
      <c r="J9" s="65"/>
    </row>
    <row r="10" spans="1:10" ht="5.0999999999999996" customHeight="1" thickBot="1" x14ac:dyDescent="0.3">
      <c r="A10" s="60"/>
      <c r="B10" s="61"/>
      <c r="C10" s="61"/>
      <c r="D10" s="62"/>
      <c r="E10" s="63"/>
      <c r="F10" s="63"/>
      <c r="G10" s="63"/>
      <c r="H10" s="63"/>
      <c r="I10" s="63"/>
      <c r="J10" s="63"/>
    </row>
    <row r="11" spans="1:10" ht="24.95" customHeight="1" thickBot="1" x14ac:dyDescent="0.3">
      <c r="A11" s="102" t="s">
        <v>24</v>
      </c>
      <c r="B11" s="58"/>
      <c r="C11" s="58"/>
      <c r="D11" s="104"/>
      <c r="E11" s="64"/>
      <c r="F11" s="65"/>
      <c r="G11" s="102" t="s">
        <v>37</v>
      </c>
      <c r="H11" s="104"/>
      <c r="I11" s="64"/>
      <c r="J11" s="65"/>
    </row>
    <row r="12" spans="1:10" ht="5.0999999999999996" customHeight="1" thickBot="1" x14ac:dyDescent="0.3">
      <c r="A12" s="60"/>
      <c r="B12" s="61"/>
      <c r="C12" s="61"/>
      <c r="D12" s="62"/>
      <c r="E12" s="63"/>
      <c r="F12" s="63"/>
      <c r="G12" s="63"/>
      <c r="H12" s="63"/>
      <c r="I12" s="63"/>
      <c r="J12" s="63"/>
    </row>
    <row r="13" spans="1:10" ht="24.95" customHeight="1" thickBot="1" x14ac:dyDescent="0.3">
      <c r="A13" s="102" t="s">
        <v>10</v>
      </c>
      <c r="B13" s="58"/>
      <c r="C13" s="58"/>
      <c r="D13" s="103"/>
      <c r="E13" s="66"/>
      <c r="F13" s="59"/>
      <c r="G13" s="102" t="s">
        <v>25</v>
      </c>
      <c r="H13" s="58"/>
      <c r="I13" s="103"/>
      <c r="J13" s="59"/>
    </row>
    <row r="14" spans="1:10" ht="5.0999999999999996" customHeight="1" thickBot="1" x14ac:dyDescent="0.3">
      <c r="A14" s="60"/>
      <c r="B14" s="61"/>
      <c r="C14" s="61"/>
      <c r="D14" s="62"/>
      <c r="E14" s="63"/>
      <c r="F14" s="63"/>
      <c r="G14" s="63"/>
      <c r="H14" s="63"/>
      <c r="I14" s="63"/>
      <c r="J14" s="63"/>
    </row>
    <row r="15" spans="1:10" ht="72" customHeight="1" thickBot="1" x14ac:dyDescent="0.3">
      <c r="A15" s="402" t="s">
        <v>623</v>
      </c>
      <c r="B15" s="403"/>
      <c r="C15" s="403"/>
      <c r="D15" s="403"/>
      <c r="E15" s="403"/>
      <c r="F15" s="403"/>
      <c r="G15" s="403"/>
      <c r="H15" s="403"/>
      <c r="I15" s="403"/>
      <c r="J15" s="404"/>
    </row>
    <row r="16" spans="1:10" ht="5.0999999999999996" customHeight="1" x14ac:dyDescent="0.25">
      <c r="A16" s="60"/>
      <c r="B16" s="61"/>
      <c r="C16" s="61"/>
      <c r="D16" s="62"/>
      <c r="E16" s="63"/>
      <c r="F16" s="63"/>
      <c r="G16" s="63"/>
      <c r="H16" s="63"/>
      <c r="I16" s="63"/>
      <c r="J16" s="63"/>
    </row>
    <row r="17" spans="1:10" ht="21" customHeight="1" thickBot="1" x14ac:dyDescent="0.3">
      <c r="A17" s="405" t="s">
        <v>26</v>
      </c>
      <c r="B17" s="405"/>
      <c r="C17" s="405"/>
      <c r="D17" s="405"/>
      <c r="E17" s="405"/>
      <c r="F17" s="405" t="s">
        <v>27</v>
      </c>
      <c r="G17" s="405"/>
      <c r="H17" s="405"/>
      <c r="I17" s="405"/>
      <c r="J17" s="405"/>
    </row>
    <row r="18" spans="1:10" ht="50.1" customHeight="1" thickBot="1" x14ac:dyDescent="0.3">
      <c r="A18" s="188"/>
      <c r="B18" s="189"/>
      <c r="C18" s="189"/>
      <c r="D18" s="189"/>
      <c r="E18" s="190"/>
      <c r="F18" s="188"/>
      <c r="G18" s="189"/>
      <c r="H18" s="189"/>
      <c r="I18" s="189"/>
      <c r="J18" s="190"/>
    </row>
    <row r="20" spans="1:10" x14ac:dyDescent="0.25">
      <c r="A20" s="191"/>
      <c r="B20" s="191"/>
      <c r="C20" s="191"/>
      <c r="D20" s="191"/>
      <c r="E20" s="191"/>
      <c r="F20" s="191"/>
      <c r="G20" s="191"/>
      <c r="H20" s="191"/>
      <c r="I20" s="191"/>
      <c r="J20" s="191"/>
    </row>
    <row r="22" spans="1:10" ht="50.1" customHeight="1" x14ac:dyDescent="0.25">
      <c r="A22" s="75" t="str">
        <f>"Заявка экипажа на "&amp;название</f>
        <v>Заявка экипажа на Ралли "Смоленск - 2019"</v>
      </c>
      <c r="B22" s="51"/>
      <c r="C22" s="52"/>
      <c r="D22" s="53"/>
      <c r="E22" s="53"/>
      <c r="F22" s="53"/>
      <c r="G22" s="53"/>
      <c r="H22" s="53"/>
      <c r="I22" s="74"/>
      <c r="J22" s="74"/>
    </row>
    <row r="23" spans="1:10" ht="5.0999999999999996" customHeight="1" thickBot="1" x14ac:dyDescent="0.3">
      <c r="A23" s="54"/>
      <c r="B23" s="55"/>
      <c r="C23" s="56"/>
      <c r="D23" s="57"/>
      <c r="E23" s="57"/>
      <c r="F23" s="57"/>
      <c r="G23" s="57"/>
      <c r="H23" s="57"/>
      <c r="I23" s="57"/>
      <c r="J23" s="57"/>
    </row>
    <row r="24" spans="1:10" ht="24.95" customHeight="1" thickBot="1" x14ac:dyDescent="0.3">
      <c r="A24" s="102" t="s">
        <v>23</v>
      </c>
      <c r="B24" s="58"/>
      <c r="C24" s="58"/>
      <c r="D24" s="103"/>
      <c r="E24" s="66"/>
      <c r="F24" s="192"/>
      <c r="G24" s="192"/>
      <c r="H24" s="192"/>
      <c r="I24" s="192"/>
      <c r="J24" s="193"/>
    </row>
    <row r="25" spans="1:10" ht="5.0999999999999996" customHeight="1" thickBot="1" x14ac:dyDescent="0.3">
      <c r="A25" s="60"/>
      <c r="B25" s="61"/>
      <c r="C25" s="61"/>
      <c r="D25" s="62"/>
      <c r="E25" s="63"/>
      <c r="F25" s="63"/>
      <c r="G25" s="63"/>
      <c r="H25" s="63"/>
      <c r="I25" s="63"/>
      <c r="J25" s="63"/>
    </row>
    <row r="26" spans="1:10" ht="24.95" customHeight="1" thickBot="1" x14ac:dyDescent="0.3">
      <c r="A26" s="102" t="s">
        <v>624</v>
      </c>
      <c r="B26" s="58"/>
      <c r="C26" s="58"/>
      <c r="D26" s="104"/>
      <c r="E26" s="64"/>
      <c r="F26" s="64"/>
      <c r="G26" s="64"/>
      <c r="H26" s="64"/>
      <c r="I26" s="64"/>
      <c r="J26" s="65"/>
    </row>
    <row r="27" spans="1:10" ht="5.0999999999999996" customHeight="1" thickBot="1" x14ac:dyDescent="0.3">
      <c r="A27" s="60"/>
      <c r="B27" s="61"/>
      <c r="C27" s="61"/>
      <c r="D27" s="62"/>
      <c r="E27" s="63"/>
      <c r="F27" s="63"/>
      <c r="G27" s="63"/>
      <c r="H27" s="63"/>
      <c r="I27" s="63"/>
      <c r="J27" s="63"/>
    </row>
    <row r="28" spans="1:10" ht="24.95" customHeight="1" thickBot="1" x14ac:dyDescent="0.3">
      <c r="A28" s="102" t="s">
        <v>24</v>
      </c>
      <c r="B28" s="58"/>
      <c r="C28" s="58"/>
      <c r="D28" s="104"/>
      <c r="E28" s="64"/>
      <c r="F28" s="65"/>
      <c r="G28" s="102" t="s">
        <v>37</v>
      </c>
      <c r="H28" s="104"/>
      <c r="I28" s="64"/>
      <c r="J28" s="65"/>
    </row>
    <row r="29" spans="1:10" ht="5.0999999999999996" customHeight="1" thickBot="1" x14ac:dyDescent="0.3">
      <c r="A29" s="60"/>
      <c r="B29" s="61"/>
      <c r="C29" s="61"/>
      <c r="D29" s="62"/>
      <c r="E29" s="63"/>
      <c r="F29" s="63"/>
      <c r="G29" s="63"/>
      <c r="H29" s="63"/>
      <c r="I29" s="63"/>
      <c r="J29" s="63"/>
    </row>
    <row r="30" spans="1:10" ht="24.95" customHeight="1" thickBot="1" x14ac:dyDescent="0.3">
      <c r="A30" s="102" t="s">
        <v>625</v>
      </c>
      <c r="B30" s="58"/>
      <c r="C30" s="58"/>
      <c r="D30" s="104"/>
      <c r="E30" s="64"/>
      <c r="F30" s="64"/>
      <c r="G30" s="64"/>
      <c r="H30" s="64"/>
      <c r="I30" s="64"/>
      <c r="J30" s="65"/>
    </row>
    <row r="31" spans="1:10" ht="5.0999999999999996" customHeight="1" thickBot="1" x14ac:dyDescent="0.3">
      <c r="A31" s="60"/>
      <c r="B31" s="61"/>
      <c r="C31" s="61"/>
      <c r="D31" s="62"/>
      <c r="E31" s="63"/>
      <c r="F31" s="63"/>
      <c r="G31" s="63"/>
      <c r="H31" s="63"/>
      <c r="I31" s="63"/>
      <c r="J31" s="63"/>
    </row>
    <row r="32" spans="1:10" ht="24.95" customHeight="1" thickBot="1" x14ac:dyDescent="0.3">
      <c r="A32" s="102" t="s">
        <v>24</v>
      </c>
      <c r="B32" s="58"/>
      <c r="C32" s="58"/>
      <c r="D32" s="104"/>
      <c r="E32" s="64"/>
      <c r="F32" s="65"/>
      <c r="G32" s="102" t="s">
        <v>37</v>
      </c>
      <c r="H32" s="104"/>
      <c r="I32" s="64"/>
      <c r="J32" s="65"/>
    </row>
    <row r="33" spans="1:10" ht="5.0999999999999996" customHeight="1" thickBot="1" x14ac:dyDescent="0.3">
      <c r="A33" s="60"/>
      <c r="B33" s="61"/>
      <c r="C33" s="61"/>
      <c r="D33" s="62"/>
      <c r="E33" s="63"/>
      <c r="F33" s="63"/>
      <c r="G33" s="63"/>
      <c r="H33" s="63"/>
      <c r="I33" s="63"/>
      <c r="J33" s="63"/>
    </row>
    <row r="34" spans="1:10" ht="24.95" customHeight="1" thickBot="1" x14ac:dyDescent="0.3">
      <c r="A34" s="102" t="s">
        <v>10</v>
      </c>
      <c r="B34" s="58"/>
      <c r="C34" s="58"/>
      <c r="D34" s="103"/>
      <c r="E34" s="66"/>
      <c r="F34" s="59"/>
      <c r="G34" s="102" t="s">
        <v>25</v>
      </c>
      <c r="H34" s="58"/>
      <c r="I34" s="103"/>
      <c r="J34" s="59"/>
    </row>
    <row r="35" spans="1:10" ht="5.0999999999999996" customHeight="1" thickBot="1" x14ac:dyDescent="0.3">
      <c r="A35" s="60"/>
      <c r="B35" s="61"/>
      <c r="C35" s="61"/>
      <c r="D35" s="62"/>
      <c r="E35" s="63"/>
      <c r="F35" s="63"/>
      <c r="G35" s="63"/>
      <c r="H35" s="63"/>
      <c r="I35" s="63"/>
      <c r="J35" s="63"/>
    </row>
    <row r="36" spans="1:10" ht="72" customHeight="1" thickBot="1" x14ac:dyDescent="0.3">
      <c r="A36" s="402" t="s">
        <v>623</v>
      </c>
      <c r="B36" s="403"/>
      <c r="C36" s="403"/>
      <c r="D36" s="403"/>
      <c r="E36" s="403"/>
      <c r="F36" s="403"/>
      <c r="G36" s="403"/>
      <c r="H36" s="403"/>
      <c r="I36" s="403"/>
      <c r="J36" s="404"/>
    </row>
    <row r="37" spans="1:10" ht="5.0999999999999996" customHeight="1" x14ac:dyDescent="0.25">
      <c r="A37" s="60"/>
      <c r="B37" s="61"/>
      <c r="C37" s="61"/>
      <c r="D37" s="62"/>
      <c r="E37" s="63"/>
      <c r="F37" s="63"/>
      <c r="G37" s="63"/>
      <c r="H37" s="63"/>
      <c r="I37" s="63"/>
      <c r="J37" s="63"/>
    </row>
    <row r="38" spans="1:10" ht="21" customHeight="1" thickBot="1" x14ac:dyDescent="0.3">
      <c r="A38" s="405" t="s">
        <v>26</v>
      </c>
      <c r="B38" s="405"/>
      <c r="C38" s="405"/>
      <c r="D38" s="405"/>
      <c r="E38" s="405"/>
      <c r="F38" s="405" t="s">
        <v>27</v>
      </c>
      <c r="G38" s="405"/>
      <c r="H38" s="405"/>
      <c r="I38" s="405"/>
      <c r="J38" s="405"/>
    </row>
    <row r="39" spans="1:10" ht="50.1" customHeight="1" thickBot="1" x14ac:dyDescent="0.3">
      <c r="A39" s="188"/>
      <c r="B39" s="189"/>
      <c r="C39" s="189"/>
      <c r="D39" s="189"/>
      <c r="E39" s="190"/>
      <c r="F39" s="188"/>
      <c r="G39" s="189"/>
      <c r="H39" s="189"/>
      <c r="I39" s="189"/>
      <c r="J39" s="190"/>
    </row>
  </sheetData>
  <mergeCells count="6">
    <mergeCell ref="A36:J36"/>
    <mergeCell ref="A38:E38"/>
    <mergeCell ref="F38:J38"/>
    <mergeCell ref="A15:J15"/>
    <mergeCell ref="A17:E17"/>
    <mergeCell ref="F17:J17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F0"/>
  </sheetPr>
  <dimension ref="A1:Q59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25.7109375" style="2" customWidth="1"/>
    <col min="5" max="5" width="13.7109375" style="2" customWidth="1"/>
    <col min="6" max="7" width="11.7109375" style="2" customWidth="1"/>
    <col min="8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ht="21" x14ac:dyDescent="0.25">
      <c r="A1" s="87" t="s">
        <v>109</v>
      </c>
      <c r="B1" s="88"/>
      <c r="C1" s="88"/>
      <c r="D1" s="105" t="s">
        <v>463</v>
      </c>
      <c r="J1" s="2"/>
    </row>
    <row r="2" spans="1:17" x14ac:dyDescent="0.25">
      <c r="A2" s="38" t="s">
        <v>45</v>
      </c>
      <c r="B2" s="27" t="s">
        <v>49</v>
      </c>
      <c r="C2" s="41"/>
      <c r="D2" s="41"/>
      <c r="E2" s="96"/>
      <c r="F2" s="96"/>
      <c r="G2" s="96"/>
      <c r="H2" s="96"/>
      <c r="I2" s="97"/>
      <c r="J2" s="2"/>
    </row>
    <row r="3" spans="1:17" ht="20.100000000000001" customHeight="1" x14ac:dyDescent="0.25">
      <c r="A3" s="38" t="s">
        <v>110</v>
      </c>
      <c r="B3" s="36"/>
      <c r="C3" s="38" t="s">
        <v>104</v>
      </c>
      <c r="D3" s="28"/>
      <c r="E3" s="96"/>
      <c r="F3" s="96"/>
      <c r="G3" s="96"/>
      <c r="H3" s="96"/>
      <c r="I3" s="97"/>
      <c r="J3" s="2"/>
    </row>
    <row r="4" spans="1:17" ht="20.100000000000001" customHeight="1" x14ac:dyDescent="0.25">
      <c r="A4" s="38" t="s">
        <v>111</v>
      </c>
      <c r="B4" s="36"/>
      <c r="C4" s="38" t="s">
        <v>105</v>
      </c>
      <c r="D4" s="28"/>
      <c r="E4" s="96"/>
      <c r="F4" s="96"/>
      <c r="G4" s="96"/>
      <c r="H4" s="96"/>
      <c r="I4" s="97"/>
      <c r="J4" s="2"/>
    </row>
    <row r="5" spans="1:17" ht="46.5" x14ac:dyDescent="0.25">
      <c r="A5" s="564" t="s">
        <v>462</v>
      </c>
      <c r="B5" s="564"/>
      <c r="C5" s="564"/>
      <c r="D5" s="564"/>
      <c r="E5" s="564"/>
      <c r="F5" s="564"/>
      <c r="G5" s="564"/>
      <c r="H5" s="564"/>
      <c r="I5" s="564"/>
      <c r="J5" s="2"/>
    </row>
    <row r="6" spans="1:17" ht="5.0999999999999996" customHeight="1" x14ac:dyDescent="0.25">
      <c r="A6" s="86"/>
      <c r="J6" s="2"/>
    </row>
    <row r="7" spans="1:17" ht="5.0999999999999996" customHeight="1" x14ac:dyDescent="0.25">
      <c r="A7" s="86"/>
      <c r="J7" s="2"/>
    </row>
    <row r="8" spans="1:17" s="29" customFormat="1" ht="21" customHeight="1" x14ac:dyDescent="0.25">
      <c r="A8" s="39"/>
      <c r="B8" s="92" t="s">
        <v>231</v>
      </c>
      <c r="C8" s="92" t="s">
        <v>231</v>
      </c>
      <c r="D8" s="40"/>
      <c r="E8" s="92" t="s">
        <v>236</v>
      </c>
      <c r="F8" s="92" t="s">
        <v>237</v>
      </c>
      <c r="G8" s="92" t="s">
        <v>237</v>
      </c>
      <c r="H8" s="92" t="s">
        <v>238</v>
      </c>
      <c r="I8" s="92" t="s">
        <v>238</v>
      </c>
    </row>
    <row r="9" spans="1:17" ht="37.5" x14ac:dyDescent="0.25">
      <c r="A9" s="89" t="s">
        <v>0</v>
      </c>
      <c r="B9" s="91" t="s">
        <v>108</v>
      </c>
      <c r="C9" s="90" t="s">
        <v>127</v>
      </c>
      <c r="D9" s="90" t="s">
        <v>106</v>
      </c>
      <c r="E9" s="91" t="s">
        <v>235</v>
      </c>
      <c r="F9" s="91" t="s">
        <v>128</v>
      </c>
      <c r="G9" s="332" t="s">
        <v>433</v>
      </c>
      <c r="H9" s="91" t="s">
        <v>153</v>
      </c>
      <c r="I9" s="91" t="s">
        <v>154</v>
      </c>
      <c r="P9" s="30"/>
      <c r="Q9" s="31"/>
    </row>
    <row r="10" spans="1:17" ht="24.95" customHeight="1" x14ac:dyDescent="0.25">
      <c r="A10" s="34"/>
      <c r="B10" s="106"/>
      <c r="C10" s="106"/>
      <c r="D10" s="32"/>
      <c r="E10" s="34"/>
      <c r="F10" s="35"/>
      <c r="G10" s="35"/>
      <c r="H10" s="34"/>
      <c r="I10" s="34"/>
    </row>
    <row r="11" spans="1:17" ht="24.95" customHeight="1" x14ac:dyDescent="0.25">
      <c r="A11" s="34"/>
      <c r="B11" s="106"/>
      <c r="C11" s="106"/>
      <c r="D11" s="32"/>
      <c r="E11" s="34"/>
      <c r="F11" s="35"/>
      <c r="G11" s="35" t="s">
        <v>112</v>
      </c>
      <c r="H11" s="34"/>
      <c r="I11" s="34"/>
    </row>
    <row r="12" spans="1:17" ht="24.95" customHeight="1" x14ac:dyDescent="0.25">
      <c r="A12" s="34"/>
      <c r="B12" s="106"/>
      <c r="C12" s="106"/>
      <c r="D12" s="32"/>
      <c r="E12" s="34"/>
      <c r="F12" s="35"/>
      <c r="G12" s="35"/>
      <c r="H12" s="34"/>
      <c r="I12" s="34"/>
    </row>
    <row r="13" spans="1:17" ht="24.95" customHeight="1" x14ac:dyDescent="0.25">
      <c r="A13" s="34"/>
      <c r="B13" s="106"/>
      <c r="C13" s="106"/>
      <c r="D13" s="32"/>
      <c r="E13" s="34"/>
      <c r="F13" s="35"/>
      <c r="G13" s="35"/>
      <c r="H13" s="34"/>
      <c r="I13" s="34"/>
    </row>
    <row r="14" spans="1:17" ht="24.95" customHeight="1" x14ac:dyDescent="0.25">
      <c r="A14" s="34"/>
      <c r="B14" s="106"/>
      <c r="C14" s="106"/>
      <c r="D14" s="32"/>
      <c r="E14" s="34"/>
      <c r="F14" s="35"/>
      <c r="G14" s="35"/>
      <c r="H14" s="34"/>
      <c r="I14" s="34"/>
    </row>
    <row r="15" spans="1:17" ht="24.95" customHeight="1" x14ac:dyDescent="0.25">
      <c r="A15" s="34"/>
      <c r="B15" s="106"/>
      <c r="C15" s="106"/>
      <c r="D15" s="32"/>
      <c r="E15" s="34"/>
      <c r="F15" s="35"/>
      <c r="G15" s="35"/>
      <c r="H15" s="34"/>
      <c r="I15" s="34"/>
    </row>
    <row r="16" spans="1:17" ht="24.95" customHeight="1" x14ac:dyDescent="0.25">
      <c r="A16" s="34"/>
      <c r="B16" s="106"/>
      <c r="C16" s="106"/>
      <c r="D16" s="32"/>
      <c r="E16" s="34"/>
      <c r="F16" s="35"/>
      <c r="G16" s="35"/>
      <c r="H16" s="34"/>
      <c r="I16" s="34"/>
    </row>
    <row r="17" spans="1:9" ht="24.95" customHeight="1" x14ac:dyDescent="0.25">
      <c r="A17" s="34"/>
      <c r="B17" s="106"/>
      <c r="C17" s="106"/>
      <c r="D17" s="32"/>
      <c r="E17" s="34"/>
      <c r="F17" s="35"/>
      <c r="G17" s="35"/>
      <c r="H17" s="34"/>
      <c r="I17" s="34"/>
    </row>
    <row r="18" spans="1:9" ht="24.95" customHeight="1" x14ac:dyDescent="0.25">
      <c r="A18" s="34"/>
      <c r="B18" s="106"/>
      <c r="C18" s="106"/>
      <c r="D18" s="32"/>
      <c r="E18" s="34"/>
      <c r="F18" s="35"/>
      <c r="G18" s="35"/>
      <c r="H18" s="34"/>
      <c r="I18" s="34"/>
    </row>
    <row r="19" spans="1:9" ht="24.95" customHeight="1" x14ac:dyDescent="0.25">
      <c r="A19" s="34"/>
      <c r="B19" s="106"/>
      <c r="C19" s="106"/>
      <c r="D19" s="32"/>
      <c r="E19" s="34"/>
      <c r="F19" s="35"/>
      <c r="G19" s="35"/>
      <c r="H19" s="34"/>
      <c r="I19" s="34"/>
    </row>
    <row r="20" spans="1:9" ht="24.95" customHeight="1" x14ac:dyDescent="0.25">
      <c r="A20" s="34"/>
      <c r="B20" s="106"/>
      <c r="C20" s="106"/>
      <c r="D20" s="32"/>
      <c r="E20" s="34"/>
      <c r="F20" s="35"/>
      <c r="G20" s="35"/>
      <c r="H20" s="34"/>
      <c r="I20" s="34"/>
    </row>
    <row r="21" spans="1:9" ht="24.95" customHeight="1" x14ac:dyDescent="0.25">
      <c r="A21" s="34"/>
      <c r="B21" s="106"/>
      <c r="C21" s="106"/>
      <c r="D21" s="32"/>
      <c r="E21" s="34"/>
      <c r="F21" s="35"/>
      <c r="G21" s="35"/>
      <c r="H21" s="34"/>
      <c r="I21" s="34"/>
    </row>
    <row r="22" spans="1:9" ht="24.95" customHeight="1" x14ac:dyDescent="0.25">
      <c r="A22" s="34"/>
      <c r="B22" s="106"/>
      <c r="C22" s="106"/>
      <c r="D22" s="32"/>
      <c r="E22" s="34"/>
      <c r="F22" s="35"/>
      <c r="G22" s="35"/>
      <c r="H22" s="34"/>
      <c r="I22" s="34"/>
    </row>
    <row r="23" spans="1:9" ht="24.95" customHeight="1" x14ac:dyDescent="0.25">
      <c r="A23" s="34"/>
      <c r="B23" s="106"/>
      <c r="C23" s="106"/>
      <c r="D23" s="32"/>
      <c r="E23" s="34"/>
      <c r="F23" s="35"/>
      <c r="G23" s="35"/>
      <c r="H23" s="34"/>
      <c r="I23" s="34"/>
    </row>
    <row r="24" spans="1:9" ht="24.95" customHeight="1" x14ac:dyDescent="0.25">
      <c r="A24" s="34"/>
      <c r="B24" s="106"/>
      <c r="C24" s="106"/>
      <c r="D24" s="32"/>
      <c r="E24" s="34"/>
      <c r="F24" s="35"/>
      <c r="G24" s="35"/>
      <c r="H24" s="34"/>
      <c r="I24" s="34"/>
    </row>
    <row r="25" spans="1:9" ht="24.95" customHeight="1" x14ac:dyDescent="0.25">
      <c r="A25" s="34"/>
      <c r="B25" s="106"/>
      <c r="C25" s="106"/>
      <c r="D25" s="32"/>
      <c r="E25" s="34"/>
      <c r="F25" s="35"/>
      <c r="G25" s="35"/>
      <c r="H25" s="34"/>
      <c r="I25" s="34"/>
    </row>
    <row r="26" spans="1:9" ht="24.95" customHeight="1" x14ac:dyDescent="0.25">
      <c r="A26" s="34"/>
      <c r="B26" s="106"/>
      <c r="C26" s="106"/>
      <c r="D26" s="32"/>
      <c r="E26" s="34"/>
      <c r="F26" s="35"/>
      <c r="G26" s="35"/>
      <c r="H26" s="34"/>
      <c r="I26" s="34"/>
    </row>
    <row r="27" spans="1:9" ht="24.95" customHeight="1" x14ac:dyDescent="0.25">
      <c r="A27" s="34"/>
      <c r="B27" s="106"/>
      <c r="C27" s="106"/>
      <c r="D27" s="32"/>
      <c r="E27" s="34"/>
      <c r="F27" s="35"/>
      <c r="G27" s="35"/>
      <c r="H27" s="34"/>
      <c r="I27" s="34"/>
    </row>
    <row r="28" spans="1:9" ht="24.95" customHeight="1" x14ac:dyDescent="0.25">
      <c r="A28" s="34"/>
      <c r="B28" s="106"/>
      <c r="C28" s="106"/>
      <c r="D28" s="32"/>
      <c r="E28" s="34"/>
      <c r="F28" s="35"/>
      <c r="G28" s="35"/>
      <c r="H28" s="34"/>
      <c r="I28" s="34"/>
    </row>
    <row r="29" spans="1:9" ht="24.95" customHeight="1" x14ac:dyDescent="0.25">
      <c r="A29" s="34"/>
      <c r="B29" s="106"/>
      <c r="C29" s="106"/>
      <c r="D29" s="32"/>
      <c r="E29" s="34"/>
      <c r="F29" s="35"/>
      <c r="G29" s="35"/>
      <c r="H29" s="34"/>
      <c r="I29" s="34"/>
    </row>
    <row r="30" spans="1:9" ht="24.95" customHeight="1" x14ac:dyDescent="0.25">
      <c r="A30" s="34"/>
      <c r="B30" s="106"/>
      <c r="C30" s="106"/>
      <c r="D30" s="32"/>
      <c r="E30" s="34"/>
      <c r="F30" s="35"/>
      <c r="G30" s="35"/>
      <c r="H30" s="34"/>
      <c r="I30" s="34"/>
    </row>
    <row r="31" spans="1:9" ht="24.95" customHeight="1" x14ac:dyDescent="0.25">
      <c r="A31" s="34"/>
      <c r="B31" s="106"/>
      <c r="C31" s="106"/>
      <c r="D31" s="32"/>
      <c r="E31" s="34"/>
      <c r="F31" s="35"/>
      <c r="G31" s="35"/>
      <c r="H31" s="34"/>
      <c r="I31" s="34"/>
    </row>
    <row r="32" spans="1:9" ht="24.95" customHeight="1" x14ac:dyDescent="0.25">
      <c r="A32" s="34"/>
      <c r="B32" s="106"/>
      <c r="C32" s="106"/>
      <c r="D32" s="32"/>
      <c r="E32" s="34"/>
      <c r="F32" s="35"/>
      <c r="G32" s="35"/>
      <c r="H32" s="34"/>
      <c r="I32" s="34"/>
    </row>
    <row r="33" spans="1:9" ht="24.95" customHeight="1" x14ac:dyDescent="0.25">
      <c r="A33" s="34"/>
      <c r="B33" s="106"/>
      <c r="C33" s="106"/>
      <c r="D33" s="32"/>
      <c r="E33" s="34"/>
      <c r="F33" s="35"/>
      <c r="G33" s="35"/>
      <c r="H33" s="34"/>
      <c r="I33" s="34"/>
    </row>
    <row r="34" spans="1:9" ht="24.95" customHeight="1" x14ac:dyDescent="0.25">
      <c r="A34" s="34"/>
      <c r="B34" s="106"/>
      <c r="C34" s="106"/>
      <c r="D34" s="32"/>
      <c r="E34" s="34"/>
      <c r="F34" s="35"/>
      <c r="G34" s="35"/>
      <c r="H34" s="34"/>
      <c r="I34" s="34"/>
    </row>
    <row r="35" spans="1:9" ht="24.95" customHeight="1" x14ac:dyDescent="0.25">
      <c r="A35" s="34"/>
      <c r="B35" s="106"/>
      <c r="C35" s="106"/>
      <c r="D35" s="32"/>
      <c r="E35" s="34"/>
      <c r="F35" s="35"/>
      <c r="G35" s="35"/>
      <c r="H35" s="34"/>
      <c r="I35" s="34"/>
    </row>
    <row r="36" spans="1:9" ht="24.95" customHeight="1" x14ac:dyDescent="0.25">
      <c r="A36" s="34"/>
      <c r="B36" s="106"/>
      <c r="C36" s="106"/>
      <c r="D36" s="32"/>
      <c r="E36" s="34"/>
      <c r="F36" s="35"/>
      <c r="G36" s="35"/>
      <c r="H36" s="34"/>
      <c r="I36" s="34"/>
    </row>
    <row r="37" spans="1:9" ht="24.95" customHeight="1" x14ac:dyDescent="0.25">
      <c r="A37" s="34"/>
      <c r="B37" s="106"/>
      <c r="C37" s="106"/>
      <c r="D37" s="32"/>
      <c r="E37" s="34"/>
      <c r="F37" s="35"/>
      <c r="G37" s="35"/>
      <c r="H37" s="34"/>
      <c r="I37" s="34"/>
    </row>
    <row r="38" spans="1:9" ht="24.95" customHeight="1" x14ac:dyDescent="0.25">
      <c r="A38" s="34"/>
      <c r="B38" s="106"/>
      <c r="C38" s="106"/>
      <c r="D38" s="32"/>
      <c r="E38" s="34"/>
      <c r="F38" s="35"/>
      <c r="G38" s="35"/>
      <c r="H38" s="34"/>
      <c r="I38" s="34"/>
    </row>
    <row r="39" spans="1:9" ht="24.95" customHeight="1" x14ac:dyDescent="0.25">
      <c r="A39" s="34"/>
      <c r="B39" s="106"/>
      <c r="C39" s="106"/>
      <c r="D39" s="32"/>
      <c r="E39" s="34"/>
      <c r="F39" s="35"/>
      <c r="G39" s="35"/>
      <c r="H39" s="34"/>
      <c r="I39" s="34"/>
    </row>
    <row r="40" spans="1:9" ht="24.95" customHeight="1" x14ac:dyDescent="0.25">
      <c r="A40" s="34"/>
      <c r="B40" s="106"/>
      <c r="C40" s="106"/>
      <c r="D40" s="32"/>
      <c r="E40" s="34"/>
      <c r="F40" s="35"/>
      <c r="G40" s="35"/>
      <c r="H40" s="34"/>
      <c r="I40" s="34"/>
    </row>
    <row r="41" spans="1:9" ht="24.95" customHeight="1" x14ac:dyDescent="0.25">
      <c r="A41" s="34"/>
      <c r="B41" s="106"/>
      <c r="C41" s="106"/>
      <c r="D41" s="32"/>
      <c r="E41" s="34"/>
      <c r="F41" s="35"/>
      <c r="G41" s="35"/>
      <c r="H41" s="34"/>
      <c r="I41" s="34"/>
    </row>
    <row r="42" spans="1:9" ht="24.95" customHeight="1" x14ac:dyDescent="0.25">
      <c r="A42" s="34"/>
      <c r="B42" s="106"/>
      <c r="C42" s="106"/>
      <c r="D42" s="32"/>
      <c r="E42" s="34"/>
      <c r="F42" s="35"/>
      <c r="G42" s="35"/>
      <c r="H42" s="34"/>
      <c r="I42" s="34"/>
    </row>
    <row r="43" spans="1:9" ht="24.95" customHeight="1" x14ac:dyDescent="0.25">
      <c r="A43" s="34"/>
      <c r="B43" s="106"/>
      <c r="C43" s="106"/>
      <c r="D43" s="32"/>
      <c r="E43" s="34"/>
      <c r="F43" s="35"/>
      <c r="G43" s="35"/>
      <c r="H43" s="34"/>
      <c r="I43" s="34"/>
    </row>
    <row r="44" spans="1:9" ht="24.95" customHeight="1" x14ac:dyDescent="0.25">
      <c r="A44" s="34"/>
      <c r="B44" s="106"/>
      <c r="C44" s="106"/>
      <c r="D44" s="32"/>
      <c r="E44" s="34"/>
      <c r="F44" s="35"/>
      <c r="G44" s="35"/>
      <c r="H44" s="34"/>
      <c r="I44" s="34"/>
    </row>
    <row r="45" spans="1:9" ht="24.95" customHeight="1" x14ac:dyDescent="0.25">
      <c r="A45" s="34"/>
      <c r="B45" s="106"/>
      <c r="C45" s="106"/>
      <c r="D45" s="32"/>
      <c r="E45" s="34"/>
      <c r="F45" s="35"/>
      <c r="G45" s="35"/>
      <c r="H45" s="34"/>
      <c r="I45" s="34"/>
    </row>
    <row r="46" spans="1:9" ht="24.95" customHeight="1" x14ac:dyDescent="0.25">
      <c r="A46" s="34"/>
      <c r="B46" s="106"/>
      <c r="C46" s="106"/>
      <c r="D46" s="32"/>
      <c r="E46" s="34"/>
      <c r="F46" s="35"/>
      <c r="G46" s="35"/>
      <c r="H46" s="34"/>
      <c r="I46" s="34"/>
    </row>
    <row r="47" spans="1:9" ht="24.95" customHeight="1" x14ac:dyDescent="0.25">
      <c r="A47" s="34"/>
      <c r="B47" s="106"/>
      <c r="C47" s="106"/>
      <c r="D47" s="32"/>
      <c r="E47" s="34"/>
      <c r="F47" s="35"/>
      <c r="G47" s="35"/>
      <c r="H47" s="34"/>
      <c r="I47" s="34"/>
    </row>
    <row r="48" spans="1:9" ht="24.95" customHeight="1" x14ac:dyDescent="0.25">
      <c r="A48" s="34"/>
      <c r="B48" s="106"/>
      <c r="C48" s="106"/>
      <c r="D48" s="32"/>
      <c r="E48" s="34"/>
      <c r="F48" s="35"/>
      <c r="G48" s="35"/>
      <c r="H48" s="34"/>
      <c r="I48" s="34"/>
    </row>
    <row r="49" spans="1:9" ht="24.95" customHeight="1" x14ac:dyDescent="0.25">
      <c r="A49" s="34"/>
      <c r="B49" s="106"/>
      <c r="C49" s="106"/>
      <c r="D49" s="32"/>
      <c r="E49" s="34"/>
      <c r="F49" s="35"/>
      <c r="G49" s="35"/>
      <c r="H49" s="34"/>
      <c r="I49" s="34"/>
    </row>
    <row r="50" spans="1:9" ht="24.95" customHeight="1" x14ac:dyDescent="0.25">
      <c r="A50" s="34"/>
      <c r="B50" s="106"/>
      <c r="C50" s="106"/>
      <c r="D50" s="32"/>
      <c r="E50" s="34"/>
      <c r="F50" s="35"/>
      <c r="G50" s="35"/>
      <c r="H50" s="34"/>
      <c r="I50" s="34"/>
    </row>
    <row r="51" spans="1:9" ht="24.95" customHeight="1" x14ac:dyDescent="0.25">
      <c r="A51" s="34"/>
      <c r="B51" s="106"/>
      <c r="C51" s="106"/>
      <c r="D51" s="32"/>
      <c r="E51" s="34"/>
      <c r="F51" s="35"/>
      <c r="G51" s="35"/>
      <c r="H51" s="34"/>
      <c r="I51" s="34"/>
    </row>
    <row r="52" spans="1:9" ht="24.95" customHeight="1" x14ac:dyDescent="0.25">
      <c r="A52" s="34"/>
      <c r="B52" s="106"/>
      <c r="C52" s="106"/>
      <c r="D52" s="32"/>
      <c r="E52" s="34"/>
      <c r="F52" s="35"/>
      <c r="G52" s="35"/>
      <c r="H52" s="34"/>
      <c r="I52" s="34"/>
    </row>
    <row r="53" spans="1:9" ht="24.95" customHeight="1" x14ac:dyDescent="0.25">
      <c r="A53" s="34"/>
      <c r="B53" s="106"/>
      <c r="C53" s="106"/>
      <c r="D53" s="32"/>
      <c r="E53" s="34"/>
      <c r="F53" s="35"/>
      <c r="G53" s="35"/>
      <c r="H53" s="34"/>
      <c r="I53" s="34"/>
    </row>
    <row r="54" spans="1:9" ht="24.95" customHeight="1" x14ac:dyDescent="0.25">
      <c r="A54" s="34"/>
      <c r="B54" s="106"/>
      <c r="C54" s="106"/>
      <c r="D54" s="32"/>
      <c r="E54" s="34"/>
      <c r="F54" s="35"/>
      <c r="G54" s="35"/>
      <c r="H54" s="34"/>
      <c r="I54" s="34"/>
    </row>
    <row r="55" spans="1:9" ht="24.95" customHeight="1" x14ac:dyDescent="0.25">
      <c r="A55" s="34"/>
      <c r="B55" s="106"/>
      <c r="C55" s="106"/>
      <c r="D55" s="32"/>
      <c r="E55" s="34"/>
      <c r="F55" s="35"/>
      <c r="G55" s="35"/>
      <c r="H55" s="34"/>
      <c r="I55" s="34"/>
    </row>
    <row r="56" spans="1:9" ht="24.95" customHeight="1" x14ac:dyDescent="0.25">
      <c r="A56" s="34"/>
      <c r="B56" s="106"/>
      <c r="C56" s="106"/>
      <c r="D56" s="32"/>
      <c r="E56" s="34"/>
      <c r="F56" s="35"/>
      <c r="G56" s="35"/>
      <c r="H56" s="34"/>
      <c r="I56" s="34"/>
    </row>
    <row r="57" spans="1:9" ht="24.95" customHeight="1" x14ac:dyDescent="0.25">
      <c r="A57" s="34"/>
      <c r="B57" s="106"/>
      <c r="C57" s="106"/>
      <c r="D57" s="32"/>
      <c r="E57" s="34"/>
      <c r="F57" s="35"/>
      <c r="G57" s="35"/>
      <c r="H57" s="34"/>
      <c r="I57" s="34"/>
    </row>
    <row r="58" spans="1:9" ht="24.95" customHeight="1" x14ac:dyDescent="0.25">
      <c r="A58" s="34"/>
      <c r="B58" s="106"/>
      <c r="C58" s="106"/>
      <c r="D58" s="32"/>
      <c r="E58" s="34"/>
      <c r="F58" s="35"/>
      <c r="G58" s="35"/>
      <c r="H58" s="34"/>
      <c r="I58" s="34"/>
    </row>
    <row r="59" spans="1:9" ht="24.95" customHeight="1" x14ac:dyDescent="0.25">
      <c r="A59" s="34"/>
      <c r="B59" s="106"/>
      <c r="C59" s="106"/>
      <c r="D59" s="32"/>
      <c r="E59" s="34"/>
      <c r="F59" s="35"/>
      <c r="G59" s="35"/>
      <c r="H59" s="34"/>
      <c r="I59" s="34"/>
    </row>
  </sheetData>
  <sheetProtection sheet="1" objects="1" scenarios="1"/>
  <mergeCells count="1">
    <mergeCell ref="A5:I5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15 строк&amp;RСтраница  &amp;P из &amp;N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44"/>
  <sheetViews>
    <sheetView workbookViewId="0"/>
  </sheetViews>
  <sheetFormatPr defaultRowHeight="15" x14ac:dyDescent="0.25"/>
  <cols>
    <col min="1" max="1" width="91.5703125" customWidth="1"/>
  </cols>
  <sheetData>
    <row r="1" spans="1:1" ht="42" x14ac:dyDescent="0.35">
      <c r="A1" s="12" t="s">
        <v>206</v>
      </c>
    </row>
    <row r="2" spans="1:1" x14ac:dyDescent="0.25">
      <c r="A2" s="7"/>
    </row>
    <row r="3" spans="1:1" x14ac:dyDescent="0.25">
      <c r="A3" s="8" t="s">
        <v>157</v>
      </c>
    </row>
    <row r="4" spans="1:1" ht="30" x14ac:dyDescent="0.25">
      <c r="A4" s="7" t="s">
        <v>207</v>
      </c>
    </row>
    <row r="5" spans="1:1" x14ac:dyDescent="0.25">
      <c r="A5" s="7" t="s">
        <v>164</v>
      </c>
    </row>
    <row r="6" spans="1:1" x14ac:dyDescent="0.25">
      <c r="A6" s="7" t="s">
        <v>158</v>
      </c>
    </row>
    <row r="7" spans="1:1" s="1" customFormat="1" x14ac:dyDescent="0.25">
      <c r="A7" s="7"/>
    </row>
    <row r="8" spans="1:1" s="1" customFormat="1" x14ac:dyDescent="0.25">
      <c r="A8" s="7" t="s">
        <v>159</v>
      </c>
    </row>
    <row r="9" spans="1:1" x14ac:dyDescent="0.25">
      <c r="A9" s="8" t="s">
        <v>77</v>
      </c>
    </row>
    <row r="10" spans="1:1" x14ac:dyDescent="0.25">
      <c r="A10" s="7" t="s">
        <v>160</v>
      </c>
    </row>
    <row r="11" spans="1:1" ht="30" x14ac:dyDescent="0.25">
      <c r="A11" s="7" t="s">
        <v>161</v>
      </c>
    </row>
    <row r="12" spans="1:1" x14ac:dyDescent="0.25">
      <c r="A12" s="7"/>
    </row>
    <row r="13" spans="1:1" ht="30" x14ac:dyDescent="0.25">
      <c r="A13" s="8" t="s">
        <v>162</v>
      </c>
    </row>
    <row r="14" spans="1:1" x14ac:dyDescent="0.25">
      <c r="A14" s="7"/>
    </row>
    <row r="15" spans="1:1" x14ac:dyDescent="0.25">
      <c r="A15" s="8" t="s">
        <v>78</v>
      </c>
    </row>
    <row r="16" spans="1:1" x14ac:dyDescent="0.25">
      <c r="A16" s="7" t="s">
        <v>79</v>
      </c>
    </row>
    <row r="17" spans="1:1" x14ac:dyDescent="0.25">
      <c r="A17" s="7" t="s">
        <v>80</v>
      </c>
    </row>
    <row r="18" spans="1:1" x14ac:dyDescent="0.25">
      <c r="A18" s="7" t="s">
        <v>163</v>
      </c>
    </row>
    <row r="19" spans="1:1" x14ac:dyDescent="0.25">
      <c r="A19" s="7" t="s">
        <v>81</v>
      </c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</sheetData>
  <pageMargins left="0.39370078740157483" right="0.39370078740157483" top="0.39370078740157483" bottom="0.39370078740157483" header="0" footer="0"/>
  <pageSetup paperSize="9" orientation="portrait" horizont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D49"/>
  <sheetViews>
    <sheetView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13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198</v>
      </c>
    </row>
    <row r="10" spans="1:4" x14ac:dyDescent="0.25">
      <c r="A10" s="7" t="s">
        <v>166</v>
      </c>
    </row>
    <row r="11" spans="1:4" x14ac:dyDescent="0.25">
      <c r="A11" s="8" t="s">
        <v>167</v>
      </c>
    </row>
    <row r="12" spans="1:4" ht="30" x14ac:dyDescent="0.25">
      <c r="A12" s="7" t="s">
        <v>179</v>
      </c>
    </row>
    <row r="13" spans="1:4" x14ac:dyDescent="0.25">
      <c r="A13" s="7" t="s">
        <v>169</v>
      </c>
    </row>
    <row r="14" spans="1:4" x14ac:dyDescent="0.25">
      <c r="A14" s="7" t="s">
        <v>168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60" x14ac:dyDescent="0.25">
      <c r="A17" s="7" t="s">
        <v>165</v>
      </c>
    </row>
    <row r="18" spans="1:1" x14ac:dyDescent="0.25">
      <c r="A18" s="7" t="s">
        <v>172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D49"/>
  <sheetViews>
    <sheetView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14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199</v>
      </c>
    </row>
    <row r="10" spans="1:4" ht="30" x14ac:dyDescent="0.25">
      <c r="A10" s="81" t="s">
        <v>180</v>
      </c>
    </row>
    <row r="11" spans="1:4" ht="30" x14ac:dyDescent="0.25">
      <c r="A11" s="7" t="s">
        <v>181</v>
      </c>
    </row>
    <row r="12" spans="1:4" x14ac:dyDescent="0.25">
      <c r="A12" s="7" t="s">
        <v>171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60" x14ac:dyDescent="0.25">
      <c r="A17" s="7" t="s">
        <v>165</v>
      </c>
    </row>
    <row r="18" spans="1:1" ht="30" x14ac:dyDescent="0.25">
      <c r="A18" s="7" t="s">
        <v>197</v>
      </c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D52"/>
  <sheetViews>
    <sheetView view="pageBreakPreview" topLeftCell="A4" zoomScale="115" zoomScaleSheetLayoutView="115" workbookViewId="0">
      <selection activeCell="A14" sqref="A14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15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ht="30" x14ac:dyDescent="0.25">
      <c r="A9" s="7" t="s">
        <v>200</v>
      </c>
    </row>
    <row r="10" spans="1:4" ht="45" x14ac:dyDescent="0.25">
      <c r="A10" s="7" t="s">
        <v>182</v>
      </c>
    </row>
    <row r="11" spans="1:4" ht="30" x14ac:dyDescent="0.25">
      <c r="A11" s="7" t="s">
        <v>205</v>
      </c>
    </row>
    <row r="12" spans="1:4" x14ac:dyDescent="0.25">
      <c r="A12" s="1" t="s">
        <v>175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36" customHeight="1" x14ac:dyDescent="0.25">
      <c r="A17" s="82" t="s">
        <v>165</v>
      </c>
    </row>
    <row r="18" spans="1:1" ht="24.75" x14ac:dyDescent="0.25">
      <c r="A18" s="82" t="s">
        <v>197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D49"/>
  <sheetViews>
    <sheetView view="pageBreakPreview" zoomScaleSheetLayoutView="100"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18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203</v>
      </c>
    </row>
    <row r="10" spans="1:4" ht="45" x14ac:dyDescent="0.25">
      <c r="A10" s="7" t="s">
        <v>182</v>
      </c>
    </row>
    <row r="11" spans="1:4" ht="30" x14ac:dyDescent="0.25">
      <c r="A11" s="7" t="s">
        <v>205</v>
      </c>
    </row>
    <row r="12" spans="1:4" x14ac:dyDescent="0.25">
      <c r="A12" s="1" t="s">
        <v>175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36" customHeight="1" x14ac:dyDescent="0.25">
      <c r="A17" s="82" t="s">
        <v>165</v>
      </c>
    </row>
    <row r="18" spans="1:1" ht="24.75" x14ac:dyDescent="0.25">
      <c r="A18" s="82" t="s">
        <v>197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D47"/>
  <sheetViews>
    <sheetView view="pageBreakPreview" zoomScaleSheetLayoutView="100"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 t="s">
        <v>178</v>
      </c>
      <c r="C1" s="2" t="s">
        <v>48</v>
      </c>
      <c r="D1" s="2">
        <v>19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ht="30" x14ac:dyDescent="0.25">
      <c r="A9" s="7" t="s">
        <v>201</v>
      </c>
    </row>
    <row r="10" spans="1:4" x14ac:dyDescent="0.25">
      <c r="A10" s="81" t="s">
        <v>185</v>
      </c>
    </row>
    <row r="11" spans="1:4" ht="30" x14ac:dyDescent="0.25">
      <c r="A11" s="7" t="s">
        <v>189</v>
      </c>
    </row>
    <row r="12" spans="1:4" x14ac:dyDescent="0.25">
      <c r="A12" s="81" t="s">
        <v>184</v>
      </c>
    </row>
    <row r="13" spans="1:4" x14ac:dyDescent="0.25">
      <c r="A13" s="7" t="s">
        <v>174</v>
      </c>
    </row>
    <row r="14" spans="1:4" x14ac:dyDescent="0.25">
      <c r="A14" s="7" t="s">
        <v>177</v>
      </c>
    </row>
    <row r="15" spans="1:4" ht="84.75" customHeight="1" x14ac:dyDescent="0.35">
      <c r="A15" s="83" t="s">
        <v>188</v>
      </c>
    </row>
    <row r="16" spans="1:4" ht="30" x14ac:dyDescent="0.25">
      <c r="A16" s="7" t="s">
        <v>183</v>
      </c>
    </row>
    <row r="18" spans="1:1" x14ac:dyDescent="0.25">
      <c r="A18" s="7"/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D49"/>
  <sheetViews>
    <sheetView view="pageBreakPreview" zoomScaleSheetLayoutView="100"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23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202</v>
      </c>
    </row>
    <row r="10" spans="1:4" ht="30" x14ac:dyDescent="0.25">
      <c r="A10" s="81" t="s">
        <v>180</v>
      </c>
    </row>
    <row r="11" spans="1:4" ht="30" x14ac:dyDescent="0.25">
      <c r="A11" s="7" t="s">
        <v>181</v>
      </c>
    </row>
    <row r="12" spans="1:4" x14ac:dyDescent="0.25">
      <c r="A12" s="7" t="s">
        <v>171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60" x14ac:dyDescent="0.25">
      <c r="A17" s="7" t="s">
        <v>165</v>
      </c>
    </row>
    <row r="18" spans="1:1" ht="30" x14ac:dyDescent="0.25">
      <c r="A18" s="7" t="s">
        <v>190</v>
      </c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D52"/>
  <sheetViews>
    <sheetView view="pageBreakPreview" zoomScaleSheetLayoutView="100"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24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ht="30" x14ac:dyDescent="0.25">
      <c r="A9" s="7" t="s">
        <v>200</v>
      </c>
    </row>
    <row r="10" spans="1:4" ht="45" x14ac:dyDescent="0.25">
      <c r="A10" s="7" t="s">
        <v>182</v>
      </c>
    </row>
    <row r="11" spans="1:4" ht="30" x14ac:dyDescent="0.25">
      <c r="A11" s="7" t="s">
        <v>205</v>
      </c>
    </row>
    <row r="12" spans="1:4" x14ac:dyDescent="0.25">
      <c r="A12" s="1" t="s">
        <v>175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36" customHeight="1" x14ac:dyDescent="0.25">
      <c r="A17" s="82" t="s">
        <v>165</v>
      </c>
    </row>
    <row r="18" spans="1:1" ht="30" x14ac:dyDescent="0.25">
      <c r="A18" s="7" t="s">
        <v>190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ht="23.25" x14ac:dyDescent="0.35">
      <c r="A44" s="84" t="s">
        <v>191</v>
      </c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D49"/>
  <sheetViews>
    <sheetView view="pageBreakPreview" zoomScaleSheetLayoutView="100" workbookViewId="0">
      <selection activeCell="A16" sqref="A16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25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ht="29.25" customHeight="1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203</v>
      </c>
    </row>
    <row r="10" spans="1:4" ht="45" x14ac:dyDescent="0.25">
      <c r="A10" s="7" t="s">
        <v>182</v>
      </c>
    </row>
    <row r="11" spans="1:4" ht="30" x14ac:dyDescent="0.25">
      <c r="A11" s="7" t="s">
        <v>205</v>
      </c>
    </row>
    <row r="12" spans="1:4" x14ac:dyDescent="0.25">
      <c r="A12" s="1" t="s">
        <v>175</v>
      </c>
    </row>
    <row r="13" spans="1:4" x14ac:dyDescent="0.25">
      <c r="A13" s="7" t="s">
        <v>174</v>
      </c>
    </row>
    <row r="14" spans="1:4" ht="30" x14ac:dyDescent="0.25">
      <c r="A14" s="7" t="s">
        <v>84</v>
      </c>
    </row>
    <row r="15" spans="1:4" x14ac:dyDescent="0.25">
      <c r="A15" s="7" t="s">
        <v>176</v>
      </c>
    </row>
    <row r="16" spans="1:4" x14ac:dyDescent="0.25">
      <c r="A16" s="7" t="s">
        <v>173</v>
      </c>
    </row>
    <row r="17" spans="1:1" ht="36" customHeight="1" x14ac:dyDescent="0.25">
      <c r="A17" s="82" t="s">
        <v>165</v>
      </c>
    </row>
    <row r="18" spans="1:1" ht="30" x14ac:dyDescent="0.25">
      <c r="A18" s="7" t="s">
        <v>190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N89"/>
  <sheetViews>
    <sheetView view="pageBreakPreview" zoomScale="70" zoomScaleSheetLayoutView="70" workbookViewId="0">
      <selection activeCell="C1" sqref="C1"/>
    </sheetView>
  </sheetViews>
  <sheetFormatPr defaultRowHeight="15" x14ac:dyDescent="0.25"/>
  <cols>
    <col min="1" max="2" width="5.7109375" customWidth="1"/>
    <col min="3" max="3" width="12.42578125" customWidth="1"/>
    <col min="4" max="4" width="20.7109375" customWidth="1"/>
    <col min="5" max="5" width="12.7109375" customWidth="1"/>
    <col min="6" max="6" width="20.7109375" customWidth="1"/>
    <col min="7" max="7" width="18.7109375" style="1" customWidth="1"/>
    <col min="8" max="8" width="16.7109375" customWidth="1"/>
    <col min="9" max="9" width="12.7109375" customWidth="1"/>
    <col min="10" max="10" width="20.7109375" customWidth="1"/>
    <col min="11" max="11" width="18.7109375" style="1" customWidth="1"/>
    <col min="12" max="13" width="12.7109375" customWidth="1"/>
    <col min="14" max="14" width="9.140625" customWidth="1"/>
  </cols>
  <sheetData>
    <row r="1" spans="1:14" s="1" customFormat="1" ht="50.1" customHeight="1" x14ac:dyDescent="0.25">
      <c r="A1" s="75" t="str">
        <f>"Заявки на участие в "&amp;название</f>
        <v>Заявки на участие в Ралли "Смоленск - 2019"</v>
      </c>
      <c r="B1" s="21"/>
      <c r="C1" s="21"/>
      <c r="D1" s="76"/>
      <c r="E1" s="77"/>
      <c r="F1" s="77"/>
      <c r="G1" s="77"/>
      <c r="H1" s="77"/>
      <c r="I1" s="77"/>
      <c r="J1" s="77"/>
      <c r="K1" s="85"/>
      <c r="L1" s="78"/>
      <c r="M1" s="78"/>
    </row>
    <row r="2" spans="1:14" ht="91.5" customHeight="1" x14ac:dyDescent="0.25">
      <c r="A2" s="406" t="s">
        <v>623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1"/>
    </row>
    <row r="3" spans="1:14" s="1" customFormat="1" hidden="1" x14ac:dyDescent="0.25"/>
    <row r="4" spans="1:14" s="1" customFormat="1" hidden="1" x14ac:dyDescent="0.25"/>
    <row r="5" spans="1:14" s="1" customFormat="1" hidden="1" x14ac:dyDescent="0.25"/>
    <row r="6" spans="1:14" s="1" customFormat="1" hidden="1" x14ac:dyDescent="0.25"/>
    <row r="7" spans="1:14" s="1" customFormat="1" hidden="1" x14ac:dyDescent="0.25"/>
    <row r="8" spans="1:14" s="1" customFormat="1" hidden="1" x14ac:dyDescent="0.25"/>
    <row r="9" spans="1:14" ht="30" customHeight="1" x14ac:dyDescent="0.25">
      <c r="A9" s="157" t="s">
        <v>43</v>
      </c>
      <c r="B9" s="158" t="s">
        <v>44</v>
      </c>
      <c r="C9" s="158" t="s">
        <v>311</v>
      </c>
      <c r="D9" s="158" t="s">
        <v>42</v>
      </c>
      <c r="E9" s="158" t="s">
        <v>25</v>
      </c>
      <c r="F9" s="158" t="s">
        <v>621</v>
      </c>
      <c r="G9" s="158" t="s">
        <v>8</v>
      </c>
      <c r="H9" s="158" t="s">
        <v>24</v>
      </c>
      <c r="I9" s="158" t="s">
        <v>37</v>
      </c>
      <c r="J9" s="158" t="s">
        <v>622</v>
      </c>
      <c r="K9" s="158" t="s">
        <v>286</v>
      </c>
      <c r="L9" s="158" t="s">
        <v>287</v>
      </c>
      <c r="M9" s="159" t="s">
        <v>288</v>
      </c>
      <c r="N9" s="156" t="s">
        <v>289</v>
      </c>
    </row>
    <row r="10" spans="1:14" ht="24" customHeight="1" x14ac:dyDescent="0.25">
      <c r="A10" s="160">
        <v>1</v>
      </c>
      <c r="B10" s="373" t="s">
        <v>629</v>
      </c>
      <c r="C10" s="161" t="s">
        <v>550</v>
      </c>
      <c r="D10" s="162" t="s">
        <v>619</v>
      </c>
      <c r="E10" s="161" t="s">
        <v>620</v>
      </c>
      <c r="F10" s="162" t="s">
        <v>121</v>
      </c>
      <c r="G10" s="162"/>
      <c r="H10" s="163">
        <v>89261355716</v>
      </c>
      <c r="I10" s="162" t="s">
        <v>208</v>
      </c>
      <c r="J10" s="162" t="s">
        <v>214</v>
      </c>
      <c r="K10" s="162"/>
      <c r="L10" s="163" t="s">
        <v>675</v>
      </c>
      <c r="M10" s="164" t="s">
        <v>208</v>
      </c>
      <c r="N10" s="15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1" spans="1:14" ht="24" customHeight="1" x14ac:dyDescent="0.25">
      <c r="A11" s="160">
        <f>1+A10</f>
        <v>2</v>
      </c>
      <c r="B11" s="373">
        <v>1</v>
      </c>
      <c r="C11" s="161" t="s">
        <v>549</v>
      </c>
      <c r="D11" s="162" t="s">
        <v>551</v>
      </c>
      <c r="E11" s="161" t="s">
        <v>552</v>
      </c>
      <c r="F11" s="162" t="s">
        <v>568</v>
      </c>
      <c r="G11" s="162"/>
      <c r="H11" s="163">
        <v>79299899737</v>
      </c>
      <c r="I11" s="162" t="s">
        <v>208</v>
      </c>
      <c r="J11" s="162" t="s">
        <v>577</v>
      </c>
      <c r="K11" s="162"/>
      <c r="L11" s="163">
        <v>79099060900</v>
      </c>
      <c r="M11" s="164" t="s">
        <v>208</v>
      </c>
      <c r="N11" s="15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2" spans="1:14" ht="24" customHeight="1" x14ac:dyDescent="0.25">
      <c r="A12" s="160">
        <f t="shared" ref="A12:A55" si="0">1+A11</f>
        <v>3</v>
      </c>
      <c r="B12" s="373">
        <v>2</v>
      </c>
      <c r="C12" s="161" t="s">
        <v>549</v>
      </c>
      <c r="D12" s="162" t="s">
        <v>553</v>
      </c>
      <c r="E12" s="161" t="s">
        <v>554</v>
      </c>
      <c r="F12" s="162" t="s">
        <v>569</v>
      </c>
      <c r="G12" s="162"/>
      <c r="H12" s="163">
        <v>89107245660</v>
      </c>
      <c r="I12" s="162" t="s">
        <v>6</v>
      </c>
      <c r="J12" s="162" t="s">
        <v>578</v>
      </c>
      <c r="K12" s="162"/>
      <c r="L12" s="163">
        <v>89107272777</v>
      </c>
      <c r="M12" s="164" t="s">
        <v>6</v>
      </c>
      <c r="N12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3" spans="1:14" ht="24" customHeight="1" x14ac:dyDescent="0.25">
      <c r="A13" s="160">
        <f t="shared" si="0"/>
        <v>4</v>
      </c>
      <c r="B13" s="373">
        <v>3</v>
      </c>
      <c r="C13" s="161" t="s">
        <v>549</v>
      </c>
      <c r="D13" s="162" t="s">
        <v>555</v>
      </c>
      <c r="E13" s="161" t="s">
        <v>209</v>
      </c>
      <c r="F13" s="162" t="s">
        <v>210</v>
      </c>
      <c r="G13" s="162"/>
      <c r="H13" s="163" t="s">
        <v>211</v>
      </c>
      <c r="I13" s="162" t="s">
        <v>74</v>
      </c>
      <c r="J13" s="162" t="s">
        <v>212</v>
      </c>
      <c r="K13" s="162"/>
      <c r="L13" s="163" t="s">
        <v>213</v>
      </c>
      <c r="M13" s="164" t="s">
        <v>6</v>
      </c>
      <c r="N13" s="154" t="str">
        <f>IF(заявки[[#This Row],[Город]]=заявки[[#This Row],[Город ]],заявки[[#This Row],[Город]],заявки[[#This Row],[Город]]&amp;" / "&amp;заявки[[#This Row],[Город ]])</f>
        <v>Ярцево / Смоленск</v>
      </c>
    </row>
    <row r="14" spans="1:14" ht="24" customHeight="1" x14ac:dyDescent="0.25">
      <c r="A14" s="160">
        <f t="shared" si="0"/>
        <v>5</v>
      </c>
      <c r="B14" s="373">
        <v>4</v>
      </c>
      <c r="C14" s="161" t="s">
        <v>549</v>
      </c>
      <c r="D14" s="162" t="s">
        <v>558</v>
      </c>
      <c r="E14" s="161" t="s">
        <v>559</v>
      </c>
      <c r="F14" s="162" t="s">
        <v>571</v>
      </c>
      <c r="G14" s="162"/>
      <c r="H14" s="163" t="s">
        <v>576</v>
      </c>
      <c r="I14" s="162" t="s">
        <v>208</v>
      </c>
      <c r="J14" s="162" t="s">
        <v>581</v>
      </c>
      <c r="K14" s="162"/>
      <c r="L14" s="163">
        <v>89104046103</v>
      </c>
      <c r="M14" s="164" t="s">
        <v>208</v>
      </c>
      <c r="N14" s="15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5" spans="1:14" ht="24" customHeight="1" x14ac:dyDescent="0.25">
      <c r="A15" s="160">
        <f t="shared" si="0"/>
        <v>6</v>
      </c>
      <c r="B15" s="373">
        <v>5</v>
      </c>
      <c r="C15" s="161" t="s">
        <v>549</v>
      </c>
      <c r="D15" s="162" t="s">
        <v>562</v>
      </c>
      <c r="E15" s="161" t="s">
        <v>563</v>
      </c>
      <c r="F15" s="162" t="s">
        <v>573</v>
      </c>
      <c r="G15" s="162"/>
      <c r="H15" s="163">
        <v>79103535492</v>
      </c>
      <c r="I15" s="162" t="s">
        <v>584</v>
      </c>
      <c r="J15" s="162" t="s">
        <v>585</v>
      </c>
      <c r="K15" s="162"/>
      <c r="L15" s="163">
        <v>79263957575</v>
      </c>
      <c r="M15" s="164" t="s">
        <v>208</v>
      </c>
      <c r="N15" s="154" t="str">
        <f>IF(заявки[[#This Row],[Город]]=заявки[[#This Row],[Город ]],заявки[[#This Row],[Город]],заявки[[#This Row],[Город]]&amp;" / "&amp;заявки[[#This Row],[Город ]])</f>
        <v>Елец / Москва</v>
      </c>
    </row>
    <row r="16" spans="1:14" ht="24" customHeight="1" x14ac:dyDescent="0.25">
      <c r="A16" s="160">
        <f t="shared" si="0"/>
        <v>7</v>
      </c>
      <c r="B16" s="373">
        <v>6</v>
      </c>
      <c r="C16" s="161" t="s">
        <v>549</v>
      </c>
      <c r="D16" s="162" t="s">
        <v>564</v>
      </c>
      <c r="E16" s="161" t="s">
        <v>565</v>
      </c>
      <c r="F16" s="162" t="s">
        <v>574</v>
      </c>
      <c r="G16" s="162"/>
      <c r="H16" s="163">
        <v>89265192222</v>
      </c>
      <c r="I16" s="162" t="s">
        <v>208</v>
      </c>
      <c r="J16" s="162" t="s">
        <v>586</v>
      </c>
      <c r="K16" s="162"/>
      <c r="L16" s="163">
        <v>89265192222</v>
      </c>
      <c r="M16" s="164" t="s">
        <v>208</v>
      </c>
      <c r="N16" s="15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7" spans="1:14" ht="24" customHeight="1" x14ac:dyDescent="0.25">
      <c r="A17" s="160">
        <f t="shared" si="0"/>
        <v>8</v>
      </c>
      <c r="B17" s="373">
        <v>7</v>
      </c>
      <c r="C17" s="161" t="s">
        <v>549</v>
      </c>
      <c r="D17" s="162" t="s">
        <v>566</v>
      </c>
      <c r="E17" s="161" t="s">
        <v>567</v>
      </c>
      <c r="F17" s="162" t="s">
        <v>575</v>
      </c>
      <c r="G17" s="162"/>
      <c r="H17" s="163">
        <v>79168228053</v>
      </c>
      <c r="I17" s="162" t="s">
        <v>208</v>
      </c>
      <c r="J17" s="162" t="s">
        <v>587</v>
      </c>
      <c r="K17" s="162"/>
      <c r="L17" s="163">
        <v>79108740224</v>
      </c>
      <c r="M17" s="164" t="s">
        <v>589</v>
      </c>
      <c r="N17" s="154" t="str">
        <f>IF(заявки[[#This Row],[Город]]=заявки[[#This Row],[Город ]],заявки[[#This Row],[Город]],заявки[[#This Row],[Город]]&amp;" / "&amp;заявки[[#This Row],[Город ]])</f>
        <v>Москва / Нижний Новгород</v>
      </c>
    </row>
    <row r="18" spans="1:14" ht="24" customHeight="1" x14ac:dyDescent="0.25">
      <c r="A18" s="160">
        <f t="shared" si="0"/>
        <v>9</v>
      </c>
      <c r="B18" s="373">
        <v>8</v>
      </c>
      <c r="C18" s="161" t="s">
        <v>642</v>
      </c>
      <c r="D18" s="162" t="s">
        <v>608</v>
      </c>
      <c r="E18" s="161" t="s">
        <v>609</v>
      </c>
      <c r="F18" s="162" t="s">
        <v>230</v>
      </c>
      <c r="G18" s="162"/>
      <c r="H18" s="163">
        <v>79031835426</v>
      </c>
      <c r="I18" s="162" t="s">
        <v>6</v>
      </c>
      <c r="J18" s="162" t="s">
        <v>229</v>
      </c>
      <c r="K18" s="162"/>
      <c r="L18" s="163">
        <v>79629559322</v>
      </c>
      <c r="M18" s="164" t="s">
        <v>6</v>
      </c>
      <c r="N18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9" spans="1:14" ht="24" customHeight="1" x14ac:dyDescent="0.25">
      <c r="A19" s="160">
        <f t="shared" si="0"/>
        <v>10</v>
      </c>
      <c r="B19" s="373">
        <v>9</v>
      </c>
      <c r="C19" s="161" t="s">
        <v>643</v>
      </c>
      <c r="D19" s="162" t="s">
        <v>644</v>
      </c>
      <c r="E19" s="161" t="s">
        <v>645</v>
      </c>
      <c r="F19" s="162" t="s">
        <v>646</v>
      </c>
      <c r="G19" s="162"/>
      <c r="H19" s="163">
        <v>89525372222</v>
      </c>
      <c r="I19" s="162" t="s">
        <v>6</v>
      </c>
      <c r="J19" s="162" t="s">
        <v>647</v>
      </c>
      <c r="K19" s="162"/>
      <c r="L19" s="163">
        <v>89525372222</v>
      </c>
      <c r="M19" s="164" t="s">
        <v>6</v>
      </c>
      <c r="N19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0" spans="1:14" ht="24" customHeight="1" x14ac:dyDescent="0.25">
      <c r="A20" s="160">
        <f t="shared" si="0"/>
        <v>11</v>
      </c>
      <c r="B20" s="373">
        <v>10</v>
      </c>
      <c r="C20" s="161" t="s">
        <v>643</v>
      </c>
      <c r="D20" s="162" t="s">
        <v>590</v>
      </c>
      <c r="E20" s="161" t="s">
        <v>591</v>
      </c>
      <c r="F20" s="162" t="s">
        <v>592</v>
      </c>
      <c r="G20" s="162"/>
      <c r="H20" s="163" t="s">
        <v>610</v>
      </c>
      <c r="I20" s="162" t="s">
        <v>611</v>
      </c>
      <c r="J20" s="162" t="s">
        <v>613</v>
      </c>
      <c r="K20" s="162"/>
      <c r="L20" s="163" t="s">
        <v>614</v>
      </c>
      <c r="M20" s="164" t="s">
        <v>611</v>
      </c>
      <c r="N20" s="154" t="str">
        <f>IF(заявки[[#This Row],[Город]]=заявки[[#This Row],[Город ]],заявки[[#This Row],[Город]],заявки[[#This Row],[Город]]&amp;" / "&amp;заявки[[#This Row],[Город ]])</f>
        <v>Минск</v>
      </c>
    </row>
    <row r="21" spans="1:14" ht="24" customHeight="1" x14ac:dyDescent="0.25">
      <c r="A21" s="160">
        <f t="shared" si="0"/>
        <v>12</v>
      </c>
      <c r="B21" s="373">
        <v>11</v>
      </c>
      <c r="C21" s="161" t="s">
        <v>643</v>
      </c>
      <c r="D21" s="162" t="s">
        <v>593</v>
      </c>
      <c r="E21" s="161" t="s">
        <v>594</v>
      </c>
      <c r="F21" s="162" t="s">
        <v>595</v>
      </c>
      <c r="G21" s="162"/>
      <c r="H21" s="163">
        <v>79153170530</v>
      </c>
      <c r="I21" s="162" t="s">
        <v>208</v>
      </c>
      <c r="J21" s="162" t="s">
        <v>615</v>
      </c>
      <c r="K21" s="162"/>
      <c r="L21" s="163">
        <v>79152792511</v>
      </c>
      <c r="M21" s="164" t="s">
        <v>208</v>
      </c>
      <c r="N21" s="15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22" spans="1:14" ht="24" customHeight="1" x14ac:dyDescent="0.25">
      <c r="A22" s="160">
        <f t="shared" si="0"/>
        <v>13</v>
      </c>
      <c r="B22" s="373">
        <v>12</v>
      </c>
      <c r="C22" s="161" t="s">
        <v>643</v>
      </c>
      <c r="D22" s="162" t="s">
        <v>120</v>
      </c>
      <c r="E22" s="161" t="s">
        <v>598</v>
      </c>
      <c r="F22" s="162" t="s">
        <v>599</v>
      </c>
      <c r="G22" s="162"/>
      <c r="H22" s="163">
        <v>89107896770</v>
      </c>
      <c r="I22" s="162" t="s">
        <v>6</v>
      </c>
      <c r="J22" s="162" t="s">
        <v>616</v>
      </c>
      <c r="K22" s="162"/>
      <c r="L22" s="163">
        <v>89605812201</v>
      </c>
      <c r="M22" s="164" t="s">
        <v>6</v>
      </c>
      <c r="N22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3" spans="1:14" ht="24" customHeight="1" x14ac:dyDescent="0.25">
      <c r="A23" s="160">
        <f t="shared" si="0"/>
        <v>14</v>
      </c>
      <c r="B23" s="373">
        <v>13</v>
      </c>
      <c r="C23" s="161" t="s">
        <v>643</v>
      </c>
      <c r="D23" s="162" t="s">
        <v>601</v>
      </c>
      <c r="E23" s="161" t="s">
        <v>602</v>
      </c>
      <c r="F23" s="162" t="s">
        <v>603</v>
      </c>
      <c r="G23" s="162"/>
      <c r="H23" s="163">
        <v>79517174587</v>
      </c>
      <c r="I23" s="162" t="s">
        <v>612</v>
      </c>
      <c r="J23" s="162" t="s">
        <v>617</v>
      </c>
      <c r="K23" s="162"/>
      <c r="L23" s="163">
        <v>79999771067</v>
      </c>
      <c r="M23" s="164" t="s">
        <v>612</v>
      </c>
      <c r="N23" s="154" t="str">
        <f>IF(заявки[[#This Row],[Город]]=заявки[[#This Row],[Город ]],заявки[[#This Row],[Город]],заявки[[#This Row],[Город]]&amp;" / "&amp;заявки[[#This Row],[Город ]])</f>
        <v>Дорогобуж</v>
      </c>
    </row>
    <row r="24" spans="1:14" ht="24" customHeight="1" x14ac:dyDescent="0.25">
      <c r="A24" s="160">
        <f t="shared" si="0"/>
        <v>15</v>
      </c>
      <c r="B24" s="373">
        <v>14</v>
      </c>
      <c r="C24" s="161" t="s">
        <v>643</v>
      </c>
      <c r="D24" s="162" t="s">
        <v>604</v>
      </c>
      <c r="E24" s="161" t="s">
        <v>605</v>
      </c>
      <c r="F24" s="162" t="s">
        <v>606</v>
      </c>
      <c r="G24" s="162"/>
      <c r="H24" s="163">
        <v>79107886967</v>
      </c>
      <c r="I24" s="162" t="s">
        <v>6</v>
      </c>
      <c r="J24" s="162" t="s">
        <v>618</v>
      </c>
      <c r="K24" s="162"/>
      <c r="L24" s="163">
        <v>79107886967</v>
      </c>
      <c r="M24" s="164" t="s">
        <v>6</v>
      </c>
      <c r="N24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5" spans="1:14" ht="24" customHeight="1" x14ac:dyDescent="0.25">
      <c r="A25" s="160">
        <f t="shared" si="0"/>
        <v>16</v>
      </c>
      <c r="B25" s="373">
        <v>15</v>
      </c>
      <c r="C25" s="161" t="s">
        <v>643</v>
      </c>
      <c r="D25" s="162" t="s">
        <v>119</v>
      </c>
      <c r="E25" s="161" t="s">
        <v>225</v>
      </c>
      <c r="F25" s="162" t="s">
        <v>86</v>
      </c>
      <c r="G25" s="162"/>
      <c r="H25" s="163">
        <v>79156573067</v>
      </c>
      <c r="I25" s="162" t="s">
        <v>6</v>
      </c>
      <c r="J25" s="162" t="s">
        <v>588</v>
      </c>
      <c r="K25" s="162"/>
      <c r="L25" s="163">
        <v>79156573067</v>
      </c>
      <c r="M25" s="164" t="s">
        <v>6</v>
      </c>
      <c r="N25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6" spans="1:14" ht="24" customHeight="1" x14ac:dyDescent="0.25">
      <c r="A26" s="160">
        <f t="shared" si="0"/>
        <v>17</v>
      </c>
      <c r="B26" s="373">
        <v>16</v>
      </c>
      <c r="C26" s="161" t="s">
        <v>643</v>
      </c>
      <c r="D26" s="162" t="s">
        <v>648</v>
      </c>
      <c r="E26" s="161" t="s">
        <v>649</v>
      </c>
      <c r="F26" s="162" t="s">
        <v>650</v>
      </c>
      <c r="G26" s="162"/>
      <c r="H26" s="163">
        <v>79529995273</v>
      </c>
      <c r="I26" s="162" t="s">
        <v>6</v>
      </c>
      <c r="J26" s="162" t="s">
        <v>651</v>
      </c>
      <c r="K26" s="162"/>
      <c r="L26" s="163">
        <v>79107141321</v>
      </c>
      <c r="M26" s="164" t="s">
        <v>6</v>
      </c>
      <c r="N26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7" spans="1:14" ht="24" customHeight="1" x14ac:dyDescent="0.25">
      <c r="A27" s="160">
        <f t="shared" si="0"/>
        <v>18</v>
      </c>
      <c r="B27" s="373">
        <v>17</v>
      </c>
      <c r="C27" s="161" t="s">
        <v>643</v>
      </c>
      <c r="D27" s="162" t="s">
        <v>596</v>
      </c>
      <c r="E27" s="161" t="s">
        <v>597</v>
      </c>
      <c r="F27" s="162" t="s">
        <v>16</v>
      </c>
      <c r="G27" s="162"/>
      <c r="H27" s="163" t="s">
        <v>223</v>
      </c>
      <c r="I27" s="162" t="s">
        <v>6</v>
      </c>
      <c r="J27" s="162" t="s">
        <v>40</v>
      </c>
      <c r="K27" s="162"/>
      <c r="L27" s="163" t="s">
        <v>224</v>
      </c>
      <c r="M27" s="164" t="s">
        <v>74</v>
      </c>
      <c r="N27" s="154" t="str">
        <f>IF(заявки[[#This Row],[Город]]=заявки[[#This Row],[Город ]],заявки[[#This Row],[Город]],заявки[[#This Row],[Город]]&amp;" / "&amp;заявки[[#This Row],[Город ]])</f>
        <v>Смоленск / Ярцево</v>
      </c>
    </row>
    <row r="28" spans="1:14" ht="24" customHeight="1" x14ac:dyDescent="0.25">
      <c r="A28" s="160">
        <f t="shared" si="0"/>
        <v>19</v>
      </c>
      <c r="B28" s="373">
        <v>18</v>
      </c>
      <c r="C28" s="161" t="s">
        <v>643</v>
      </c>
      <c r="D28" s="162" t="s">
        <v>652</v>
      </c>
      <c r="E28" s="161" t="s">
        <v>653</v>
      </c>
      <c r="F28" s="162" t="s">
        <v>654</v>
      </c>
      <c r="G28" s="162"/>
      <c r="H28" s="163">
        <v>79051635365</v>
      </c>
      <c r="I28" s="162" t="s">
        <v>6</v>
      </c>
      <c r="J28" s="162" t="s">
        <v>655</v>
      </c>
      <c r="K28" s="162"/>
      <c r="L28" s="163">
        <v>79002200730</v>
      </c>
      <c r="M28" s="164" t="s">
        <v>6</v>
      </c>
      <c r="N28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9" spans="1:14" ht="24" customHeight="1" x14ac:dyDescent="0.25">
      <c r="A29" s="160">
        <f t="shared" si="0"/>
        <v>20</v>
      </c>
      <c r="B29" s="373">
        <v>19</v>
      </c>
      <c r="C29" s="161" t="s">
        <v>550</v>
      </c>
      <c r="D29" s="162" t="s">
        <v>220</v>
      </c>
      <c r="E29" s="161" t="s">
        <v>221</v>
      </c>
      <c r="F29" s="162" t="s">
        <v>222</v>
      </c>
      <c r="G29" s="162"/>
      <c r="H29" s="163">
        <v>89203359769</v>
      </c>
      <c r="I29" s="162" t="s">
        <v>6</v>
      </c>
      <c r="J29" s="162" t="s">
        <v>28</v>
      </c>
      <c r="K29" s="162"/>
      <c r="L29" s="163">
        <v>89164563558</v>
      </c>
      <c r="M29" s="164" t="s">
        <v>6</v>
      </c>
      <c r="N29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0" spans="1:14" s="1" customFormat="1" ht="24" customHeight="1" x14ac:dyDescent="0.25">
      <c r="A30" s="160">
        <f t="shared" si="0"/>
        <v>21</v>
      </c>
      <c r="B30" s="373">
        <v>20</v>
      </c>
      <c r="C30" s="161" t="s">
        <v>550</v>
      </c>
      <c r="D30" s="162" t="s">
        <v>556</v>
      </c>
      <c r="E30" s="161" t="s">
        <v>557</v>
      </c>
      <c r="F30" s="162" t="s">
        <v>570</v>
      </c>
      <c r="G30" s="162"/>
      <c r="H30" s="163">
        <v>79051141515</v>
      </c>
      <c r="I30" s="162" t="s">
        <v>579</v>
      </c>
      <c r="J30" s="162" t="s">
        <v>580</v>
      </c>
      <c r="K30" s="162"/>
      <c r="L30" s="163">
        <v>79030377777</v>
      </c>
      <c r="M30" s="164" t="s">
        <v>579</v>
      </c>
      <c r="N30" s="154" t="str">
        <f>IF(заявки[[#This Row],[Город]]=заявки[[#This Row],[Город ]],заявки[[#This Row],[Город]],заявки[[#This Row],[Город]]&amp;" / "&amp;заявки[[#This Row],[Город ]])</f>
        <v>Тула</v>
      </c>
    </row>
    <row r="31" spans="1:14" s="1" customFormat="1" ht="24" customHeight="1" x14ac:dyDescent="0.25">
      <c r="A31" s="160">
        <f t="shared" si="0"/>
        <v>22</v>
      </c>
      <c r="B31" s="373">
        <v>21</v>
      </c>
      <c r="C31" s="161" t="s">
        <v>550</v>
      </c>
      <c r="D31" s="162" t="s">
        <v>560</v>
      </c>
      <c r="E31" s="161" t="s">
        <v>561</v>
      </c>
      <c r="F31" s="162" t="s">
        <v>572</v>
      </c>
      <c r="G31" s="162"/>
      <c r="H31" s="163">
        <v>79266146808</v>
      </c>
      <c r="I31" s="162" t="s">
        <v>582</v>
      </c>
      <c r="J31" s="162" t="s">
        <v>583</v>
      </c>
      <c r="K31" s="162"/>
      <c r="L31" s="163">
        <v>79269089517</v>
      </c>
      <c r="M31" s="164" t="s">
        <v>582</v>
      </c>
      <c r="N31" s="154" t="str">
        <f>IF(заявки[[#This Row],[Город]]=заявки[[#This Row],[Город ]],заявки[[#This Row],[Город]],заявки[[#This Row],[Город]]&amp;" / "&amp;заявки[[#This Row],[Город ]])</f>
        <v>Новогорск</v>
      </c>
    </row>
    <row r="32" spans="1:14" s="1" customFormat="1" ht="24" customHeight="1" x14ac:dyDescent="0.25">
      <c r="A32" s="160">
        <f t="shared" si="0"/>
        <v>23</v>
      </c>
      <c r="B32" s="373">
        <v>22</v>
      </c>
      <c r="C32" s="161" t="s">
        <v>550</v>
      </c>
      <c r="D32" s="162" t="s">
        <v>656</v>
      </c>
      <c r="E32" s="161" t="s">
        <v>657</v>
      </c>
      <c r="F32" s="162" t="s">
        <v>658</v>
      </c>
      <c r="G32" s="162"/>
      <c r="H32" s="163" t="s">
        <v>659</v>
      </c>
      <c r="I32" s="162" t="s">
        <v>660</v>
      </c>
      <c r="J32" s="162" t="s">
        <v>661</v>
      </c>
      <c r="K32" s="162"/>
      <c r="L32" s="163" t="s">
        <v>676</v>
      </c>
      <c r="M32" s="164" t="s">
        <v>660</v>
      </c>
      <c r="N32" s="154" t="str">
        <f>IF(заявки[[#This Row],[Город]]=заявки[[#This Row],[Город ]],заявки[[#This Row],[Город]],заявки[[#This Row],[Город]]&amp;" / "&amp;заявки[[#This Row],[Город ]])</f>
        <v>гор. Смоленск</v>
      </c>
    </row>
    <row r="33" spans="1:14" s="1" customFormat="1" ht="24" customHeight="1" x14ac:dyDescent="0.25">
      <c r="A33" s="160">
        <f t="shared" si="0"/>
        <v>24</v>
      </c>
      <c r="B33" s="373">
        <v>23</v>
      </c>
      <c r="C33" s="161" t="s">
        <v>550</v>
      </c>
      <c r="D33" s="162" t="s">
        <v>662</v>
      </c>
      <c r="E33" s="161" t="s">
        <v>663</v>
      </c>
      <c r="F33" s="162" t="s">
        <v>664</v>
      </c>
      <c r="G33" s="162"/>
      <c r="H33" s="163">
        <v>89621988845</v>
      </c>
      <c r="I33" s="162" t="s">
        <v>6</v>
      </c>
      <c r="J33" s="162" t="s">
        <v>665</v>
      </c>
      <c r="K33" s="162"/>
      <c r="L33" s="163">
        <v>89043663333</v>
      </c>
      <c r="M33" s="164" t="s">
        <v>6</v>
      </c>
      <c r="N33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4" spans="1:14" s="1" customFormat="1" ht="24" customHeight="1" x14ac:dyDescent="0.25">
      <c r="A34" s="160">
        <f t="shared" si="0"/>
        <v>25</v>
      </c>
      <c r="B34" s="373">
        <v>24</v>
      </c>
      <c r="C34" s="161" t="s">
        <v>550</v>
      </c>
      <c r="D34" s="162" t="s">
        <v>666</v>
      </c>
      <c r="E34" s="161" t="s">
        <v>667</v>
      </c>
      <c r="F34" s="162" t="s">
        <v>668</v>
      </c>
      <c r="G34" s="162"/>
      <c r="H34" s="163" t="s">
        <v>669</v>
      </c>
      <c r="I34" s="162" t="s">
        <v>208</v>
      </c>
      <c r="J34" s="162" t="s">
        <v>670</v>
      </c>
      <c r="K34" s="162"/>
      <c r="L34" s="163" t="s">
        <v>677</v>
      </c>
      <c r="M34" s="164" t="s">
        <v>678</v>
      </c>
      <c r="N34" s="154" t="str">
        <f>IF(заявки[[#This Row],[Город]]=заявки[[#This Row],[Город ]],заявки[[#This Row],[Город]],заявки[[#This Row],[Город]]&amp;" / "&amp;заявки[[#This Row],[Город ]])</f>
        <v>Москва / Люберцы</v>
      </c>
    </row>
    <row r="35" spans="1:14" s="1" customFormat="1" ht="24" customHeight="1" x14ac:dyDescent="0.25">
      <c r="A35" s="160">
        <f t="shared" si="0"/>
        <v>26</v>
      </c>
      <c r="B35" s="373">
        <v>25</v>
      </c>
      <c r="C35" s="161" t="s">
        <v>642</v>
      </c>
      <c r="D35" s="162" t="s">
        <v>218</v>
      </c>
      <c r="E35" s="161" t="s">
        <v>219</v>
      </c>
      <c r="F35" s="162" t="s">
        <v>29</v>
      </c>
      <c r="G35" s="162"/>
      <c r="H35" s="163">
        <v>79107812983</v>
      </c>
      <c r="I35" s="162" t="s">
        <v>6</v>
      </c>
      <c r="J35" s="162" t="s">
        <v>30</v>
      </c>
      <c r="K35" s="162"/>
      <c r="L35" s="163">
        <v>79156341983</v>
      </c>
      <c r="M35" s="164" t="s">
        <v>6</v>
      </c>
      <c r="N35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6" spans="1:14" s="1" customFormat="1" ht="24" customHeight="1" x14ac:dyDescent="0.25">
      <c r="A36" s="160">
        <f t="shared" si="0"/>
        <v>27</v>
      </c>
      <c r="B36" s="373">
        <v>26</v>
      </c>
      <c r="C36" s="161" t="s">
        <v>642</v>
      </c>
      <c r="D36" s="162" t="s">
        <v>39</v>
      </c>
      <c r="E36" s="161" t="s">
        <v>600</v>
      </c>
      <c r="F36" s="162" t="s">
        <v>216</v>
      </c>
      <c r="G36" s="162"/>
      <c r="H36" s="163" t="s">
        <v>217</v>
      </c>
      <c r="I36" s="162" t="s">
        <v>6</v>
      </c>
      <c r="J36" s="162" t="s">
        <v>41</v>
      </c>
      <c r="K36" s="162"/>
      <c r="L36" s="163" t="s">
        <v>215</v>
      </c>
      <c r="M36" s="164" t="s">
        <v>6</v>
      </c>
      <c r="N36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7" spans="1:14" s="1" customFormat="1" ht="24" customHeight="1" x14ac:dyDescent="0.25">
      <c r="A37" s="160">
        <f t="shared" si="0"/>
        <v>28</v>
      </c>
      <c r="B37" s="373">
        <v>27</v>
      </c>
      <c r="C37" s="161" t="s">
        <v>642</v>
      </c>
      <c r="D37" s="162" t="s">
        <v>607</v>
      </c>
      <c r="E37" s="161" t="s">
        <v>226</v>
      </c>
      <c r="F37" s="162" t="s">
        <v>227</v>
      </c>
      <c r="G37" s="162"/>
      <c r="H37" s="163">
        <v>89516989898</v>
      </c>
      <c r="I37" s="162" t="s">
        <v>6</v>
      </c>
      <c r="J37" s="162" t="s">
        <v>228</v>
      </c>
      <c r="K37" s="162"/>
      <c r="L37" s="163">
        <v>89517009600</v>
      </c>
      <c r="M37" s="164" t="s">
        <v>6</v>
      </c>
      <c r="N37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8" spans="1:14" s="1" customFormat="1" ht="24" customHeight="1" x14ac:dyDescent="0.25">
      <c r="A38" s="160">
        <f t="shared" si="0"/>
        <v>29</v>
      </c>
      <c r="B38" s="373">
        <v>28</v>
      </c>
      <c r="C38" s="161" t="s">
        <v>642</v>
      </c>
      <c r="D38" s="162" t="s">
        <v>671</v>
      </c>
      <c r="E38" s="161" t="s">
        <v>672</v>
      </c>
      <c r="F38" s="162" t="s">
        <v>673</v>
      </c>
      <c r="G38" s="162"/>
      <c r="H38" s="163">
        <v>89036495577</v>
      </c>
      <c r="I38" s="162" t="s">
        <v>6</v>
      </c>
      <c r="J38" s="162" t="s">
        <v>674</v>
      </c>
      <c r="K38" s="162"/>
      <c r="L38" s="163">
        <v>89206617131</v>
      </c>
      <c r="M38" s="164" t="s">
        <v>6</v>
      </c>
      <c r="N38" s="15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9" spans="1:14" s="1" customFormat="1" ht="24" hidden="1" customHeight="1" x14ac:dyDescent="0.25">
      <c r="A39" s="160">
        <f t="shared" si="0"/>
        <v>30</v>
      </c>
      <c r="B39" s="373"/>
      <c r="C39" s="161"/>
      <c r="D39" s="162"/>
      <c r="E39" s="161"/>
      <c r="F39" s="162"/>
      <c r="G39" s="162"/>
      <c r="H39" s="163"/>
      <c r="I39" s="162"/>
      <c r="J39" s="162"/>
      <c r="K39" s="162"/>
      <c r="L39" s="163"/>
      <c r="M39" s="164"/>
      <c r="N39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0" spans="1:14" s="1" customFormat="1" ht="24" hidden="1" customHeight="1" x14ac:dyDescent="0.25">
      <c r="A40" s="160">
        <f t="shared" si="0"/>
        <v>31</v>
      </c>
      <c r="B40" s="373"/>
      <c r="C40" s="161"/>
      <c r="D40" s="162"/>
      <c r="E40" s="161"/>
      <c r="F40" s="162"/>
      <c r="G40" s="162"/>
      <c r="H40" s="163"/>
      <c r="I40" s="162"/>
      <c r="J40" s="162"/>
      <c r="K40" s="162"/>
      <c r="L40" s="163"/>
      <c r="M40" s="164"/>
      <c r="N40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1" spans="1:14" s="1" customFormat="1" ht="24" hidden="1" customHeight="1" x14ac:dyDescent="0.25">
      <c r="A41" s="160">
        <f t="shared" si="0"/>
        <v>32</v>
      </c>
      <c r="B41" s="373"/>
      <c r="C41" s="161"/>
      <c r="D41" s="162"/>
      <c r="E41" s="161"/>
      <c r="F41" s="162"/>
      <c r="G41" s="162"/>
      <c r="H41" s="163"/>
      <c r="I41" s="162"/>
      <c r="J41" s="162"/>
      <c r="K41" s="162"/>
      <c r="L41" s="163"/>
      <c r="M41" s="164"/>
      <c r="N41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2" spans="1:14" s="1" customFormat="1" ht="24" hidden="1" customHeight="1" x14ac:dyDescent="0.25">
      <c r="A42" s="160">
        <f t="shared" si="0"/>
        <v>33</v>
      </c>
      <c r="B42" s="373"/>
      <c r="C42" s="161"/>
      <c r="D42" s="162"/>
      <c r="E42" s="161"/>
      <c r="F42" s="162"/>
      <c r="G42" s="162"/>
      <c r="H42" s="163"/>
      <c r="I42" s="162"/>
      <c r="J42" s="162"/>
      <c r="K42" s="162"/>
      <c r="L42" s="163"/>
      <c r="M42" s="164"/>
      <c r="N42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3" spans="1:14" s="1" customFormat="1" ht="24" hidden="1" customHeight="1" x14ac:dyDescent="0.25">
      <c r="A43" s="160">
        <f t="shared" si="0"/>
        <v>34</v>
      </c>
      <c r="B43" s="373"/>
      <c r="C43" s="161"/>
      <c r="D43" s="162"/>
      <c r="E43" s="161"/>
      <c r="F43" s="162"/>
      <c r="G43" s="162"/>
      <c r="H43" s="163"/>
      <c r="I43" s="162"/>
      <c r="J43" s="162"/>
      <c r="K43" s="162"/>
      <c r="L43" s="163"/>
      <c r="M43" s="164"/>
      <c r="N43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4" spans="1:14" s="1" customFormat="1" ht="24" hidden="1" customHeight="1" x14ac:dyDescent="0.25">
      <c r="A44" s="160">
        <f t="shared" si="0"/>
        <v>35</v>
      </c>
      <c r="B44" s="373"/>
      <c r="C44" s="161"/>
      <c r="D44" s="162"/>
      <c r="E44" s="161"/>
      <c r="F44" s="162"/>
      <c r="G44" s="162"/>
      <c r="H44" s="163"/>
      <c r="I44" s="162"/>
      <c r="J44" s="162"/>
      <c r="K44" s="162"/>
      <c r="L44" s="163"/>
      <c r="M44" s="164"/>
      <c r="N44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5" spans="1:14" s="1" customFormat="1" ht="24" hidden="1" customHeight="1" x14ac:dyDescent="0.25">
      <c r="A45" s="160">
        <f t="shared" si="0"/>
        <v>36</v>
      </c>
      <c r="B45" s="373"/>
      <c r="C45" s="161"/>
      <c r="D45" s="162"/>
      <c r="E45" s="161"/>
      <c r="F45" s="162"/>
      <c r="G45" s="162"/>
      <c r="H45" s="163"/>
      <c r="I45" s="162"/>
      <c r="J45" s="162"/>
      <c r="K45" s="162"/>
      <c r="L45" s="163"/>
      <c r="M45" s="164"/>
      <c r="N45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6" spans="1:14" s="1" customFormat="1" ht="24" hidden="1" customHeight="1" x14ac:dyDescent="0.25">
      <c r="A46" s="160">
        <f t="shared" si="0"/>
        <v>37</v>
      </c>
      <c r="B46" s="373"/>
      <c r="C46" s="161"/>
      <c r="D46" s="162"/>
      <c r="E46" s="161"/>
      <c r="F46" s="162"/>
      <c r="G46" s="162"/>
      <c r="H46" s="163"/>
      <c r="I46" s="162"/>
      <c r="J46" s="162"/>
      <c r="K46" s="162"/>
      <c r="L46" s="163"/>
      <c r="M46" s="164"/>
      <c r="N46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7" spans="1:14" s="1" customFormat="1" ht="24" hidden="1" customHeight="1" x14ac:dyDescent="0.25">
      <c r="A47" s="160">
        <f t="shared" si="0"/>
        <v>38</v>
      </c>
      <c r="B47" s="373"/>
      <c r="C47" s="161"/>
      <c r="D47" s="162"/>
      <c r="E47" s="161"/>
      <c r="F47" s="162"/>
      <c r="G47" s="162"/>
      <c r="H47" s="163"/>
      <c r="I47" s="162"/>
      <c r="J47" s="162"/>
      <c r="K47" s="162"/>
      <c r="L47" s="163"/>
      <c r="M47" s="164"/>
      <c r="N47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8" spans="1:14" s="1" customFormat="1" ht="24" hidden="1" customHeight="1" x14ac:dyDescent="0.25">
      <c r="A48" s="160">
        <f t="shared" si="0"/>
        <v>39</v>
      </c>
      <c r="B48" s="373"/>
      <c r="C48" s="161"/>
      <c r="D48" s="162"/>
      <c r="E48" s="161"/>
      <c r="F48" s="162"/>
      <c r="G48" s="162"/>
      <c r="H48" s="163"/>
      <c r="I48" s="162"/>
      <c r="J48" s="162"/>
      <c r="K48" s="162"/>
      <c r="L48" s="163"/>
      <c r="M48" s="164"/>
      <c r="N48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49" spans="1:14" s="1" customFormat="1" ht="24" hidden="1" customHeight="1" x14ac:dyDescent="0.25">
      <c r="A49" s="160">
        <f t="shared" si="0"/>
        <v>40</v>
      </c>
      <c r="B49" s="374"/>
      <c r="C49" s="161"/>
      <c r="D49" s="162"/>
      <c r="E49" s="161"/>
      <c r="F49" s="162"/>
      <c r="G49" s="162"/>
      <c r="H49" s="163"/>
      <c r="I49" s="162"/>
      <c r="J49" s="162"/>
      <c r="K49" s="162"/>
      <c r="L49" s="163"/>
      <c r="M49" s="164"/>
      <c r="N49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0" spans="1:14" s="1" customFormat="1" ht="24" hidden="1" customHeight="1" x14ac:dyDescent="0.25">
      <c r="A50" s="160">
        <f t="shared" si="0"/>
        <v>41</v>
      </c>
      <c r="B50" s="374"/>
      <c r="C50" s="161"/>
      <c r="D50" s="162"/>
      <c r="E50" s="161"/>
      <c r="F50" s="162"/>
      <c r="G50" s="162"/>
      <c r="H50" s="163"/>
      <c r="I50" s="162"/>
      <c r="J50" s="162"/>
      <c r="K50" s="162"/>
      <c r="L50" s="163"/>
      <c r="M50" s="164"/>
      <c r="N50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1" spans="1:14" s="1" customFormat="1" ht="24" hidden="1" customHeight="1" x14ac:dyDescent="0.25">
      <c r="A51" s="160">
        <f t="shared" si="0"/>
        <v>42</v>
      </c>
      <c r="B51" s="373"/>
      <c r="C51" s="161"/>
      <c r="D51" s="162"/>
      <c r="E51" s="161"/>
      <c r="F51" s="162"/>
      <c r="G51" s="162"/>
      <c r="H51" s="163"/>
      <c r="I51" s="162"/>
      <c r="J51" s="162"/>
      <c r="K51" s="162"/>
      <c r="L51" s="163"/>
      <c r="M51" s="164"/>
      <c r="N51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2" spans="1:14" s="1" customFormat="1" ht="24" hidden="1" customHeight="1" x14ac:dyDescent="0.25">
      <c r="A52" s="160">
        <f t="shared" si="0"/>
        <v>43</v>
      </c>
      <c r="B52" s="373"/>
      <c r="C52" s="161"/>
      <c r="D52" s="162"/>
      <c r="E52" s="161"/>
      <c r="F52" s="162"/>
      <c r="G52" s="162"/>
      <c r="H52" s="163"/>
      <c r="I52" s="162"/>
      <c r="J52" s="162"/>
      <c r="K52" s="162"/>
      <c r="L52" s="163"/>
      <c r="M52" s="164"/>
      <c r="N52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3" spans="1:14" s="1" customFormat="1" ht="24" hidden="1" customHeight="1" x14ac:dyDescent="0.25">
      <c r="A53" s="160">
        <f t="shared" si="0"/>
        <v>44</v>
      </c>
      <c r="B53" s="373"/>
      <c r="C53" s="161"/>
      <c r="D53" s="162"/>
      <c r="E53" s="161"/>
      <c r="F53" s="162"/>
      <c r="G53" s="162"/>
      <c r="H53" s="163"/>
      <c r="I53" s="162"/>
      <c r="J53" s="162"/>
      <c r="K53" s="162"/>
      <c r="L53" s="163"/>
      <c r="M53" s="164"/>
      <c r="N53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4" spans="1:14" s="1" customFormat="1" ht="24" hidden="1" customHeight="1" x14ac:dyDescent="0.25">
      <c r="A54" s="160">
        <f t="shared" si="0"/>
        <v>45</v>
      </c>
      <c r="B54" s="373"/>
      <c r="C54" s="161"/>
      <c r="D54" s="162"/>
      <c r="E54" s="161"/>
      <c r="F54" s="162"/>
      <c r="G54" s="162"/>
      <c r="H54" s="163"/>
      <c r="I54" s="162"/>
      <c r="J54" s="162"/>
      <c r="K54" s="162"/>
      <c r="L54" s="163"/>
      <c r="M54" s="164"/>
      <c r="N54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5" spans="1:14" s="1" customFormat="1" ht="24" hidden="1" customHeight="1" x14ac:dyDescent="0.25">
      <c r="A55" s="160">
        <f t="shared" si="0"/>
        <v>46</v>
      </c>
      <c r="B55" s="373"/>
      <c r="C55" s="161"/>
      <c r="D55" s="162"/>
      <c r="E55" s="161"/>
      <c r="F55" s="162"/>
      <c r="G55" s="162"/>
      <c r="H55" s="163"/>
      <c r="I55" s="162"/>
      <c r="J55" s="162"/>
      <c r="K55" s="162"/>
      <c r="L55" s="163"/>
      <c r="M55" s="164"/>
      <c r="N55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6" spans="1:14" s="1" customFormat="1" ht="24" hidden="1" customHeight="1" x14ac:dyDescent="0.25">
      <c r="A56" s="160">
        <f t="shared" ref="A56:A69" si="1">1+A55</f>
        <v>47</v>
      </c>
      <c r="B56" s="373"/>
      <c r="C56" s="161"/>
      <c r="D56" s="162"/>
      <c r="E56" s="161"/>
      <c r="F56" s="162"/>
      <c r="G56" s="162"/>
      <c r="H56" s="163"/>
      <c r="I56" s="162"/>
      <c r="J56" s="162"/>
      <c r="K56" s="162"/>
      <c r="L56" s="163"/>
      <c r="M56" s="164"/>
      <c r="N56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7" spans="1:14" s="1" customFormat="1" ht="24" hidden="1" customHeight="1" x14ac:dyDescent="0.25">
      <c r="A57" s="160">
        <f t="shared" si="1"/>
        <v>48</v>
      </c>
      <c r="B57" s="373"/>
      <c r="C57" s="161"/>
      <c r="D57" s="162"/>
      <c r="E57" s="161"/>
      <c r="F57" s="162"/>
      <c r="G57" s="162"/>
      <c r="H57" s="163"/>
      <c r="I57" s="162"/>
      <c r="J57" s="162"/>
      <c r="K57" s="162"/>
      <c r="L57" s="163"/>
      <c r="M57" s="164"/>
      <c r="N57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8" spans="1:14" s="1" customFormat="1" ht="24" hidden="1" customHeight="1" x14ac:dyDescent="0.25">
      <c r="A58" s="160">
        <f t="shared" si="1"/>
        <v>49</v>
      </c>
      <c r="B58" s="373"/>
      <c r="C58" s="161"/>
      <c r="D58" s="162"/>
      <c r="E58" s="161"/>
      <c r="F58" s="162"/>
      <c r="G58" s="162"/>
      <c r="H58" s="163"/>
      <c r="I58" s="162"/>
      <c r="J58" s="162"/>
      <c r="K58" s="162"/>
      <c r="L58" s="163"/>
      <c r="M58" s="164"/>
      <c r="N58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9" spans="1:14" ht="24" hidden="1" customHeight="1" x14ac:dyDescent="0.25">
      <c r="A59" s="160">
        <f t="shared" si="1"/>
        <v>50</v>
      </c>
      <c r="B59" s="373"/>
      <c r="C59" s="161"/>
      <c r="D59" s="162"/>
      <c r="E59" s="161"/>
      <c r="F59" s="162"/>
      <c r="G59" s="162"/>
      <c r="H59" s="163"/>
      <c r="I59" s="162"/>
      <c r="J59" s="162"/>
      <c r="K59" s="162"/>
      <c r="L59" s="163"/>
      <c r="M59" s="164"/>
      <c r="N59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0" spans="1:14" s="1" customFormat="1" ht="24" hidden="1" customHeight="1" x14ac:dyDescent="0.25">
      <c r="A60" s="160">
        <f t="shared" si="1"/>
        <v>51</v>
      </c>
      <c r="B60" s="373"/>
      <c r="C60" s="161"/>
      <c r="D60" s="162"/>
      <c r="E60" s="161"/>
      <c r="F60" s="162"/>
      <c r="G60" s="162"/>
      <c r="H60" s="163"/>
      <c r="I60" s="162"/>
      <c r="J60" s="162"/>
      <c r="K60" s="162"/>
      <c r="L60" s="163"/>
      <c r="M60" s="164"/>
      <c r="N60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1" spans="1:14" s="1" customFormat="1" ht="24" hidden="1" customHeight="1" x14ac:dyDescent="0.25">
      <c r="A61" s="160">
        <f t="shared" si="1"/>
        <v>52</v>
      </c>
      <c r="B61" s="373"/>
      <c r="C61" s="161"/>
      <c r="D61" s="162"/>
      <c r="E61" s="161"/>
      <c r="F61" s="162"/>
      <c r="G61" s="162"/>
      <c r="H61" s="163"/>
      <c r="I61" s="162"/>
      <c r="J61" s="162"/>
      <c r="K61" s="162"/>
      <c r="L61" s="163"/>
      <c r="M61" s="164"/>
      <c r="N61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2" spans="1:14" s="1" customFormat="1" ht="24" hidden="1" customHeight="1" x14ac:dyDescent="0.25">
      <c r="A62" s="160">
        <f t="shared" si="1"/>
        <v>53</v>
      </c>
      <c r="B62" s="373"/>
      <c r="C62" s="161"/>
      <c r="D62" s="162"/>
      <c r="E62" s="161"/>
      <c r="F62" s="162"/>
      <c r="G62" s="162"/>
      <c r="H62" s="163"/>
      <c r="I62" s="162"/>
      <c r="J62" s="162"/>
      <c r="K62" s="162"/>
      <c r="L62" s="163"/>
      <c r="M62" s="164"/>
      <c r="N62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3" spans="1:14" s="1" customFormat="1" ht="24" hidden="1" customHeight="1" x14ac:dyDescent="0.25">
      <c r="A63" s="160">
        <f t="shared" si="1"/>
        <v>54</v>
      </c>
      <c r="B63" s="373"/>
      <c r="C63" s="161"/>
      <c r="D63" s="162"/>
      <c r="E63" s="161"/>
      <c r="F63" s="162"/>
      <c r="G63" s="162"/>
      <c r="H63" s="163"/>
      <c r="I63" s="162"/>
      <c r="J63" s="162"/>
      <c r="K63" s="162"/>
      <c r="L63" s="163"/>
      <c r="M63" s="164"/>
      <c r="N63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4" spans="1:14" s="1" customFormat="1" ht="24" hidden="1" customHeight="1" x14ac:dyDescent="0.25">
      <c r="A64" s="160">
        <f t="shared" si="1"/>
        <v>55</v>
      </c>
      <c r="B64" s="373"/>
      <c r="C64" s="161"/>
      <c r="D64" s="162"/>
      <c r="E64" s="161"/>
      <c r="F64" s="162"/>
      <c r="G64" s="162"/>
      <c r="H64" s="163"/>
      <c r="I64" s="162"/>
      <c r="J64" s="162"/>
      <c r="K64" s="162"/>
      <c r="L64" s="163"/>
      <c r="M64" s="164"/>
      <c r="N64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5" spans="1:14" s="1" customFormat="1" ht="24" hidden="1" customHeight="1" x14ac:dyDescent="0.25">
      <c r="A65" s="160">
        <f t="shared" si="1"/>
        <v>56</v>
      </c>
      <c r="B65" s="373"/>
      <c r="C65" s="161"/>
      <c r="D65" s="162"/>
      <c r="E65" s="161"/>
      <c r="F65" s="162"/>
      <c r="G65" s="162"/>
      <c r="H65" s="163"/>
      <c r="I65" s="162"/>
      <c r="J65" s="162"/>
      <c r="K65" s="162"/>
      <c r="L65" s="163"/>
      <c r="M65" s="164"/>
      <c r="N65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6" spans="1:14" s="1" customFormat="1" ht="24" hidden="1" customHeight="1" x14ac:dyDescent="0.25">
      <c r="A66" s="160">
        <f t="shared" si="1"/>
        <v>57</v>
      </c>
      <c r="B66" s="373"/>
      <c r="C66" s="161"/>
      <c r="D66" s="162"/>
      <c r="E66" s="161"/>
      <c r="F66" s="162"/>
      <c r="G66" s="162"/>
      <c r="H66" s="163"/>
      <c r="I66" s="162"/>
      <c r="J66" s="162"/>
      <c r="K66" s="162"/>
      <c r="L66" s="163"/>
      <c r="M66" s="164"/>
      <c r="N66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7" spans="1:14" s="1" customFormat="1" ht="24" hidden="1" customHeight="1" x14ac:dyDescent="0.25">
      <c r="A67" s="160">
        <f t="shared" si="1"/>
        <v>58</v>
      </c>
      <c r="B67" s="373"/>
      <c r="C67" s="161"/>
      <c r="D67" s="162"/>
      <c r="E67" s="161"/>
      <c r="F67" s="162"/>
      <c r="G67" s="162"/>
      <c r="H67" s="163"/>
      <c r="I67" s="162"/>
      <c r="J67" s="162"/>
      <c r="K67" s="162"/>
      <c r="L67" s="163"/>
      <c r="M67" s="164"/>
      <c r="N67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8" spans="1:14" s="1" customFormat="1" ht="24" hidden="1" customHeight="1" x14ac:dyDescent="0.25">
      <c r="A68" s="160">
        <f t="shared" si="1"/>
        <v>59</v>
      </c>
      <c r="B68" s="373"/>
      <c r="C68" s="161"/>
      <c r="D68" s="162"/>
      <c r="E68" s="161"/>
      <c r="F68" s="162"/>
      <c r="G68" s="162"/>
      <c r="H68" s="163"/>
      <c r="I68" s="162"/>
      <c r="J68" s="162"/>
      <c r="K68" s="162"/>
      <c r="L68" s="163"/>
      <c r="M68" s="164"/>
      <c r="N68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9" spans="1:14" s="1" customFormat="1" ht="24" hidden="1" customHeight="1" x14ac:dyDescent="0.25">
      <c r="A69" s="160">
        <f t="shared" si="1"/>
        <v>60</v>
      </c>
      <c r="B69" s="373"/>
      <c r="C69" s="161"/>
      <c r="D69" s="162"/>
      <c r="E69" s="161"/>
      <c r="F69" s="162"/>
      <c r="G69" s="162"/>
      <c r="H69" s="163"/>
      <c r="I69" s="162"/>
      <c r="J69" s="162"/>
      <c r="K69" s="162"/>
      <c r="L69" s="163"/>
      <c r="M69" s="164"/>
      <c r="N69" s="15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70" spans="1:14" s="153" customFormat="1" x14ac:dyDescent="0.25">
      <c r="A70" s="145" t="s">
        <v>70</v>
      </c>
      <c r="B70" s="144">
        <f>SUBTOTAL(103,заявки[Ст. №])</f>
        <v>29</v>
      </c>
      <c r="C70" s="144"/>
      <c r="D70" s="154"/>
      <c r="E70" s="144"/>
      <c r="F70" s="154"/>
      <c r="G70" s="154"/>
      <c r="H70" s="155"/>
      <c r="I70" s="154"/>
      <c r="J70" s="154"/>
      <c r="K70" s="154"/>
      <c r="L70" s="155"/>
      <c r="M70" s="154"/>
      <c r="N70" s="154"/>
    </row>
    <row r="71" spans="1:14" s="153" customFormat="1" x14ac:dyDescent="0.25"/>
    <row r="72" spans="1:14" s="153" customFormat="1" x14ac:dyDescent="0.25"/>
    <row r="73" spans="1:14" s="153" customFormat="1" x14ac:dyDescent="0.25"/>
    <row r="74" spans="1:14" s="153" customFormat="1" x14ac:dyDescent="0.25"/>
    <row r="75" spans="1:14" s="153" customFormat="1" x14ac:dyDescent="0.25"/>
    <row r="76" spans="1:14" s="153" customFormat="1" x14ac:dyDescent="0.25"/>
    <row r="77" spans="1:14" s="153" customFormat="1" x14ac:dyDescent="0.25"/>
    <row r="78" spans="1:14" s="153" customFormat="1" x14ac:dyDescent="0.25"/>
    <row r="79" spans="1:14" s="153" customFormat="1" x14ac:dyDescent="0.25"/>
    <row r="80" spans="1:14" s="153" customFormat="1" x14ac:dyDescent="0.25"/>
    <row r="81" spans="1:13" s="153" customFormat="1" x14ac:dyDescent="0.25"/>
    <row r="82" spans="1:13" s="153" customFormat="1" x14ac:dyDescent="0.25"/>
    <row r="83" spans="1:13" s="153" customFormat="1" x14ac:dyDescent="0.25"/>
    <row r="84" spans="1:13" s="153" customFormat="1" x14ac:dyDescent="0.25"/>
    <row r="85" spans="1:13" s="153" customFormat="1" x14ac:dyDescent="0.25"/>
    <row r="86" spans="1:13" s="153" customFormat="1" x14ac:dyDescent="0.25"/>
    <row r="87" spans="1:13" s="153" customFormat="1" x14ac:dyDescent="0.25"/>
    <row r="88" spans="1:13" s="153" customFormat="1" x14ac:dyDescent="0.25"/>
    <row r="89" spans="1:13" x14ac:dyDescent="0.2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</row>
  </sheetData>
  <mergeCells count="1">
    <mergeCell ref="A2:M2"/>
  </mergeCells>
  <pageMargins left="0.19685039370078741" right="0.19685039370078741" top="0.19685039370078741" bottom="0.19685039370078741" header="0" footer="0"/>
  <pageSetup paperSize="9" scale="95" orientation="portrait" horizontalDpi="300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D49"/>
  <sheetViews>
    <sheetView view="pageBreakPreview" topLeftCell="A22" zoomScaleSheetLayoutView="100" workbookViewId="0">
      <selection activeCell="A13" sqref="A13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48</v>
      </c>
      <c r="D1" s="2">
        <v>26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ht="29.25" customHeight="1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85</v>
      </c>
    </row>
    <row r="7" spans="1:4" x14ac:dyDescent="0.25">
      <c r="A7" s="7"/>
    </row>
    <row r="8" spans="1:4" x14ac:dyDescent="0.25">
      <c r="A8" s="7" t="s">
        <v>82</v>
      </c>
    </row>
    <row r="9" spans="1:4" x14ac:dyDescent="0.25">
      <c r="A9" s="7" t="s">
        <v>204</v>
      </c>
    </row>
    <row r="10" spans="1:4" x14ac:dyDescent="0.25">
      <c r="A10" s="7" t="s">
        <v>192</v>
      </c>
    </row>
    <row r="11" spans="1:4" x14ac:dyDescent="0.25">
      <c r="A11" s="7" t="s">
        <v>193</v>
      </c>
    </row>
    <row r="12" spans="1:4" x14ac:dyDescent="0.25">
      <c r="A12" s="7" t="s">
        <v>194</v>
      </c>
    </row>
    <row r="13" spans="1:4" ht="30" x14ac:dyDescent="0.25">
      <c r="A13" s="7" t="s">
        <v>195</v>
      </c>
    </row>
    <row r="14" spans="1:4" x14ac:dyDescent="0.25">
      <c r="A14" s="7" t="s">
        <v>186</v>
      </c>
    </row>
    <row r="15" spans="1:4" x14ac:dyDescent="0.25">
      <c r="A15" s="7" t="s">
        <v>187</v>
      </c>
    </row>
    <row r="16" spans="1:4" ht="63" customHeight="1" x14ac:dyDescent="0.25">
      <c r="A16" s="7" t="s">
        <v>170</v>
      </c>
    </row>
    <row r="17" spans="1:1" x14ac:dyDescent="0.25">
      <c r="A17" s="7" t="s">
        <v>196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72"/>
  <sheetViews>
    <sheetView view="pageBreakPreview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 t="str">
        <f>_ДС1</f>
        <v>ДС-1 РДС Городской</v>
      </c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 t="str">
        <f>"Поз. " &amp; 'Сектор 1 Про'!C41 &amp; " ДК, старт ДС, V=40 км/ч, "</f>
        <v xml:space="preserve">Поз. 13 ДК, старт ДС, V=40 км/ч, </v>
      </c>
      <c r="B10" s="213">
        <v>16.52</v>
      </c>
      <c r="C10" s="214">
        <f>IF(ISNUMBER(B11),B11-B10,"")</f>
        <v>1.0599999999999987</v>
      </c>
      <c r="D10" s="214">
        <v>40</v>
      </c>
      <c r="E10" s="214"/>
      <c r="F10" s="214"/>
      <c r="G10" s="214">
        <f>IF(C10&lt;&gt;"",D10*IF(ISNUMBER(E10),E10,1)+IF(ISNUMBER(F10),F10,0),"")</f>
        <v>40</v>
      </c>
      <c r="H10" s="215">
        <f t="shared" ref="H10:H69" si="0">IF(G10&lt;&gt;"",ROUNDDOWN(C10/G10*3600,округлениеРД),"")</f>
        <v>95.399900000000002</v>
      </c>
    </row>
    <row r="11" spans="1:8" ht="30" customHeight="1" x14ac:dyDescent="0.25">
      <c r="A11" s="224" t="str">
        <f>"Поз. " &amp; 'Сектор 1 Про'!C43 &amp; " ДК, V=65 км/ч, "</f>
        <v xml:space="preserve">Поз. 14 ДК, V=65 км/ч, </v>
      </c>
      <c r="B11" s="213">
        <v>17.579999999999998</v>
      </c>
      <c r="C11" s="214">
        <f t="shared" ref="C11:C69" si="1">IF(ISNUMBER(B12),B12-B11,"")</f>
        <v>3.9800000000000004</v>
      </c>
      <c r="D11" s="214">
        <v>65</v>
      </c>
      <c r="E11" s="216"/>
      <c r="F11" s="214"/>
      <c r="G11" s="214">
        <f t="shared" ref="G11:G69" si="2">IF(C11&lt;&gt;"",D11*IF(ISNUMBER(E11),E11,1)+IF(ISNUMBER(F11),F11,0),"")</f>
        <v>65</v>
      </c>
      <c r="H11" s="215">
        <f t="shared" si="0"/>
        <v>220.4307</v>
      </c>
    </row>
    <row r="12" spans="1:8" ht="30" customHeight="1" x14ac:dyDescent="0.25">
      <c r="A12" s="224" t="str">
        <f>"Поз. " &amp; 'Сектор 1 Про'!C47 &amp; " ДК, V=40 км/ч, "</f>
        <v xml:space="preserve">Поз. 16 ДК, V=40 км/ч, </v>
      </c>
      <c r="B12" s="213">
        <v>21.56</v>
      </c>
      <c r="C12" s="214">
        <f t="shared" si="1"/>
        <v>3.84</v>
      </c>
      <c r="D12" s="214">
        <v>40</v>
      </c>
      <c r="E12" s="216"/>
      <c r="F12" s="214"/>
      <c r="G12" s="214">
        <f t="shared" si="2"/>
        <v>40</v>
      </c>
      <c r="H12" s="215">
        <f t="shared" si="0"/>
        <v>345.6</v>
      </c>
    </row>
    <row r="13" spans="1:8" ht="30" customHeight="1" x14ac:dyDescent="0.25">
      <c r="A13" s="224" t="str">
        <f>"Поз. " &amp; 'Сектор 1 Про'!C53 &amp; " ДК, V=20 км/ч"</f>
        <v>Поз. 19 ДК, V=20 км/ч</v>
      </c>
      <c r="B13" s="213">
        <v>25.4</v>
      </c>
      <c r="C13" s="214">
        <f t="shared" si="1"/>
        <v>8.0000000000001847E-2</v>
      </c>
      <c r="D13" s="214">
        <v>20</v>
      </c>
      <c r="E13" s="216"/>
      <c r="F13" s="214"/>
      <c r="G13" s="214">
        <f t="shared" si="2"/>
        <v>20</v>
      </c>
      <c r="H13" s="215">
        <f t="shared" si="0"/>
        <v>14.4</v>
      </c>
    </row>
    <row r="14" spans="1:8" ht="30" customHeight="1" x14ac:dyDescent="0.25">
      <c r="A14" s="224" t="str">
        <f>"Поз. " &amp; 'Сектор 1 Про'!C55 &amp; " ДК, V=35 км/ч"</f>
        <v>Поз. 20 ДК, V=35 км/ч</v>
      </c>
      <c r="B14" s="213">
        <v>25.48</v>
      </c>
      <c r="C14" s="214">
        <f t="shared" si="1"/>
        <v>1.5300000000000011</v>
      </c>
      <c r="D14" s="214">
        <v>35</v>
      </c>
      <c r="E14" s="216"/>
      <c r="F14" s="214"/>
      <c r="G14" s="214">
        <f t="shared" si="2"/>
        <v>35</v>
      </c>
      <c r="H14" s="215">
        <f t="shared" si="0"/>
        <v>157.37139999999999</v>
      </c>
    </row>
    <row r="15" spans="1:8" ht="30" customHeight="1" x14ac:dyDescent="0.25">
      <c r="A15" s="224" t="str">
        <f>"Поз. " &amp; 'Сектор 1 Про'!C61 &amp; " ДК, V=20 км/ч"</f>
        <v>Поз. 23 ДК, V=20 км/ч</v>
      </c>
      <c r="B15" s="213">
        <v>27.01</v>
      </c>
      <c r="C15" s="214">
        <f t="shared" si="1"/>
        <v>1.2699999999999996</v>
      </c>
      <c r="D15" s="214">
        <v>20</v>
      </c>
      <c r="E15" s="216"/>
      <c r="F15" s="214"/>
      <c r="G15" s="214">
        <f t="shared" si="2"/>
        <v>20</v>
      </c>
      <c r="H15" s="215">
        <f t="shared" si="0"/>
        <v>228.6</v>
      </c>
    </row>
    <row r="16" spans="1:8" ht="30" customHeight="1" x14ac:dyDescent="0.25">
      <c r="A16" s="224" t="str">
        <f>"Поз. " &amp; 'Сектор 1 Про'!C71 &amp; " ДК, V=35 км/ч"</f>
        <v>Поз. 28 ДК, V=35 км/ч</v>
      </c>
      <c r="B16" s="213">
        <v>28.28</v>
      </c>
      <c r="C16" s="214">
        <f t="shared" si="1"/>
        <v>7.9999999999998295E-2</v>
      </c>
      <c r="D16" s="214">
        <v>35</v>
      </c>
      <c r="E16" s="216"/>
      <c r="F16" s="214"/>
      <c r="G16" s="214">
        <f t="shared" si="2"/>
        <v>35</v>
      </c>
      <c r="H16" s="215">
        <f t="shared" si="0"/>
        <v>8.2285000000000004</v>
      </c>
    </row>
    <row r="17" spans="1:8" ht="30" customHeight="1" x14ac:dyDescent="0.25">
      <c r="A17" s="224" t="s">
        <v>367</v>
      </c>
      <c r="B17" s="213">
        <v>28.36</v>
      </c>
      <c r="C17" s="214" t="str">
        <f t="shared" si="1"/>
        <v/>
      </c>
      <c r="D17" s="214"/>
      <c r="E17" s="216"/>
      <c r="F17" s="214"/>
      <c r="G17" s="214" t="str">
        <f t="shared" si="2"/>
        <v/>
      </c>
      <c r="H17" s="215" t="str">
        <f t="shared" si="0"/>
        <v/>
      </c>
    </row>
    <row r="18" spans="1:8" ht="30" hidden="1" customHeight="1" x14ac:dyDescent="0.25">
      <c r="A18" s="224"/>
      <c r="B18" s="213"/>
      <c r="C18" s="214" t="str">
        <f t="shared" si="1"/>
        <v/>
      </c>
      <c r="D18" s="214"/>
      <c r="E18" s="216"/>
      <c r="F18" s="214"/>
      <c r="G18" s="214" t="str">
        <f t="shared" si="2"/>
        <v/>
      </c>
      <c r="H18" s="215" t="str">
        <f t="shared" si="0"/>
        <v/>
      </c>
    </row>
    <row r="19" spans="1:8" ht="30" hidden="1" customHeight="1" x14ac:dyDescent="0.25">
      <c r="A19" s="224"/>
      <c r="B19" s="213"/>
      <c r="C19" s="214" t="str">
        <f t="shared" si="1"/>
        <v/>
      </c>
      <c r="D19" s="214"/>
      <c r="E19" s="216"/>
      <c r="F19" s="214"/>
      <c r="G19" s="214" t="str">
        <f t="shared" si="2"/>
        <v/>
      </c>
      <c r="H19" s="215" t="str">
        <f t="shared" si="0"/>
        <v/>
      </c>
    </row>
    <row r="20" spans="1:8" ht="30" hidden="1" customHeight="1" x14ac:dyDescent="0.25">
      <c r="A20" s="224"/>
      <c r="B20" s="213"/>
      <c r="C20" s="214" t="str">
        <f t="shared" si="1"/>
        <v/>
      </c>
      <c r="D20" s="214"/>
      <c r="E20" s="216"/>
      <c r="F20" s="214"/>
      <c r="G20" s="214" t="str">
        <f t="shared" si="2"/>
        <v/>
      </c>
      <c r="H20" s="215" t="str">
        <f t="shared" si="0"/>
        <v/>
      </c>
    </row>
    <row r="21" spans="1:8" ht="30" hidden="1" customHeight="1" x14ac:dyDescent="0.25">
      <c r="A21" s="224"/>
      <c r="B21" s="213"/>
      <c r="C21" s="214" t="str">
        <f t="shared" si="1"/>
        <v/>
      </c>
      <c r="D21" s="214"/>
      <c r="E21" s="216"/>
      <c r="F21" s="214"/>
      <c r="G21" s="214" t="str">
        <f t="shared" si="2"/>
        <v/>
      </c>
      <c r="H21" s="215" t="str">
        <f t="shared" si="0"/>
        <v/>
      </c>
    </row>
    <row r="22" spans="1:8" ht="30" hidden="1" customHeight="1" x14ac:dyDescent="0.25">
      <c r="A22" s="224"/>
      <c r="B22" s="213"/>
      <c r="C22" s="214" t="str">
        <f t="shared" si="1"/>
        <v/>
      </c>
      <c r="D22" s="214"/>
      <c r="E22" s="216"/>
      <c r="F22" s="214"/>
      <c r="G22" s="214" t="str">
        <f t="shared" si="2"/>
        <v/>
      </c>
      <c r="H22" s="215" t="str">
        <f t="shared" si="0"/>
        <v/>
      </c>
    </row>
    <row r="23" spans="1:8" ht="30" hidden="1" customHeight="1" x14ac:dyDescent="0.25">
      <c r="A23" s="224"/>
      <c r="B23" s="213"/>
      <c r="C23" s="214" t="str">
        <f t="shared" si="1"/>
        <v/>
      </c>
      <c r="D23" s="214"/>
      <c r="E23" s="216"/>
      <c r="F23" s="214"/>
      <c r="G23" s="214" t="str">
        <f t="shared" si="2"/>
        <v/>
      </c>
      <c r="H23" s="215" t="str">
        <f t="shared" si="0"/>
        <v/>
      </c>
    </row>
    <row r="24" spans="1:8" ht="30" hidden="1" customHeight="1" x14ac:dyDescent="0.25">
      <c r="A24" s="224"/>
      <c r="B24" s="213"/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hidden="1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hidden="1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hidden="1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hidden="1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hidden="1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hidden="1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hidden="1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hidden="1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hidden="1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hidden="1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hidden="1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hidden="1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hidden="1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hidden="1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hidden="1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hidden="1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hidden="1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hidden="1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si="0"/>
        <v/>
      </c>
    </row>
    <row r="43" spans="1:8" ht="30" hidden="1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0"/>
        <v/>
      </c>
    </row>
    <row r="44" spans="1:8" ht="30" hidden="1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0"/>
        <v/>
      </c>
    </row>
    <row r="45" spans="1:8" ht="30" hidden="1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0"/>
        <v/>
      </c>
    </row>
    <row r="46" spans="1:8" ht="30" hidden="1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0"/>
        <v/>
      </c>
    </row>
    <row r="47" spans="1:8" ht="30" hidden="1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0"/>
        <v/>
      </c>
    </row>
    <row r="48" spans="1:8" ht="30" hidden="1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0"/>
        <v/>
      </c>
    </row>
    <row r="49" spans="1:8" ht="30" hidden="1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0"/>
        <v/>
      </c>
    </row>
    <row r="50" spans="1:8" ht="30" hidden="1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0"/>
        <v/>
      </c>
    </row>
    <row r="51" spans="1:8" ht="30" hidden="1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0"/>
        <v/>
      </c>
    </row>
    <row r="52" spans="1:8" ht="30" hidden="1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0"/>
        <v/>
      </c>
    </row>
    <row r="53" spans="1:8" ht="30" hidden="1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0"/>
        <v/>
      </c>
    </row>
    <row r="54" spans="1:8" ht="30" hidden="1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0"/>
        <v/>
      </c>
    </row>
    <row r="55" spans="1:8" ht="30" hidden="1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0"/>
        <v/>
      </c>
    </row>
    <row r="56" spans="1:8" ht="30" hidden="1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0"/>
        <v/>
      </c>
    </row>
    <row r="57" spans="1:8" ht="30" hidden="1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0"/>
        <v/>
      </c>
    </row>
    <row r="58" spans="1:8" ht="30" hidden="1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0"/>
        <v/>
      </c>
    </row>
    <row r="59" spans="1:8" ht="30" hidden="1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0"/>
        <v/>
      </c>
    </row>
    <row r="60" spans="1:8" ht="30" hidden="1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0"/>
        <v/>
      </c>
    </row>
    <row r="61" spans="1:8" ht="30" hidden="1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0"/>
        <v/>
      </c>
    </row>
    <row r="62" spans="1:8" ht="30" hidden="1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0"/>
        <v/>
      </c>
    </row>
    <row r="63" spans="1:8" ht="30" hidden="1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0"/>
        <v/>
      </c>
    </row>
    <row r="64" spans="1:8" ht="30" hidden="1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0"/>
        <v/>
      </c>
    </row>
    <row r="65" spans="1:8" ht="30" hidden="1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0"/>
        <v/>
      </c>
    </row>
    <row r="66" spans="1:8" ht="30" hidden="1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0"/>
        <v/>
      </c>
    </row>
    <row r="67" spans="1:8" ht="30" hidden="1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0"/>
        <v/>
      </c>
    </row>
    <row r="68" spans="1:8" ht="30" hidden="1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0"/>
        <v/>
      </c>
    </row>
    <row r="69" spans="1:8" ht="30" hidden="1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0"/>
        <v/>
      </c>
    </row>
    <row r="70" spans="1:8" ht="30" hidden="1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1070</v>
      </c>
    </row>
    <row r="72" spans="1:8" ht="15" customHeight="1" x14ac:dyDescent="0.25">
      <c r="B72" s="340">
        <f>ROUND(SUM(C10:C70)/H71*3600,2)</f>
        <v>39.840000000000003</v>
      </c>
      <c r="F72" s="26"/>
      <c r="G72" s="222" t="s">
        <v>103</v>
      </c>
      <c r="H72" s="223">
        <f>H71/86400</f>
        <v>1.238425925925926E-2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H72"/>
  <sheetViews>
    <sheetView view="pageBreakPreview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 t="str">
        <f>_ДС1</f>
        <v>ДС-1 РДС Городской</v>
      </c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 t="s">
        <v>367</v>
      </c>
      <c r="B10" s="213">
        <v>28.36</v>
      </c>
      <c r="C10" s="214">
        <f>IF(ISNUMBER(B11),B11-B10,"")</f>
        <v>0.12999999999999901</v>
      </c>
      <c r="D10" s="214">
        <v>35</v>
      </c>
      <c r="E10" s="214"/>
      <c r="F10" s="214"/>
      <c r="G10" s="214">
        <f>IF(C10&lt;&gt;"",D10*IF(ISNUMBER(E10),E10,1)+IF(ISNUMBER(F10),F10,0),"")</f>
        <v>35</v>
      </c>
      <c r="H10" s="215">
        <f t="shared" ref="H10:H69" si="0">IF(G10&lt;&gt;"",ROUNDDOWN(C10/G10*3600,округлениеРД),"")</f>
        <v>13.3714</v>
      </c>
    </row>
    <row r="11" spans="1:8" ht="30" customHeight="1" x14ac:dyDescent="0.25">
      <c r="A11" s="224" t="str">
        <f>"Поз. " &amp; 'Сектор 1 Про'!C75 &amp; " ДК, V=ПДД-30 км/ч"</f>
        <v>Поз. 29 ДК, V=ПДД-30 км/ч</v>
      </c>
      <c r="B11" s="213">
        <v>28.49</v>
      </c>
      <c r="C11" s="214">
        <f t="shared" ref="C11:C69" si="1">IF(ISNUMBER(B12),B12-B11,"")</f>
        <v>2.3800000000000026</v>
      </c>
      <c r="D11" s="214">
        <v>60</v>
      </c>
      <c r="E11" s="216"/>
      <c r="F11" s="214">
        <v>-30</v>
      </c>
      <c r="G11" s="214">
        <f t="shared" ref="G11:G69" si="2">IF(C11&lt;&gt;"",D11*IF(ISNUMBER(E11),E11,1)+IF(ISNUMBER(F11),F11,0),"")</f>
        <v>30</v>
      </c>
      <c r="H11" s="215">
        <f t="shared" si="0"/>
        <v>285.60000000000002</v>
      </c>
    </row>
    <row r="12" spans="1:8" ht="30" customHeight="1" x14ac:dyDescent="0.25">
      <c r="A12" s="224" t="str">
        <f>"Поз. " &amp; 'Сектор 1 Про'!C81 &amp; " ДК, V=25 км/ч"</f>
        <v>Поз. 32 ДК, V=25 км/ч</v>
      </c>
      <c r="B12" s="213">
        <v>30.87</v>
      </c>
      <c r="C12" s="214">
        <f t="shared" si="1"/>
        <v>7.0000000000000284E-2</v>
      </c>
      <c r="D12" s="214">
        <v>25</v>
      </c>
      <c r="E12" s="216"/>
      <c r="F12" s="214"/>
      <c r="G12" s="214">
        <f t="shared" si="2"/>
        <v>25</v>
      </c>
      <c r="H12" s="215">
        <f t="shared" si="0"/>
        <v>10.08</v>
      </c>
    </row>
    <row r="13" spans="1:8" ht="30" customHeight="1" x14ac:dyDescent="0.25">
      <c r="A13" s="224" t="s">
        <v>363</v>
      </c>
      <c r="B13" s="213">
        <v>30.94</v>
      </c>
      <c r="C13" s="214" t="str">
        <f t="shared" si="1"/>
        <v/>
      </c>
      <c r="D13" s="214"/>
      <c r="E13" s="216"/>
      <c r="F13" s="214"/>
      <c r="G13" s="214" t="str">
        <f t="shared" si="2"/>
        <v/>
      </c>
      <c r="H13" s="215" t="str">
        <f t="shared" si="0"/>
        <v/>
      </c>
    </row>
    <row r="14" spans="1:8" ht="30" hidden="1" customHeight="1" x14ac:dyDescent="0.25">
      <c r="A14" s="224"/>
      <c r="B14" s="213"/>
      <c r="C14" s="214" t="str">
        <f t="shared" si="1"/>
        <v/>
      </c>
      <c r="D14" s="214"/>
      <c r="E14" s="216"/>
      <c r="F14" s="214"/>
      <c r="G14" s="214" t="str">
        <f t="shared" si="2"/>
        <v/>
      </c>
      <c r="H14" s="215" t="str">
        <f t="shared" si="0"/>
        <v/>
      </c>
    </row>
    <row r="15" spans="1:8" ht="30" hidden="1" customHeight="1" x14ac:dyDescent="0.25">
      <c r="A15" s="224"/>
      <c r="B15" s="213"/>
      <c r="C15" s="214" t="str">
        <f t="shared" si="1"/>
        <v/>
      </c>
      <c r="D15" s="214"/>
      <c r="E15" s="216"/>
      <c r="F15" s="214"/>
      <c r="G15" s="214" t="str">
        <f t="shared" si="2"/>
        <v/>
      </c>
      <c r="H15" s="215" t="str">
        <f t="shared" si="0"/>
        <v/>
      </c>
    </row>
    <row r="16" spans="1:8" ht="30" hidden="1" customHeight="1" x14ac:dyDescent="0.25">
      <c r="A16" s="224"/>
      <c r="B16" s="213"/>
      <c r="C16" s="214" t="str">
        <f t="shared" si="1"/>
        <v/>
      </c>
      <c r="D16" s="214"/>
      <c r="E16" s="216"/>
      <c r="F16" s="214"/>
      <c r="G16" s="214" t="str">
        <f t="shared" si="2"/>
        <v/>
      </c>
      <c r="H16" s="215" t="str">
        <f t="shared" si="0"/>
        <v/>
      </c>
    </row>
    <row r="17" spans="1:8" ht="30" hidden="1" customHeight="1" x14ac:dyDescent="0.25">
      <c r="A17" s="224"/>
      <c r="B17" s="213"/>
      <c r="C17" s="214" t="str">
        <f t="shared" si="1"/>
        <v/>
      </c>
      <c r="D17" s="214"/>
      <c r="E17" s="216"/>
      <c r="F17" s="214"/>
      <c r="G17" s="214" t="str">
        <f t="shared" si="2"/>
        <v/>
      </c>
      <c r="H17" s="215" t="str">
        <f t="shared" si="0"/>
        <v/>
      </c>
    </row>
    <row r="18" spans="1:8" ht="30" hidden="1" customHeight="1" x14ac:dyDescent="0.25">
      <c r="A18" s="224"/>
      <c r="B18" s="213"/>
      <c r="C18" s="214" t="str">
        <f t="shared" si="1"/>
        <v/>
      </c>
      <c r="D18" s="214"/>
      <c r="E18" s="216"/>
      <c r="F18" s="214"/>
      <c r="G18" s="214" t="str">
        <f t="shared" si="2"/>
        <v/>
      </c>
      <c r="H18" s="215" t="str">
        <f t="shared" si="0"/>
        <v/>
      </c>
    </row>
    <row r="19" spans="1:8" ht="30" hidden="1" customHeight="1" x14ac:dyDescent="0.25">
      <c r="A19" s="224"/>
      <c r="B19" s="213"/>
      <c r="C19" s="214" t="str">
        <f t="shared" si="1"/>
        <v/>
      </c>
      <c r="D19" s="214"/>
      <c r="E19" s="216"/>
      <c r="F19" s="214"/>
      <c r="G19" s="214" t="str">
        <f t="shared" si="2"/>
        <v/>
      </c>
      <c r="H19" s="215" t="str">
        <f t="shared" si="0"/>
        <v/>
      </c>
    </row>
    <row r="20" spans="1:8" ht="30" hidden="1" customHeight="1" x14ac:dyDescent="0.25">
      <c r="A20" s="224"/>
      <c r="B20" s="213"/>
      <c r="C20" s="214" t="str">
        <f t="shared" si="1"/>
        <v/>
      </c>
      <c r="D20" s="214"/>
      <c r="E20" s="216"/>
      <c r="F20" s="214"/>
      <c r="G20" s="214" t="str">
        <f t="shared" si="2"/>
        <v/>
      </c>
      <c r="H20" s="215" t="str">
        <f t="shared" si="0"/>
        <v/>
      </c>
    </row>
    <row r="21" spans="1:8" ht="30" hidden="1" customHeight="1" x14ac:dyDescent="0.25">
      <c r="A21" s="224"/>
      <c r="B21" s="213"/>
      <c r="C21" s="214" t="str">
        <f t="shared" si="1"/>
        <v/>
      </c>
      <c r="D21" s="214"/>
      <c r="E21" s="216"/>
      <c r="F21" s="214"/>
      <c r="G21" s="214" t="str">
        <f t="shared" si="2"/>
        <v/>
      </c>
      <c r="H21" s="215" t="str">
        <f t="shared" si="0"/>
        <v/>
      </c>
    </row>
    <row r="22" spans="1:8" ht="30" hidden="1" customHeight="1" x14ac:dyDescent="0.25">
      <c r="A22" s="224"/>
      <c r="B22" s="213"/>
      <c r="C22" s="214" t="str">
        <f t="shared" si="1"/>
        <v/>
      </c>
      <c r="D22" s="214"/>
      <c r="E22" s="216"/>
      <c r="F22" s="214"/>
      <c r="G22" s="214" t="str">
        <f t="shared" si="2"/>
        <v/>
      </c>
      <c r="H22" s="215" t="str">
        <f t="shared" si="0"/>
        <v/>
      </c>
    </row>
    <row r="23" spans="1:8" ht="30" hidden="1" customHeight="1" x14ac:dyDescent="0.25">
      <c r="A23" s="224"/>
      <c r="B23" s="213"/>
      <c r="C23" s="214" t="str">
        <f t="shared" si="1"/>
        <v/>
      </c>
      <c r="D23" s="214"/>
      <c r="E23" s="216"/>
      <c r="F23" s="214"/>
      <c r="G23" s="214" t="str">
        <f t="shared" si="2"/>
        <v/>
      </c>
      <c r="H23" s="215" t="str">
        <f t="shared" si="0"/>
        <v/>
      </c>
    </row>
    <row r="24" spans="1:8" ht="30" hidden="1" customHeight="1" x14ac:dyDescent="0.25">
      <c r="A24" s="224"/>
      <c r="B24" s="213"/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hidden="1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hidden="1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hidden="1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hidden="1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hidden="1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hidden="1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hidden="1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hidden="1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hidden="1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hidden="1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hidden="1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hidden="1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hidden="1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hidden="1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hidden="1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hidden="1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hidden="1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hidden="1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si="0"/>
        <v/>
      </c>
    </row>
    <row r="43" spans="1:8" ht="30" hidden="1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0"/>
        <v/>
      </c>
    </row>
    <row r="44" spans="1:8" ht="30" hidden="1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0"/>
        <v/>
      </c>
    </row>
    <row r="45" spans="1:8" ht="30" hidden="1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0"/>
        <v/>
      </c>
    </row>
    <row r="46" spans="1:8" ht="30" hidden="1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0"/>
        <v/>
      </c>
    </row>
    <row r="47" spans="1:8" ht="30" hidden="1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0"/>
        <v/>
      </c>
    </row>
    <row r="48" spans="1:8" ht="30" hidden="1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0"/>
        <v/>
      </c>
    </row>
    <row r="49" spans="1:8" ht="30" hidden="1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0"/>
        <v/>
      </c>
    </row>
    <row r="50" spans="1:8" ht="30" hidden="1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0"/>
        <v/>
      </c>
    </row>
    <row r="51" spans="1:8" ht="30" hidden="1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0"/>
        <v/>
      </c>
    </row>
    <row r="52" spans="1:8" ht="30" hidden="1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0"/>
        <v/>
      </c>
    </row>
    <row r="53" spans="1:8" ht="30" hidden="1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0"/>
        <v/>
      </c>
    </row>
    <row r="54" spans="1:8" ht="30" hidden="1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0"/>
        <v/>
      </c>
    </row>
    <row r="55" spans="1:8" ht="30" hidden="1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0"/>
        <v/>
      </c>
    </row>
    <row r="56" spans="1:8" ht="30" hidden="1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0"/>
        <v/>
      </c>
    </row>
    <row r="57" spans="1:8" ht="30" hidden="1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0"/>
        <v/>
      </c>
    </row>
    <row r="58" spans="1:8" ht="30" hidden="1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0"/>
        <v/>
      </c>
    </row>
    <row r="59" spans="1:8" ht="30" hidden="1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0"/>
        <v/>
      </c>
    </row>
    <row r="60" spans="1:8" ht="30" hidden="1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0"/>
        <v/>
      </c>
    </row>
    <row r="61" spans="1:8" ht="30" hidden="1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0"/>
        <v/>
      </c>
    </row>
    <row r="62" spans="1:8" ht="30" hidden="1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0"/>
        <v/>
      </c>
    </row>
    <row r="63" spans="1:8" ht="30" hidden="1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0"/>
        <v/>
      </c>
    </row>
    <row r="64" spans="1:8" ht="30" hidden="1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0"/>
        <v/>
      </c>
    </row>
    <row r="65" spans="1:8" ht="30" hidden="1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0"/>
        <v/>
      </c>
    </row>
    <row r="66" spans="1:8" ht="30" hidden="1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0"/>
        <v/>
      </c>
    </row>
    <row r="67" spans="1:8" ht="30" hidden="1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0"/>
        <v/>
      </c>
    </row>
    <row r="68" spans="1:8" ht="30" hidden="1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0"/>
        <v/>
      </c>
    </row>
    <row r="69" spans="1:8" ht="30" hidden="1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0"/>
        <v/>
      </c>
    </row>
    <row r="70" spans="1:8" ht="30" hidden="1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309</v>
      </c>
    </row>
    <row r="72" spans="1:8" ht="15" customHeight="1" x14ac:dyDescent="0.25">
      <c r="B72" s="340">
        <f>ROUND(SUM(C10:C70)/H71*3600,2)</f>
        <v>30.06</v>
      </c>
      <c r="F72" s="26"/>
      <c r="G72" s="222" t="s">
        <v>103</v>
      </c>
      <c r="H72" s="223">
        <f>H71/86400</f>
        <v>3.5763888888888889E-3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H72"/>
  <sheetViews>
    <sheetView view="pageBreakPreview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 t="str">
        <f>_ДС3</f>
        <v>ДС-3 РДС Загородный</v>
      </c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 t="str">
        <f>"Поз. " &amp; 'Сектор 2 Про'!C43 &amp; " ДК, старт ДС, V=40 км/ч"</f>
        <v>Поз. 64 ДК, старт ДС, V=40 км/ч</v>
      </c>
      <c r="B10" s="213">
        <v>15.17</v>
      </c>
      <c r="C10" s="214">
        <f>IF(ISNUMBER(B11),B11-B10,"")</f>
        <v>0.6899999999999995</v>
      </c>
      <c r="D10" s="214">
        <v>40</v>
      </c>
      <c r="E10" s="214"/>
      <c r="F10" s="214"/>
      <c r="G10" s="214">
        <f>IF(C10&lt;&gt;"",D10*IF(ISNUMBER(E10),E10,1)+IF(ISNUMBER(F10),F10,0),"")</f>
        <v>40</v>
      </c>
      <c r="H10" s="215">
        <f t="shared" ref="H10:H69" si="0">IF(G10&lt;&gt;"",ROUNDDOWN(C10/G10*3600,округлениеРД),"")</f>
        <v>62.1</v>
      </c>
    </row>
    <row r="11" spans="1:8" ht="30" customHeight="1" x14ac:dyDescent="0.25">
      <c r="A11" s="224" t="str">
        <f>"Поз. " &amp; 'Сектор 2 Про'!C45 &amp; " ДК, V=70 км/ч"</f>
        <v>Поз. 65 ДК, V=70 км/ч</v>
      </c>
      <c r="B11" s="213">
        <v>15.86</v>
      </c>
      <c r="C11" s="214">
        <f t="shared" ref="C11:C69" si="1">IF(ISNUMBER(B12),B12-B11,"")</f>
        <v>0.67000000000000171</v>
      </c>
      <c r="D11" s="214">
        <v>70</v>
      </c>
      <c r="E11" s="216"/>
      <c r="F11" s="214"/>
      <c r="G11" s="214">
        <f t="shared" ref="G11:G69" si="2">IF(C11&lt;&gt;"",D11*IF(ISNUMBER(E11),E11,1)+IF(ISNUMBER(F11),F11,0),"")</f>
        <v>70</v>
      </c>
      <c r="H11" s="215">
        <f t="shared" si="0"/>
        <v>34.457099999999997</v>
      </c>
    </row>
    <row r="12" spans="1:8" ht="30" customHeight="1" x14ac:dyDescent="0.25">
      <c r="A12" s="224" t="s">
        <v>640</v>
      </c>
      <c r="B12" s="213">
        <v>16.53</v>
      </c>
      <c r="C12" s="214">
        <f t="shared" si="1"/>
        <v>3.09</v>
      </c>
      <c r="D12" s="214">
        <v>60</v>
      </c>
      <c r="E12" s="216"/>
      <c r="F12" s="214"/>
      <c r="G12" s="214">
        <f t="shared" si="2"/>
        <v>60</v>
      </c>
      <c r="H12" s="215">
        <f t="shared" si="0"/>
        <v>185.4</v>
      </c>
    </row>
    <row r="13" spans="1:8" ht="30" customHeight="1" x14ac:dyDescent="0.25">
      <c r="A13" s="224" t="s">
        <v>422</v>
      </c>
      <c r="B13" s="213">
        <v>19.62</v>
      </c>
      <c r="C13" s="214">
        <f t="shared" si="1"/>
        <v>1.9800000000000004</v>
      </c>
      <c r="D13" s="214">
        <v>65</v>
      </c>
      <c r="E13" s="216"/>
      <c r="F13" s="214"/>
      <c r="G13" s="214">
        <f t="shared" si="2"/>
        <v>65</v>
      </c>
      <c r="H13" s="215">
        <f t="shared" si="0"/>
        <v>109.6615</v>
      </c>
    </row>
    <row r="14" spans="1:8" ht="30" customHeight="1" x14ac:dyDescent="0.25">
      <c r="A14" s="224" t="str">
        <f>"Поз. " &amp; 'Сектор 2 Про'!C59 &amp; " ДК, V=ПДД-15 км/ч"</f>
        <v>Поз. 67 ДК, V=ПДД-15 км/ч</v>
      </c>
      <c r="B14" s="213">
        <v>21.6</v>
      </c>
      <c r="C14" s="214">
        <f t="shared" si="1"/>
        <v>1.3399999999999999</v>
      </c>
      <c r="D14" s="214">
        <v>90</v>
      </c>
      <c r="E14" s="216"/>
      <c r="F14" s="214">
        <v>-15</v>
      </c>
      <c r="G14" s="214">
        <f t="shared" si="2"/>
        <v>75</v>
      </c>
      <c r="H14" s="215">
        <f t="shared" si="0"/>
        <v>64.319999999999993</v>
      </c>
    </row>
    <row r="15" spans="1:8" ht="30" customHeight="1" x14ac:dyDescent="0.25">
      <c r="A15" s="224" t="s">
        <v>426</v>
      </c>
      <c r="B15" s="213">
        <v>22.94</v>
      </c>
      <c r="C15" s="214">
        <f t="shared" si="1"/>
        <v>0.66000000000000014</v>
      </c>
      <c r="D15" s="214">
        <v>60</v>
      </c>
      <c r="E15" s="216"/>
      <c r="F15" s="214">
        <v>-15</v>
      </c>
      <c r="G15" s="214">
        <f t="shared" si="2"/>
        <v>45</v>
      </c>
      <c r="H15" s="215">
        <f t="shared" si="0"/>
        <v>52.8</v>
      </c>
    </row>
    <row r="16" spans="1:8" ht="30" customHeight="1" x14ac:dyDescent="0.25">
      <c r="A16" s="224" t="str">
        <f>"Поз. " &amp; 'Сектор 2 Про'!C65 &amp; " ДК, V=30 км/ч"</f>
        <v>Поз. 69 ДК, V=30 км/ч</v>
      </c>
      <c r="B16" s="213">
        <v>23.6</v>
      </c>
      <c r="C16" s="214">
        <f t="shared" si="1"/>
        <v>0.32000000000000028</v>
      </c>
      <c r="D16" s="214">
        <v>30</v>
      </c>
      <c r="E16" s="216"/>
      <c r="F16" s="214"/>
      <c r="G16" s="214">
        <f t="shared" si="2"/>
        <v>30</v>
      </c>
      <c r="H16" s="215">
        <f t="shared" si="0"/>
        <v>38.4</v>
      </c>
    </row>
    <row r="17" spans="1:8" ht="30" customHeight="1" x14ac:dyDescent="0.25">
      <c r="A17" s="224" t="str">
        <f>"Поз. " &amp; 'Сектор 2 Про'!C67 &amp; " ДК, V=ПДД-15 км/ч"</f>
        <v>Поз. 70 ДК, V=ПДД-15 км/ч</v>
      </c>
      <c r="B17" s="213">
        <v>23.92</v>
      </c>
      <c r="C17" s="214">
        <f t="shared" si="1"/>
        <v>0.37999999999999901</v>
      </c>
      <c r="D17" s="214">
        <v>90</v>
      </c>
      <c r="E17" s="216"/>
      <c r="F17" s="214">
        <v>-15</v>
      </c>
      <c r="G17" s="214">
        <f t="shared" si="2"/>
        <v>75</v>
      </c>
      <c r="H17" s="215">
        <f t="shared" si="0"/>
        <v>18.239999999999998</v>
      </c>
    </row>
    <row r="18" spans="1:8" ht="30" customHeight="1" x14ac:dyDescent="0.25">
      <c r="A18" s="224" t="s">
        <v>427</v>
      </c>
      <c r="B18" s="213">
        <v>24.3</v>
      </c>
      <c r="C18" s="214">
        <f t="shared" si="1"/>
        <v>0.75999999999999801</v>
      </c>
      <c r="D18" s="214">
        <v>60</v>
      </c>
      <c r="E18" s="216"/>
      <c r="F18" s="214">
        <v>-15</v>
      </c>
      <c r="G18" s="214">
        <f t="shared" si="2"/>
        <v>45</v>
      </c>
      <c r="H18" s="215">
        <f t="shared" si="0"/>
        <v>60.799900000000001</v>
      </c>
    </row>
    <row r="19" spans="1:8" ht="30" customHeight="1" x14ac:dyDescent="0.25">
      <c r="A19" s="224" t="s">
        <v>428</v>
      </c>
      <c r="B19" s="213">
        <v>25.06</v>
      </c>
      <c r="C19" s="214">
        <f t="shared" si="1"/>
        <v>2.34</v>
      </c>
      <c r="D19" s="214">
        <v>90</v>
      </c>
      <c r="E19" s="216"/>
      <c r="F19" s="214">
        <v>-15</v>
      </c>
      <c r="G19" s="214">
        <f t="shared" si="2"/>
        <v>75</v>
      </c>
      <c r="H19" s="215">
        <f t="shared" si="0"/>
        <v>112.32</v>
      </c>
    </row>
    <row r="20" spans="1:8" ht="30" customHeight="1" x14ac:dyDescent="0.25">
      <c r="A20" s="224" t="s">
        <v>367</v>
      </c>
      <c r="B20" s="213">
        <v>27.4</v>
      </c>
      <c r="C20" s="214" t="str">
        <f t="shared" si="1"/>
        <v/>
      </c>
      <c r="D20" s="214"/>
      <c r="E20" s="216"/>
      <c r="F20" s="214"/>
      <c r="G20" s="214" t="str">
        <f t="shared" si="2"/>
        <v/>
      </c>
      <c r="H20" s="215" t="str">
        <f t="shared" si="0"/>
        <v/>
      </c>
    </row>
    <row r="21" spans="1:8" ht="30" hidden="1" customHeight="1" x14ac:dyDescent="0.25">
      <c r="A21" s="224"/>
      <c r="B21" s="213"/>
      <c r="C21" s="214" t="str">
        <f t="shared" si="1"/>
        <v/>
      </c>
      <c r="D21" s="214"/>
      <c r="E21" s="216"/>
      <c r="F21" s="214"/>
      <c r="G21" s="214" t="str">
        <f t="shared" si="2"/>
        <v/>
      </c>
      <c r="H21" s="215" t="str">
        <f t="shared" si="0"/>
        <v/>
      </c>
    </row>
    <row r="22" spans="1:8" ht="30" hidden="1" customHeight="1" x14ac:dyDescent="0.25">
      <c r="A22" s="224"/>
      <c r="B22" s="213"/>
      <c r="C22" s="214" t="str">
        <f t="shared" si="1"/>
        <v/>
      </c>
      <c r="D22" s="214"/>
      <c r="E22" s="216"/>
      <c r="F22" s="214"/>
      <c r="G22" s="214" t="str">
        <f t="shared" si="2"/>
        <v/>
      </c>
      <c r="H22" s="215" t="str">
        <f t="shared" si="0"/>
        <v/>
      </c>
    </row>
    <row r="23" spans="1:8" ht="30" hidden="1" customHeight="1" x14ac:dyDescent="0.25">
      <c r="A23" s="224"/>
      <c r="B23" s="213"/>
      <c r="C23" s="214" t="str">
        <f t="shared" si="1"/>
        <v/>
      </c>
      <c r="D23" s="214"/>
      <c r="E23" s="216"/>
      <c r="F23" s="214"/>
      <c r="G23" s="214" t="str">
        <f t="shared" si="2"/>
        <v/>
      </c>
      <c r="H23" s="215" t="str">
        <f t="shared" si="0"/>
        <v/>
      </c>
    </row>
    <row r="24" spans="1:8" ht="30" hidden="1" customHeight="1" x14ac:dyDescent="0.25">
      <c r="A24" s="224"/>
      <c r="B24" s="213"/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hidden="1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hidden="1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hidden="1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hidden="1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hidden="1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hidden="1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hidden="1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hidden="1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hidden="1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hidden="1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hidden="1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hidden="1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hidden="1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hidden="1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hidden="1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hidden="1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hidden="1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hidden="1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si="0"/>
        <v/>
      </c>
    </row>
    <row r="43" spans="1:8" ht="30" hidden="1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0"/>
        <v/>
      </c>
    </row>
    <row r="44" spans="1:8" ht="30" hidden="1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0"/>
        <v/>
      </c>
    </row>
    <row r="45" spans="1:8" ht="30" hidden="1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0"/>
        <v/>
      </c>
    </row>
    <row r="46" spans="1:8" ht="30" hidden="1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0"/>
        <v/>
      </c>
    </row>
    <row r="47" spans="1:8" ht="30" hidden="1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0"/>
        <v/>
      </c>
    </row>
    <row r="48" spans="1:8" ht="30" hidden="1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0"/>
        <v/>
      </c>
    </row>
    <row r="49" spans="1:8" ht="30" hidden="1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0"/>
        <v/>
      </c>
    </row>
    <row r="50" spans="1:8" ht="30" hidden="1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0"/>
        <v/>
      </c>
    </row>
    <row r="51" spans="1:8" ht="30" hidden="1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0"/>
        <v/>
      </c>
    </row>
    <row r="52" spans="1:8" ht="30" hidden="1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0"/>
        <v/>
      </c>
    </row>
    <row r="53" spans="1:8" ht="30" hidden="1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0"/>
        <v/>
      </c>
    </row>
    <row r="54" spans="1:8" ht="30" hidden="1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0"/>
        <v/>
      </c>
    </row>
    <row r="55" spans="1:8" ht="30" hidden="1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0"/>
        <v/>
      </c>
    </row>
    <row r="56" spans="1:8" ht="30" hidden="1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0"/>
        <v/>
      </c>
    </row>
    <row r="57" spans="1:8" ht="30" hidden="1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0"/>
        <v/>
      </c>
    </row>
    <row r="58" spans="1:8" ht="30" hidden="1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0"/>
        <v/>
      </c>
    </row>
    <row r="59" spans="1:8" ht="30" hidden="1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0"/>
        <v/>
      </c>
    </row>
    <row r="60" spans="1:8" ht="30" hidden="1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0"/>
        <v/>
      </c>
    </row>
    <row r="61" spans="1:8" ht="30" hidden="1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0"/>
        <v/>
      </c>
    </row>
    <row r="62" spans="1:8" ht="30" hidden="1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0"/>
        <v/>
      </c>
    </row>
    <row r="63" spans="1:8" ht="30" hidden="1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0"/>
        <v/>
      </c>
    </row>
    <row r="64" spans="1:8" ht="30" hidden="1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0"/>
        <v/>
      </c>
    </row>
    <row r="65" spans="1:8" ht="30" hidden="1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0"/>
        <v/>
      </c>
    </row>
    <row r="66" spans="1:8" ht="30" hidden="1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0"/>
        <v/>
      </c>
    </row>
    <row r="67" spans="1:8" ht="30" hidden="1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0"/>
        <v/>
      </c>
    </row>
    <row r="68" spans="1:8" ht="30" hidden="1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0"/>
        <v/>
      </c>
    </row>
    <row r="69" spans="1:8" ht="30" hidden="1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0"/>
        <v/>
      </c>
    </row>
    <row r="70" spans="1:8" ht="30" hidden="1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738</v>
      </c>
    </row>
    <row r="72" spans="1:8" ht="15" customHeight="1" x14ac:dyDescent="0.25">
      <c r="B72" s="340">
        <f>ROUND(SUM(C10:C70)/H71*3600,2)</f>
        <v>59.66</v>
      </c>
      <c r="F72" s="26"/>
      <c r="G72" s="222" t="s">
        <v>103</v>
      </c>
      <c r="H72" s="223">
        <f>H71/86400</f>
        <v>8.5416666666666662E-3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H72"/>
  <sheetViews>
    <sheetView view="pageBreakPreview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 t="str">
        <f>_ДС3</f>
        <v>ДС-3 РДС Загородный</v>
      </c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 t="s">
        <v>367</v>
      </c>
      <c r="B10" s="213">
        <v>27.4</v>
      </c>
      <c r="C10" s="214">
        <f>IF(ISNUMBER(B11),B11-B10,"")</f>
        <v>5.0000000000004263E-2</v>
      </c>
      <c r="D10" s="214">
        <v>90</v>
      </c>
      <c r="E10" s="214"/>
      <c r="F10" s="214">
        <v>-15</v>
      </c>
      <c r="G10" s="214">
        <f>IF(C10&lt;&gt;"",D10*IF(ISNUMBER(E10),E10,1)+IF(ISNUMBER(F10),F10,0),"")</f>
        <v>75</v>
      </c>
      <c r="H10" s="215">
        <f t="shared" ref="H10:H69" si="0">IF(G10&lt;&gt;"",ROUNDDOWN(C10/G10*3600,округлениеРД),"")</f>
        <v>2.4</v>
      </c>
    </row>
    <row r="11" spans="1:8" ht="30" customHeight="1" x14ac:dyDescent="0.25">
      <c r="A11" s="224" t="s">
        <v>429</v>
      </c>
      <c r="B11" s="213">
        <v>27.450000000000003</v>
      </c>
      <c r="C11" s="214">
        <f t="shared" ref="C11:C69" si="1">IF(ISNUMBER(B12),B12-B11,"")</f>
        <v>0.63999999999999702</v>
      </c>
      <c r="D11" s="214">
        <v>60</v>
      </c>
      <c r="E11" s="216"/>
      <c r="F11" s="214">
        <v>-15</v>
      </c>
      <c r="G11" s="214">
        <f t="shared" ref="G11:G69" si="2">IF(C11&lt;&gt;"",D11*IF(ISNUMBER(E11),E11,1)+IF(ISNUMBER(F11),F11,0),"")</f>
        <v>45</v>
      </c>
      <c r="H11" s="215">
        <f t="shared" si="0"/>
        <v>51.1999</v>
      </c>
    </row>
    <row r="12" spans="1:8" ht="30" customHeight="1" x14ac:dyDescent="0.25">
      <c r="A12" s="224" t="s">
        <v>430</v>
      </c>
      <c r="B12" s="213">
        <v>28.09</v>
      </c>
      <c r="C12" s="214">
        <f t="shared" si="1"/>
        <v>0.16000000000000014</v>
      </c>
      <c r="D12" s="214">
        <v>90</v>
      </c>
      <c r="E12" s="216"/>
      <c r="F12" s="214">
        <v>-15</v>
      </c>
      <c r="G12" s="214">
        <f t="shared" si="2"/>
        <v>75</v>
      </c>
      <c r="H12" s="215">
        <f t="shared" si="0"/>
        <v>7.68</v>
      </c>
    </row>
    <row r="13" spans="1:8" ht="30" customHeight="1" x14ac:dyDescent="0.25">
      <c r="A13" s="224" t="s">
        <v>429</v>
      </c>
      <c r="B13" s="213">
        <v>28.25</v>
      </c>
      <c r="C13" s="214">
        <f t="shared" si="1"/>
        <v>0.62999999999999901</v>
      </c>
      <c r="D13" s="214">
        <v>60</v>
      </c>
      <c r="E13" s="216"/>
      <c r="F13" s="214">
        <v>-15</v>
      </c>
      <c r="G13" s="214">
        <f t="shared" si="2"/>
        <v>45</v>
      </c>
      <c r="H13" s="215">
        <f t="shared" si="0"/>
        <v>50.399900000000002</v>
      </c>
    </row>
    <row r="14" spans="1:8" ht="30" customHeight="1" x14ac:dyDescent="0.25">
      <c r="A14" s="224" t="s">
        <v>430</v>
      </c>
      <c r="B14" s="213">
        <v>28.88</v>
      </c>
      <c r="C14" s="214">
        <f t="shared" si="1"/>
        <v>2.4300000000000033</v>
      </c>
      <c r="D14" s="214">
        <v>90</v>
      </c>
      <c r="E14" s="216"/>
      <c r="F14" s="214">
        <v>-15</v>
      </c>
      <c r="G14" s="214">
        <f t="shared" si="2"/>
        <v>75</v>
      </c>
      <c r="H14" s="215">
        <f t="shared" si="0"/>
        <v>116.64</v>
      </c>
    </row>
    <row r="15" spans="1:8" ht="30" customHeight="1" x14ac:dyDescent="0.25">
      <c r="A15" s="224" t="s">
        <v>427</v>
      </c>
      <c r="B15" s="213">
        <v>31.310000000000002</v>
      </c>
      <c r="C15" s="214">
        <f t="shared" si="1"/>
        <v>0.67999999999999972</v>
      </c>
      <c r="D15" s="214">
        <v>60</v>
      </c>
      <c r="E15" s="216"/>
      <c r="F15" s="214">
        <v>-15</v>
      </c>
      <c r="G15" s="214">
        <f t="shared" si="2"/>
        <v>45</v>
      </c>
      <c r="H15" s="215">
        <f t="shared" si="0"/>
        <v>54.4</v>
      </c>
    </row>
    <row r="16" spans="1:8" ht="30" customHeight="1" x14ac:dyDescent="0.25">
      <c r="A16" s="224" t="s">
        <v>428</v>
      </c>
      <c r="B16" s="213">
        <v>31.990000000000002</v>
      </c>
      <c r="C16" s="214">
        <f t="shared" si="1"/>
        <v>0.40999999999999659</v>
      </c>
      <c r="D16" s="214">
        <v>90</v>
      </c>
      <c r="E16" s="216"/>
      <c r="F16" s="214">
        <v>-15</v>
      </c>
      <c r="G16" s="214">
        <f t="shared" si="2"/>
        <v>75</v>
      </c>
      <c r="H16" s="215">
        <f t="shared" si="0"/>
        <v>19.6799</v>
      </c>
    </row>
    <row r="17" spans="1:8" ht="30" customHeight="1" x14ac:dyDescent="0.25">
      <c r="A17" s="224" t="s">
        <v>426</v>
      </c>
      <c r="B17" s="213">
        <v>32.4</v>
      </c>
      <c r="C17" s="214">
        <f t="shared" si="1"/>
        <v>0.99000000000000199</v>
      </c>
      <c r="D17" s="214">
        <v>60</v>
      </c>
      <c r="E17" s="216"/>
      <c r="F17" s="214">
        <v>-15</v>
      </c>
      <c r="G17" s="214">
        <f t="shared" si="2"/>
        <v>45</v>
      </c>
      <c r="H17" s="215">
        <f t="shared" si="0"/>
        <v>79.2</v>
      </c>
    </row>
    <row r="18" spans="1:8" ht="30" customHeight="1" x14ac:dyDescent="0.25">
      <c r="A18" s="224" t="str">
        <f>"Поз. " &amp; 'Сектор 2 Про'!C103 &amp; " ДК, ПДД=90 км/ч, Пригорское оконч"</f>
        <v>Поз. 78 ДК, ПДД=90 км/ч, Пригорское оконч</v>
      </c>
      <c r="B18" s="213">
        <v>33.39</v>
      </c>
      <c r="C18" s="214">
        <f t="shared" si="1"/>
        <v>6.269999999999996</v>
      </c>
      <c r="D18" s="214">
        <v>90</v>
      </c>
      <c r="E18" s="216"/>
      <c r="F18" s="214">
        <v>-15</v>
      </c>
      <c r="G18" s="214">
        <f t="shared" si="2"/>
        <v>75</v>
      </c>
      <c r="H18" s="215">
        <f t="shared" si="0"/>
        <v>300.95999999999998</v>
      </c>
    </row>
    <row r="19" spans="1:8" ht="30" customHeight="1" x14ac:dyDescent="0.25">
      <c r="A19" s="224" t="s">
        <v>426</v>
      </c>
      <c r="B19" s="213">
        <v>39.659999999999997</v>
      </c>
      <c r="C19" s="214">
        <f t="shared" si="1"/>
        <v>0.65000000000000568</v>
      </c>
      <c r="D19" s="214">
        <v>60</v>
      </c>
      <c r="E19" s="216"/>
      <c r="F19" s="214">
        <v>-15</v>
      </c>
      <c r="G19" s="214">
        <f t="shared" si="2"/>
        <v>45</v>
      </c>
      <c r="H19" s="215">
        <f t="shared" si="0"/>
        <v>52</v>
      </c>
    </row>
    <row r="20" spans="1:8" ht="30" customHeight="1" x14ac:dyDescent="0.25">
      <c r="A20" s="224" t="str">
        <f>"Поз. " &amp; 'Сектор 2 Про'!C113 &amp; " ДК, V=30 км/ч"</f>
        <v>Поз. 82 ДК, V=30 км/ч</v>
      </c>
      <c r="B20" s="213">
        <v>40.31</v>
      </c>
      <c r="C20" s="214">
        <f t="shared" si="1"/>
        <v>0.32999999999999829</v>
      </c>
      <c r="D20" s="214">
        <v>30</v>
      </c>
      <c r="E20" s="216"/>
      <c r="F20" s="214"/>
      <c r="G20" s="214">
        <f t="shared" si="2"/>
        <v>30</v>
      </c>
      <c r="H20" s="215">
        <f t="shared" si="0"/>
        <v>39.599899999999998</v>
      </c>
    </row>
    <row r="21" spans="1:8" ht="30" customHeight="1" x14ac:dyDescent="0.25">
      <c r="A21" s="224" t="str">
        <f>"Поз. " &amp; 'Сектор 2 Про'!C115 &amp; " ДК, V=ПДД-15 км/ч"</f>
        <v>Поз. 83 ДК, V=ПДД-15 км/ч</v>
      </c>
      <c r="B21" s="213">
        <v>40.64</v>
      </c>
      <c r="C21" s="214">
        <f t="shared" si="1"/>
        <v>0.38000000000000256</v>
      </c>
      <c r="D21" s="214">
        <v>90</v>
      </c>
      <c r="E21" s="216"/>
      <c r="F21" s="214">
        <v>-15</v>
      </c>
      <c r="G21" s="214">
        <f t="shared" si="2"/>
        <v>75</v>
      </c>
      <c r="H21" s="215">
        <f t="shared" si="0"/>
        <v>18.239999999999998</v>
      </c>
    </row>
    <row r="22" spans="1:8" ht="30" customHeight="1" x14ac:dyDescent="0.25">
      <c r="A22" s="224" t="s">
        <v>427</v>
      </c>
      <c r="B22" s="213">
        <v>41.02</v>
      </c>
      <c r="C22" s="214">
        <f t="shared" si="1"/>
        <v>0.75999999999999801</v>
      </c>
      <c r="D22" s="214">
        <v>60</v>
      </c>
      <c r="E22" s="216"/>
      <c r="F22" s="214">
        <v>-15</v>
      </c>
      <c r="G22" s="214">
        <f t="shared" si="2"/>
        <v>45</v>
      </c>
      <c r="H22" s="215">
        <f t="shared" si="0"/>
        <v>60.799900000000001</v>
      </c>
    </row>
    <row r="23" spans="1:8" ht="30" customHeight="1" x14ac:dyDescent="0.25">
      <c r="A23" s="224" t="s">
        <v>428</v>
      </c>
      <c r="B23" s="213">
        <v>41.78</v>
      </c>
      <c r="C23" s="214">
        <f t="shared" si="1"/>
        <v>2.3399999999999963</v>
      </c>
      <c r="D23" s="214">
        <v>90</v>
      </c>
      <c r="E23" s="216"/>
      <c r="F23" s="214">
        <v>-15</v>
      </c>
      <c r="G23" s="214">
        <f t="shared" si="2"/>
        <v>75</v>
      </c>
      <c r="H23" s="215">
        <f t="shared" si="0"/>
        <v>112.32</v>
      </c>
    </row>
    <row r="24" spans="1:8" ht="30" customHeight="1" x14ac:dyDescent="0.25">
      <c r="A24" s="224" t="s">
        <v>367</v>
      </c>
      <c r="B24" s="213">
        <v>44.12</v>
      </c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hidden="1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hidden="1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hidden="1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hidden="1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hidden="1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hidden="1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hidden="1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hidden="1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hidden="1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hidden="1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hidden="1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hidden="1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hidden="1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hidden="1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hidden="1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hidden="1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hidden="1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hidden="1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si="0"/>
        <v/>
      </c>
    </row>
    <row r="43" spans="1:8" ht="30" hidden="1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0"/>
        <v/>
      </c>
    </row>
    <row r="44" spans="1:8" ht="30" hidden="1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0"/>
        <v/>
      </c>
    </row>
    <row r="45" spans="1:8" ht="30" hidden="1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0"/>
        <v/>
      </c>
    </row>
    <row r="46" spans="1:8" ht="30" hidden="1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0"/>
        <v/>
      </c>
    </row>
    <row r="47" spans="1:8" ht="30" hidden="1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0"/>
        <v/>
      </c>
    </row>
    <row r="48" spans="1:8" ht="30" hidden="1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0"/>
        <v/>
      </c>
    </row>
    <row r="49" spans="1:8" ht="30" hidden="1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0"/>
        <v/>
      </c>
    </row>
    <row r="50" spans="1:8" ht="30" hidden="1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0"/>
        <v/>
      </c>
    </row>
    <row r="51" spans="1:8" ht="30" hidden="1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0"/>
        <v/>
      </c>
    </row>
    <row r="52" spans="1:8" ht="30" hidden="1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0"/>
        <v/>
      </c>
    </row>
    <row r="53" spans="1:8" ht="30" hidden="1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0"/>
        <v/>
      </c>
    </row>
    <row r="54" spans="1:8" ht="30" hidden="1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0"/>
        <v/>
      </c>
    </row>
    <row r="55" spans="1:8" ht="30" hidden="1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0"/>
        <v/>
      </c>
    </row>
    <row r="56" spans="1:8" ht="30" hidden="1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0"/>
        <v/>
      </c>
    </row>
    <row r="57" spans="1:8" ht="30" hidden="1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0"/>
        <v/>
      </c>
    </row>
    <row r="58" spans="1:8" ht="30" hidden="1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0"/>
        <v/>
      </c>
    </row>
    <row r="59" spans="1:8" ht="30" hidden="1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0"/>
        <v/>
      </c>
    </row>
    <row r="60" spans="1:8" ht="30" hidden="1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0"/>
        <v/>
      </c>
    </row>
    <row r="61" spans="1:8" ht="30" hidden="1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0"/>
        <v/>
      </c>
    </row>
    <row r="62" spans="1:8" ht="30" hidden="1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0"/>
        <v/>
      </c>
    </row>
    <row r="63" spans="1:8" ht="30" hidden="1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0"/>
        <v/>
      </c>
    </row>
    <row r="64" spans="1:8" ht="30" hidden="1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0"/>
        <v/>
      </c>
    </row>
    <row r="65" spans="1:8" ht="30" hidden="1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0"/>
        <v/>
      </c>
    </row>
    <row r="66" spans="1:8" ht="30" hidden="1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0"/>
        <v/>
      </c>
    </row>
    <row r="67" spans="1:8" ht="30" hidden="1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0"/>
        <v/>
      </c>
    </row>
    <row r="68" spans="1:8" ht="30" hidden="1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0"/>
        <v/>
      </c>
    </row>
    <row r="69" spans="1:8" ht="30" hidden="1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0"/>
        <v/>
      </c>
    </row>
    <row r="70" spans="1:8" ht="30" hidden="1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965</v>
      </c>
    </row>
    <row r="72" spans="1:8" ht="15" customHeight="1" x14ac:dyDescent="0.25">
      <c r="B72" s="340">
        <f>ROUND(SUM(C10:C70)/H71*3600,2)</f>
        <v>62.38</v>
      </c>
      <c r="F72" s="26"/>
      <c r="G72" s="222" t="s">
        <v>103</v>
      </c>
      <c r="H72" s="223">
        <f>H71/86400</f>
        <v>1.1168981481481481E-2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H72"/>
  <sheetViews>
    <sheetView view="pageBreakPreview" topLeftCell="A2" zoomScaleSheetLayoutView="100" workbookViewId="0">
      <selection activeCell="C12" sqref="C1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19" t="str">
        <f>_ДС3</f>
        <v>ДС-3 РДС Загородный</v>
      </c>
      <c r="B1" s="14"/>
      <c r="C1" s="14"/>
      <c r="D1" s="14"/>
      <c r="E1" s="14"/>
      <c r="F1" s="73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210" t="s">
        <v>63</v>
      </c>
      <c r="B9" s="211" t="s">
        <v>64</v>
      </c>
      <c r="C9" s="211" t="s">
        <v>65</v>
      </c>
      <c r="D9" s="211" t="s">
        <v>66</v>
      </c>
      <c r="E9" s="211" t="s">
        <v>67</v>
      </c>
      <c r="F9" s="211" t="s">
        <v>46</v>
      </c>
      <c r="G9" s="211" t="s">
        <v>68</v>
      </c>
      <c r="H9" s="212" t="s">
        <v>69</v>
      </c>
    </row>
    <row r="10" spans="1:8" ht="30" customHeight="1" x14ac:dyDescent="0.25">
      <c r="A10" s="224" t="s">
        <v>367</v>
      </c>
      <c r="B10" s="213">
        <v>44.12</v>
      </c>
      <c r="C10" s="214">
        <f>IF(ISNUMBER(B11),B11-B10,"")</f>
        <v>5.0000000000004263E-2</v>
      </c>
      <c r="D10" s="214">
        <v>90</v>
      </c>
      <c r="E10" s="214"/>
      <c r="F10" s="214">
        <v>-15</v>
      </c>
      <c r="G10" s="214">
        <f>IF(C10&lt;&gt;"",D10*IF(ISNUMBER(E10),E10,1)+IF(ISNUMBER(F10),F10,0),"")</f>
        <v>75</v>
      </c>
      <c r="H10" s="215">
        <f t="shared" ref="H10:H69" si="0">IF(G10&lt;&gt;"",ROUNDDOWN(C10/G10*3600,округлениеРД),"")</f>
        <v>2.4</v>
      </c>
    </row>
    <row r="11" spans="1:8" ht="30" customHeight="1" x14ac:dyDescent="0.25">
      <c r="A11" s="224" t="s">
        <v>429</v>
      </c>
      <c r="B11" s="213">
        <v>44.17</v>
      </c>
      <c r="C11" s="214">
        <f t="shared" ref="C11:C69" si="1">IF(ISNUMBER(B12),B12-B11,"")</f>
        <v>0.64000000000000057</v>
      </c>
      <c r="D11" s="214">
        <v>60</v>
      </c>
      <c r="E11" s="216"/>
      <c r="F11" s="214">
        <v>-15</v>
      </c>
      <c r="G11" s="214">
        <f t="shared" ref="G11:G69" si="2">IF(C11&lt;&gt;"",D11*IF(ISNUMBER(E11),E11,1)+IF(ISNUMBER(F11),F11,0),"")</f>
        <v>45</v>
      </c>
      <c r="H11" s="215">
        <f t="shared" si="0"/>
        <v>51.2</v>
      </c>
    </row>
    <row r="12" spans="1:8" ht="30" customHeight="1" x14ac:dyDescent="0.25">
      <c r="A12" s="224" t="s">
        <v>430</v>
      </c>
      <c r="B12" s="213">
        <v>44.81</v>
      </c>
      <c r="C12" s="214">
        <f t="shared" si="1"/>
        <v>0.21999999999999886</v>
      </c>
      <c r="D12" s="214">
        <v>90</v>
      </c>
      <c r="E12" s="216"/>
      <c r="F12" s="214">
        <v>-15</v>
      </c>
      <c r="G12" s="214">
        <f t="shared" si="2"/>
        <v>75</v>
      </c>
      <c r="H12" s="215">
        <f t="shared" si="0"/>
        <v>10.559900000000001</v>
      </c>
    </row>
    <row r="13" spans="1:8" ht="30" customHeight="1" x14ac:dyDescent="0.25">
      <c r="A13" s="224" t="s">
        <v>431</v>
      </c>
      <c r="B13" s="213">
        <v>45.03</v>
      </c>
      <c r="C13" s="214">
        <f t="shared" si="1"/>
        <v>0.67000000000000171</v>
      </c>
      <c r="D13" s="214">
        <v>60</v>
      </c>
      <c r="E13" s="216"/>
      <c r="F13" s="214">
        <v>-15</v>
      </c>
      <c r="G13" s="214">
        <f t="shared" si="2"/>
        <v>45</v>
      </c>
      <c r="H13" s="215">
        <f t="shared" si="0"/>
        <v>53.6</v>
      </c>
    </row>
    <row r="14" spans="1:8" ht="30" customHeight="1" x14ac:dyDescent="0.25">
      <c r="A14" s="224" t="s">
        <v>432</v>
      </c>
      <c r="B14" s="213">
        <v>45.7</v>
      </c>
      <c r="C14" s="214">
        <f t="shared" si="1"/>
        <v>4.1599999999999966</v>
      </c>
      <c r="D14" s="214">
        <v>90</v>
      </c>
      <c r="E14" s="216"/>
      <c r="F14" s="214">
        <v>-15</v>
      </c>
      <c r="G14" s="214">
        <f t="shared" si="2"/>
        <v>75</v>
      </c>
      <c r="H14" s="215">
        <f t="shared" si="0"/>
        <v>199.68</v>
      </c>
    </row>
    <row r="15" spans="1:8" ht="30" customHeight="1" x14ac:dyDescent="0.25">
      <c r="A15" s="224" t="str">
        <f>"Поз. " &amp; 'Сектор 2 Про'!C135 &amp; " ДК, V=45 км/ч"</f>
        <v>Поз. 86 ДК, V=45 км/ч</v>
      </c>
      <c r="B15" s="213">
        <v>49.86</v>
      </c>
      <c r="C15" s="214">
        <f t="shared" si="1"/>
        <v>1.3400000000000034</v>
      </c>
      <c r="D15" s="214">
        <v>45</v>
      </c>
      <c r="E15" s="216"/>
      <c r="F15" s="214"/>
      <c r="G15" s="214">
        <f t="shared" si="2"/>
        <v>45</v>
      </c>
      <c r="H15" s="215">
        <f t="shared" si="0"/>
        <v>107.2</v>
      </c>
    </row>
    <row r="16" spans="1:8" ht="30" customHeight="1" x14ac:dyDescent="0.25">
      <c r="A16" s="224" t="str">
        <f>"Поз. " &amp; 'Сектор 2 Про'!C145 &amp; " ДК, V=20 км/ч"</f>
        <v>Поз. 90 ДК, V=20 км/ч</v>
      </c>
      <c r="B16" s="213">
        <v>51.2</v>
      </c>
      <c r="C16" s="214">
        <f t="shared" si="1"/>
        <v>0.48999999999999488</v>
      </c>
      <c r="D16" s="214">
        <v>20</v>
      </c>
      <c r="E16" s="216"/>
      <c r="F16" s="214"/>
      <c r="G16" s="214">
        <f t="shared" si="2"/>
        <v>20</v>
      </c>
      <c r="H16" s="215">
        <f t="shared" si="0"/>
        <v>88.1999</v>
      </c>
    </row>
    <row r="17" spans="1:8" ht="30" customHeight="1" x14ac:dyDescent="0.25">
      <c r="A17" s="224" t="str">
        <f>"Поз. " &amp; 'Сектор 2 Про'!C153 &amp; " ДК, V=ПДД-15 км/ч"</f>
        <v>Поз. 93 ДК, V=ПДД-15 км/ч</v>
      </c>
      <c r="B17" s="213">
        <v>51.69</v>
      </c>
      <c r="C17" s="214">
        <f t="shared" si="1"/>
        <v>5.9200000000000017</v>
      </c>
      <c r="D17" s="214">
        <v>90</v>
      </c>
      <c r="E17" s="216"/>
      <c r="F17" s="214">
        <v>-15</v>
      </c>
      <c r="G17" s="214">
        <f t="shared" si="2"/>
        <v>75</v>
      </c>
      <c r="H17" s="215">
        <f t="shared" si="0"/>
        <v>284.16000000000003</v>
      </c>
    </row>
    <row r="18" spans="1:8" ht="30" customHeight="1" x14ac:dyDescent="0.25">
      <c r="A18" s="224" t="s">
        <v>431</v>
      </c>
      <c r="B18" s="213">
        <v>57.61</v>
      </c>
      <c r="C18" s="214">
        <f t="shared" si="1"/>
        <v>0.67000000000000171</v>
      </c>
      <c r="D18" s="214">
        <v>60</v>
      </c>
      <c r="E18" s="216"/>
      <c r="F18" s="214">
        <v>-15</v>
      </c>
      <c r="G18" s="214">
        <f t="shared" si="2"/>
        <v>45</v>
      </c>
      <c r="H18" s="215">
        <f t="shared" si="0"/>
        <v>53.6</v>
      </c>
    </row>
    <row r="19" spans="1:8" ht="30" customHeight="1" x14ac:dyDescent="0.25">
      <c r="A19" s="224" t="s">
        <v>432</v>
      </c>
      <c r="B19" s="213">
        <v>58.28</v>
      </c>
      <c r="C19" s="214">
        <f t="shared" si="1"/>
        <v>0.22999999999999687</v>
      </c>
      <c r="D19" s="214">
        <v>90</v>
      </c>
      <c r="E19" s="216"/>
      <c r="F19" s="214">
        <v>-15</v>
      </c>
      <c r="G19" s="214">
        <f t="shared" si="2"/>
        <v>75</v>
      </c>
      <c r="H19" s="215">
        <f t="shared" si="0"/>
        <v>11.039899999999999</v>
      </c>
    </row>
    <row r="20" spans="1:8" ht="30" customHeight="1" x14ac:dyDescent="0.25">
      <c r="A20" s="224" t="s">
        <v>429</v>
      </c>
      <c r="B20" s="213">
        <v>58.51</v>
      </c>
      <c r="C20" s="214">
        <f t="shared" si="1"/>
        <v>0.63000000000000256</v>
      </c>
      <c r="D20" s="214">
        <v>60</v>
      </c>
      <c r="E20" s="216"/>
      <c r="F20" s="214">
        <v>-15</v>
      </c>
      <c r="G20" s="214">
        <f t="shared" si="2"/>
        <v>45</v>
      </c>
      <c r="H20" s="215">
        <f t="shared" si="0"/>
        <v>50.4</v>
      </c>
    </row>
    <row r="21" spans="1:8" ht="30" customHeight="1" x14ac:dyDescent="0.25">
      <c r="A21" s="224" t="str">
        <f>"Поз. " &amp; 'Сектор 2 Про'!C163 &amp; " ДК, ПДД=90 км/ч, Талашкино оконч"</f>
        <v>Поз. 95 ДК, ПДД=90 км/ч, Талашкино оконч</v>
      </c>
      <c r="B21" s="213">
        <v>59.14</v>
      </c>
      <c r="C21" s="214">
        <f t="shared" si="1"/>
        <v>1.4399999999999977</v>
      </c>
      <c r="D21" s="214">
        <v>90</v>
      </c>
      <c r="E21" s="216"/>
      <c r="F21" s="214">
        <v>-15</v>
      </c>
      <c r="G21" s="214">
        <f t="shared" si="2"/>
        <v>75</v>
      </c>
      <c r="H21" s="215">
        <f t="shared" si="0"/>
        <v>69.119900000000001</v>
      </c>
    </row>
    <row r="22" spans="1:8" ht="30" customHeight="1" x14ac:dyDescent="0.25">
      <c r="A22" s="224" t="s">
        <v>363</v>
      </c>
      <c r="B22" s="213">
        <v>60.58</v>
      </c>
      <c r="C22" s="214" t="str">
        <f t="shared" si="1"/>
        <v/>
      </c>
      <c r="D22" s="214"/>
      <c r="E22" s="216"/>
      <c r="F22" s="214"/>
      <c r="G22" s="214" t="str">
        <f t="shared" si="2"/>
        <v/>
      </c>
      <c r="H22" s="215" t="str">
        <f t="shared" si="0"/>
        <v/>
      </c>
    </row>
    <row r="23" spans="1:8" ht="30" hidden="1" customHeight="1" x14ac:dyDescent="0.25">
      <c r="A23" s="224"/>
      <c r="B23" s="213"/>
      <c r="C23" s="214" t="str">
        <f t="shared" si="1"/>
        <v/>
      </c>
      <c r="D23" s="214"/>
      <c r="E23" s="216"/>
      <c r="F23" s="214"/>
      <c r="G23" s="214" t="str">
        <f t="shared" si="2"/>
        <v/>
      </c>
      <c r="H23" s="215" t="str">
        <f t="shared" si="0"/>
        <v/>
      </c>
    </row>
    <row r="24" spans="1:8" ht="30" hidden="1" customHeight="1" x14ac:dyDescent="0.25">
      <c r="A24" s="224"/>
      <c r="B24" s="213"/>
      <c r="C24" s="214" t="str">
        <f t="shared" si="1"/>
        <v/>
      </c>
      <c r="D24" s="214"/>
      <c r="E24" s="216"/>
      <c r="F24" s="214"/>
      <c r="G24" s="214" t="str">
        <f t="shared" si="2"/>
        <v/>
      </c>
      <c r="H24" s="215" t="str">
        <f t="shared" si="0"/>
        <v/>
      </c>
    </row>
    <row r="25" spans="1:8" ht="30" hidden="1" customHeight="1" x14ac:dyDescent="0.25">
      <c r="A25" s="224"/>
      <c r="B25" s="213"/>
      <c r="C25" s="214" t="str">
        <f t="shared" si="1"/>
        <v/>
      </c>
      <c r="D25" s="214"/>
      <c r="E25" s="216"/>
      <c r="F25" s="214"/>
      <c r="G25" s="214" t="str">
        <f t="shared" si="2"/>
        <v/>
      </c>
      <c r="H25" s="215" t="str">
        <f t="shared" si="0"/>
        <v/>
      </c>
    </row>
    <row r="26" spans="1:8" ht="30" hidden="1" customHeight="1" x14ac:dyDescent="0.25">
      <c r="A26" s="224"/>
      <c r="B26" s="213"/>
      <c r="C26" s="214" t="str">
        <f t="shared" si="1"/>
        <v/>
      </c>
      <c r="D26" s="214"/>
      <c r="E26" s="216"/>
      <c r="F26" s="214"/>
      <c r="G26" s="214" t="str">
        <f t="shared" si="2"/>
        <v/>
      </c>
      <c r="H26" s="215" t="str">
        <f t="shared" si="0"/>
        <v/>
      </c>
    </row>
    <row r="27" spans="1:8" ht="30" hidden="1" customHeight="1" x14ac:dyDescent="0.25">
      <c r="A27" s="224"/>
      <c r="B27" s="213"/>
      <c r="C27" s="214" t="str">
        <f t="shared" si="1"/>
        <v/>
      </c>
      <c r="D27" s="214"/>
      <c r="E27" s="216"/>
      <c r="F27" s="214"/>
      <c r="G27" s="214" t="str">
        <f t="shared" si="2"/>
        <v/>
      </c>
      <c r="H27" s="215" t="str">
        <f t="shared" si="0"/>
        <v/>
      </c>
    </row>
    <row r="28" spans="1:8" ht="30" hidden="1" customHeight="1" x14ac:dyDescent="0.25">
      <c r="A28" s="224"/>
      <c r="B28" s="213"/>
      <c r="C28" s="214" t="str">
        <f t="shared" si="1"/>
        <v/>
      </c>
      <c r="D28" s="214"/>
      <c r="E28" s="216"/>
      <c r="F28" s="214"/>
      <c r="G28" s="214" t="str">
        <f t="shared" si="2"/>
        <v/>
      </c>
      <c r="H28" s="215" t="str">
        <f t="shared" si="0"/>
        <v/>
      </c>
    </row>
    <row r="29" spans="1:8" ht="30" hidden="1" customHeight="1" x14ac:dyDescent="0.25">
      <c r="A29" s="224"/>
      <c r="B29" s="213"/>
      <c r="C29" s="214" t="str">
        <f t="shared" si="1"/>
        <v/>
      </c>
      <c r="D29" s="214"/>
      <c r="E29" s="216"/>
      <c r="F29" s="214"/>
      <c r="G29" s="214" t="str">
        <f t="shared" si="2"/>
        <v/>
      </c>
      <c r="H29" s="215" t="str">
        <f t="shared" si="0"/>
        <v/>
      </c>
    </row>
    <row r="30" spans="1:8" ht="30" hidden="1" customHeight="1" x14ac:dyDescent="0.25">
      <c r="A30" s="224"/>
      <c r="B30" s="213"/>
      <c r="C30" s="214" t="str">
        <f t="shared" si="1"/>
        <v/>
      </c>
      <c r="D30" s="214"/>
      <c r="E30" s="216"/>
      <c r="F30" s="214"/>
      <c r="G30" s="214" t="str">
        <f t="shared" si="2"/>
        <v/>
      </c>
      <c r="H30" s="215" t="str">
        <f t="shared" si="0"/>
        <v/>
      </c>
    </row>
    <row r="31" spans="1:8" ht="30" hidden="1" customHeight="1" x14ac:dyDescent="0.25">
      <c r="A31" s="224"/>
      <c r="B31" s="213"/>
      <c r="C31" s="214" t="str">
        <f t="shared" si="1"/>
        <v/>
      </c>
      <c r="D31" s="214"/>
      <c r="E31" s="216"/>
      <c r="F31" s="214"/>
      <c r="G31" s="214" t="str">
        <f t="shared" si="2"/>
        <v/>
      </c>
      <c r="H31" s="215" t="str">
        <f t="shared" si="0"/>
        <v/>
      </c>
    </row>
    <row r="32" spans="1:8" ht="30" hidden="1" customHeight="1" x14ac:dyDescent="0.25">
      <c r="A32" s="224"/>
      <c r="B32" s="213"/>
      <c r="C32" s="214" t="str">
        <f t="shared" si="1"/>
        <v/>
      </c>
      <c r="D32" s="214"/>
      <c r="E32" s="216"/>
      <c r="F32" s="214"/>
      <c r="G32" s="214" t="str">
        <f t="shared" si="2"/>
        <v/>
      </c>
      <c r="H32" s="215" t="str">
        <f t="shared" si="0"/>
        <v/>
      </c>
    </row>
    <row r="33" spans="1:8" ht="30" hidden="1" customHeight="1" x14ac:dyDescent="0.25">
      <c r="A33" s="224"/>
      <c r="B33" s="213"/>
      <c r="C33" s="214" t="str">
        <f t="shared" si="1"/>
        <v/>
      </c>
      <c r="D33" s="214"/>
      <c r="E33" s="216"/>
      <c r="F33" s="214"/>
      <c r="G33" s="214" t="str">
        <f t="shared" si="2"/>
        <v/>
      </c>
      <c r="H33" s="215" t="str">
        <f t="shared" si="0"/>
        <v/>
      </c>
    </row>
    <row r="34" spans="1:8" ht="30" hidden="1" customHeight="1" x14ac:dyDescent="0.25">
      <c r="A34" s="224"/>
      <c r="B34" s="213"/>
      <c r="C34" s="214" t="str">
        <f t="shared" si="1"/>
        <v/>
      </c>
      <c r="D34" s="214"/>
      <c r="E34" s="216"/>
      <c r="F34" s="214"/>
      <c r="G34" s="214" t="str">
        <f t="shared" si="2"/>
        <v/>
      </c>
      <c r="H34" s="215" t="str">
        <f t="shared" si="0"/>
        <v/>
      </c>
    </row>
    <row r="35" spans="1:8" ht="30" hidden="1" customHeight="1" x14ac:dyDescent="0.25">
      <c r="A35" s="224"/>
      <c r="B35" s="213"/>
      <c r="C35" s="214" t="str">
        <f t="shared" si="1"/>
        <v/>
      </c>
      <c r="D35" s="214"/>
      <c r="E35" s="216"/>
      <c r="F35" s="214"/>
      <c r="G35" s="214" t="str">
        <f t="shared" si="2"/>
        <v/>
      </c>
      <c r="H35" s="215" t="str">
        <f t="shared" si="0"/>
        <v/>
      </c>
    </row>
    <row r="36" spans="1:8" ht="30" hidden="1" customHeight="1" x14ac:dyDescent="0.25">
      <c r="A36" s="224"/>
      <c r="B36" s="213"/>
      <c r="C36" s="214" t="str">
        <f t="shared" si="1"/>
        <v/>
      </c>
      <c r="D36" s="214"/>
      <c r="E36" s="216"/>
      <c r="F36" s="214"/>
      <c r="G36" s="214" t="str">
        <f t="shared" si="2"/>
        <v/>
      </c>
      <c r="H36" s="215" t="str">
        <f t="shared" si="0"/>
        <v/>
      </c>
    </row>
    <row r="37" spans="1:8" ht="30" hidden="1" customHeight="1" x14ac:dyDescent="0.25">
      <c r="A37" s="224"/>
      <c r="B37" s="213"/>
      <c r="C37" s="214" t="str">
        <f t="shared" si="1"/>
        <v/>
      </c>
      <c r="D37" s="214"/>
      <c r="E37" s="216"/>
      <c r="F37" s="214"/>
      <c r="G37" s="214" t="str">
        <f t="shared" si="2"/>
        <v/>
      </c>
      <c r="H37" s="215" t="str">
        <f t="shared" si="0"/>
        <v/>
      </c>
    </row>
    <row r="38" spans="1:8" ht="30" hidden="1" customHeight="1" x14ac:dyDescent="0.25">
      <c r="A38" s="224"/>
      <c r="B38" s="213"/>
      <c r="C38" s="214" t="str">
        <f t="shared" si="1"/>
        <v/>
      </c>
      <c r="D38" s="214"/>
      <c r="E38" s="216"/>
      <c r="F38" s="214"/>
      <c r="G38" s="214" t="str">
        <f t="shared" si="2"/>
        <v/>
      </c>
      <c r="H38" s="215" t="str">
        <f t="shared" si="0"/>
        <v/>
      </c>
    </row>
    <row r="39" spans="1:8" ht="30" hidden="1" customHeight="1" x14ac:dyDescent="0.25">
      <c r="A39" s="224"/>
      <c r="B39" s="213"/>
      <c r="C39" s="214" t="str">
        <f t="shared" si="1"/>
        <v/>
      </c>
      <c r="D39" s="214"/>
      <c r="E39" s="216"/>
      <c r="F39" s="214"/>
      <c r="G39" s="214" t="str">
        <f t="shared" si="2"/>
        <v/>
      </c>
      <c r="H39" s="215" t="str">
        <f t="shared" si="0"/>
        <v/>
      </c>
    </row>
    <row r="40" spans="1:8" ht="30" hidden="1" customHeight="1" x14ac:dyDescent="0.25">
      <c r="A40" s="224"/>
      <c r="B40" s="213"/>
      <c r="C40" s="214" t="str">
        <f t="shared" si="1"/>
        <v/>
      </c>
      <c r="D40" s="214"/>
      <c r="E40" s="216"/>
      <c r="F40" s="214"/>
      <c r="G40" s="214" t="str">
        <f t="shared" si="2"/>
        <v/>
      </c>
      <c r="H40" s="215" t="str">
        <f t="shared" si="0"/>
        <v/>
      </c>
    </row>
    <row r="41" spans="1:8" ht="30" hidden="1" customHeight="1" x14ac:dyDescent="0.25">
      <c r="A41" s="224"/>
      <c r="B41" s="213"/>
      <c r="C41" s="214" t="str">
        <f t="shared" si="1"/>
        <v/>
      </c>
      <c r="D41" s="214"/>
      <c r="E41" s="216"/>
      <c r="F41" s="214"/>
      <c r="G41" s="214" t="str">
        <f t="shared" si="2"/>
        <v/>
      </c>
      <c r="H41" s="215" t="str">
        <f t="shared" si="0"/>
        <v/>
      </c>
    </row>
    <row r="42" spans="1:8" ht="30" hidden="1" customHeight="1" x14ac:dyDescent="0.25">
      <c r="A42" s="224"/>
      <c r="B42" s="213"/>
      <c r="C42" s="214" t="str">
        <f t="shared" si="1"/>
        <v/>
      </c>
      <c r="D42" s="214"/>
      <c r="E42" s="216"/>
      <c r="F42" s="214"/>
      <c r="G42" s="214" t="str">
        <f t="shared" si="2"/>
        <v/>
      </c>
      <c r="H42" s="215" t="str">
        <f t="shared" si="0"/>
        <v/>
      </c>
    </row>
    <row r="43" spans="1:8" ht="30" hidden="1" customHeight="1" x14ac:dyDescent="0.25">
      <c r="A43" s="224"/>
      <c r="B43" s="213"/>
      <c r="C43" s="214" t="str">
        <f t="shared" si="1"/>
        <v/>
      </c>
      <c r="D43" s="214"/>
      <c r="E43" s="216"/>
      <c r="F43" s="214"/>
      <c r="G43" s="214" t="str">
        <f t="shared" si="2"/>
        <v/>
      </c>
      <c r="H43" s="215" t="str">
        <f t="shared" si="0"/>
        <v/>
      </c>
    </row>
    <row r="44" spans="1:8" ht="30" hidden="1" customHeight="1" x14ac:dyDescent="0.25">
      <c r="A44" s="224"/>
      <c r="B44" s="213"/>
      <c r="C44" s="214" t="str">
        <f t="shared" si="1"/>
        <v/>
      </c>
      <c r="D44" s="214"/>
      <c r="E44" s="216"/>
      <c r="F44" s="214"/>
      <c r="G44" s="214" t="str">
        <f t="shared" si="2"/>
        <v/>
      </c>
      <c r="H44" s="215" t="str">
        <f t="shared" si="0"/>
        <v/>
      </c>
    </row>
    <row r="45" spans="1:8" ht="30" hidden="1" customHeight="1" x14ac:dyDescent="0.25">
      <c r="A45" s="224"/>
      <c r="B45" s="213"/>
      <c r="C45" s="214" t="str">
        <f t="shared" si="1"/>
        <v/>
      </c>
      <c r="D45" s="214"/>
      <c r="E45" s="216"/>
      <c r="F45" s="214"/>
      <c r="G45" s="214" t="str">
        <f t="shared" si="2"/>
        <v/>
      </c>
      <c r="H45" s="215" t="str">
        <f t="shared" si="0"/>
        <v/>
      </c>
    </row>
    <row r="46" spans="1:8" ht="30" hidden="1" customHeight="1" x14ac:dyDescent="0.25">
      <c r="A46" s="224"/>
      <c r="B46" s="213"/>
      <c r="C46" s="214" t="str">
        <f t="shared" si="1"/>
        <v/>
      </c>
      <c r="D46" s="214"/>
      <c r="E46" s="216"/>
      <c r="F46" s="214"/>
      <c r="G46" s="214" t="str">
        <f t="shared" si="2"/>
        <v/>
      </c>
      <c r="H46" s="215" t="str">
        <f t="shared" si="0"/>
        <v/>
      </c>
    </row>
    <row r="47" spans="1:8" ht="30" hidden="1" customHeight="1" x14ac:dyDescent="0.25">
      <c r="A47" s="224"/>
      <c r="B47" s="213"/>
      <c r="C47" s="214" t="str">
        <f t="shared" si="1"/>
        <v/>
      </c>
      <c r="D47" s="214"/>
      <c r="E47" s="216"/>
      <c r="F47" s="214"/>
      <c r="G47" s="214" t="str">
        <f t="shared" si="2"/>
        <v/>
      </c>
      <c r="H47" s="215" t="str">
        <f t="shared" si="0"/>
        <v/>
      </c>
    </row>
    <row r="48" spans="1:8" ht="30" hidden="1" customHeight="1" x14ac:dyDescent="0.25">
      <c r="A48" s="224"/>
      <c r="B48" s="213"/>
      <c r="C48" s="214" t="str">
        <f t="shared" si="1"/>
        <v/>
      </c>
      <c r="D48" s="214"/>
      <c r="E48" s="216"/>
      <c r="F48" s="214"/>
      <c r="G48" s="214" t="str">
        <f t="shared" si="2"/>
        <v/>
      </c>
      <c r="H48" s="215" t="str">
        <f t="shared" si="0"/>
        <v/>
      </c>
    </row>
    <row r="49" spans="1:8" ht="30" hidden="1" customHeight="1" x14ac:dyDescent="0.25">
      <c r="A49" s="224"/>
      <c r="B49" s="213"/>
      <c r="C49" s="214" t="str">
        <f t="shared" si="1"/>
        <v/>
      </c>
      <c r="D49" s="214"/>
      <c r="E49" s="216"/>
      <c r="F49" s="214"/>
      <c r="G49" s="214" t="str">
        <f t="shared" si="2"/>
        <v/>
      </c>
      <c r="H49" s="215" t="str">
        <f t="shared" si="0"/>
        <v/>
      </c>
    </row>
    <row r="50" spans="1:8" ht="30" hidden="1" customHeight="1" x14ac:dyDescent="0.25">
      <c r="A50" s="224"/>
      <c r="B50" s="213"/>
      <c r="C50" s="214" t="str">
        <f t="shared" si="1"/>
        <v/>
      </c>
      <c r="D50" s="214"/>
      <c r="E50" s="216"/>
      <c r="F50" s="214"/>
      <c r="G50" s="214" t="str">
        <f t="shared" si="2"/>
        <v/>
      </c>
      <c r="H50" s="215" t="str">
        <f t="shared" si="0"/>
        <v/>
      </c>
    </row>
    <row r="51" spans="1:8" ht="30" hidden="1" customHeight="1" x14ac:dyDescent="0.25">
      <c r="A51" s="224"/>
      <c r="B51" s="213"/>
      <c r="C51" s="214" t="str">
        <f t="shared" si="1"/>
        <v/>
      </c>
      <c r="D51" s="214"/>
      <c r="E51" s="216"/>
      <c r="F51" s="214"/>
      <c r="G51" s="214" t="str">
        <f t="shared" si="2"/>
        <v/>
      </c>
      <c r="H51" s="215" t="str">
        <f t="shared" si="0"/>
        <v/>
      </c>
    </row>
    <row r="52" spans="1:8" ht="30" hidden="1" customHeight="1" x14ac:dyDescent="0.25">
      <c r="A52" s="224"/>
      <c r="B52" s="213"/>
      <c r="C52" s="214" t="str">
        <f t="shared" si="1"/>
        <v/>
      </c>
      <c r="D52" s="214"/>
      <c r="E52" s="216"/>
      <c r="F52" s="214"/>
      <c r="G52" s="214" t="str">
        <f t="shared" si="2"/>
        <v/>
      </c>
      <c r="H52" s="215" t="str">
        <f t="shared" si="0"/>
        <v/>
      </c>
    </row>
    <row r="53" spans="1:8" ht="30" hidden="1" customHeight="1" x14ac:dyDescent="0.25">
      <c r="A53" s="224"/>
      <c r="B53" s="213"/>
      <c r="C53" s="214" t="str">
        <f t="shared" si="1"/>
        <v/>
      </c>
      <c r="D53" s="214"/>
      <c r="E53" s="216"/>
      <c r="F53" s="214"/>
      <c r="G53" s="214" t="str">
        <f t="shared" si="2"/>
        <v/>
      </c>
      <c r="H53" s="215" t="str">
        <f t="shared" si="0"/>
        <v/>
      </c>
    </row>
    <row r="54" spans="1:8" ht="30" hidden="1" customHeight="1" x14ac:dyDescent="0.25">
      <c r="A54" s="224"/>
      <c r="B54" s="213"/>
      <c r="C54" s="214" t="str">
        <f t="shared" si="1"/>
        <v/>
      </c>
      <c r="D54" s="214"/>
      <c r="E54" s="216"/>
      <c r="F54" s="214"/>
      <c r="G54" s="214" t="str">
        <f t="shared" si="2"/>
        <v/>
      </c>
      <c r="H54" s="215" t="str">
        <f t="shared" si="0"/>
        <v/>
      </c>
    </row>
    <row r="55" spans="1:8" ht="30" hidden="1" customHeight="1" x14ac:dyDescent="0.25">
      <c r="A55" s="224"/>
      <c r="B55" s="213"/>
      <c r="C55" s="214" t="str">
        <f t="shared" si="1"/>
        <v/>
      </c>
      <c r="D55" s="214"/>
      <c r="E55" s="216"/>
      <c r="F55" s="214"/>
      <c r="G55" s="214" t="str">
        <f t="shared" si="2"/>
        <v/>
      </c>
      <c r="H55" s="215" t="str">
        <f t="shared" si="0"/>
        <v/>
      </c>
    </row>
    <row r="56" spans="1:8" ht="30" hidden="1" customHeight="1" x14ac:dyDescent="0.25">
      <c r="A56" s="224"/>
      <c r="B56" s="213"/>
      <c r="C56" s="214" t="str">
        <f t="shared" si="1"/>
        <v/>
      </c>
      <c r="D56" s="214"/>
      <c r="E56" s="216"/>
      <c r="F56" s="214"/>
      <c r="G56" s="214" t="str">
        <f t="shared" si="2"/>
        <v/>
      </c>
      <c r="H56" s="215" t="str">
        <f t="shared" si="0"/>
        <v/>
      </c>
    </row>
    <row r="57" spans="1:8" ht="30" hidden="1" customHeight="1" x14ac:dyDescent="0.25">
      <c r="A57" s="224"/>
      <c r="B57" s="213"/>
      <c r="C57" s="214" t="str">
        <f t="shared" si="1"/>
        <v/>
      </c>
      <c r="D57" s="214"/>
      <c r="E57" s="216"/>
      <c r="F57" s="214"/>
      <c r="G57" s="214" t="str">
        <f t="shared" si="2"/>
        <v/>
      </c>
      <c r="H57" s="215" t="str">
        <f t="shared" si="0"/>
        <v/>
      </c>
    </row>
    <row r="58" spans="1:8" ht="30" hidden="1" customHeight="1" x14ac:dyDescent="0.25">
      <c r="A58" s="224"/>
      <c r="B58" s="213"/>
      <c r="C58" s="214" t="str">
        <f t="shared" si="1"/>
        <v/>
      </c>
      <c r="D58" s="214"/>
      <c r="E58" s="216"/>
      <c r="F58" s="214"/>
      <c r="G58" s="214" t="str">
        <f t="shared" si="2"/>
        <v/>
      </c>
      <c r="H58" s="215" t="str">
        <f t="shared" si="0"/>
        <v/>
      </c>
    </row>
    <row r="59" spans="1:8" ht="30" hidden="1" customHeight="1" x14ac:dyDescent="0.25">
      <c r="A59" s="224"/>
      <c r="B59" s="213"/>
      <c r="C59" s="214" t="str">
        <f t="shared" si="1"/>
        <v/>
      </c>
      <c r="D59" s="214"/>
      <c r="E59" s="216"/>
      <c r="F59" s="214"/>
      <c r="G59" s="214" t="str">
        <f t="shared" si="2"/>
        <v/>
      </c>
      <c r="H59" s="215" t="str">
        <f t="shared" si="0"/>
        <v/>
      </c>
    </row>
    <row r="60" spans="1:8" ht="30" hidden="1" customHeight="1" x14ac:dyDescent="0.25">
      <c r="A60" s="224"/>
      <c r="B60" s="213"/>
      <c r="C60" s="214" t="str">
        <f t="shared" si="1"/>
        <v/>
      </c>
      <c r="D60" s="214"/>
      <c r="E60" s="216"/>
      <c r="F60" s="214"/>
      <c r="G60" s="214" t="str">
        <f t="shared" si="2"/>
        <v/>
      </c>
      <c r="H60" s="215" t="str">
        <f t="shared" si="0"/>
        <v/>
      </c>
    </row>
    <row r="61" spans="1:8" ht="30" hidden="1" customHeight="1" x14ac:dyDescent="0.25">
      <c r="A61" s="224"/>
      <c r="B61" s="213"/>
      <c r="C61" s="214" t="str">
        <f t="shared" si="1"/>
        <v/>
      </c>
      <c r="D61" s="214"/>
      <c r="E61" s="216"/>
      <c r="F61" s="214"/>
      <c r="G61" s="214" t="str">
        <f t="shared" si="2"/>
        <v/>
      </c>
      <c r="H61" s="215" t="str">
        <f t="shared" si="0"/>
        <v/>
      </c>
    </row>
    <row r="62" spans="1:8" ht="30" hidden="1" customHeight="1" x14ac:dyDescent="0.25">
      <c r="A62" s="224"/>
      <c r="B62" s="213"/>
      <c r="C62" s="214" t="str">
        <f t="shared" si="1"/>
        <v/>
      </c>
      <c r="D62" s="214"/>
      <c r="E62" s="216"/>
      <c r="F62" s="214"/>
      <c r="G62" s="214" t="str">
        <f t="shared" si="2"/>
        <v/>
      </c>
      <c r="H62" s="215" t="str">
        <f t="shared" si="0"/>
        <v/>
      </c>
    </row>
    <row r="63" spans="1:8" ht="30" hidden="1" customHeight="1" x14ac:dyDescent="0.25">
      <c r="A63" s="224"/>
      <c r="B63" s="213"/>
      <c r="C63" s="214" t="str">
        <f t="shared" si="1"/>
        <v/>
      </c>
      <c r="D63" s="214"/>
      <c r="E63" s="216"/>
      <c r="F63" s="214"/>
      <c r="G63" s="214" t="str">
        <f t="shared" si="2"/>
        <v/>
      </c>
      <c r="H63" s="215" t="str">
        <f t="shared" si="0"/>
        <v/>
      </c>
    </row>
    <row r="64" spans="1:8" ht="30" hidden="1" customHeight="1" x14ac:dyDescent="0.25">
      <c r="A64" s="224"/>
      <c r="B64" s="213"/>
      <c r="C64" s="214" t="str">
        <f t="shared" si="1"/>
        <v/>
      </c>
      <c r="D64" s="214"/>
      <c r="E64" s="216"/>
      <c r="F64" s="214"/>
      <c r="G64" s="214" t="str">
        <f t="shared" si="2"/>
        <v/>
      </c>
      <c r="H64" s="215" t="str">
        <f t="shared" si="0"/>
        <v/>
      </c>
    </row>
    <row r="65" spans="1:8" ht="30" hidden="1" customHeight="1" x14ac:dyDescent="0.25">
      <c r="A65" s="224"/>
      <c r="B65" s="213"/>
      <c r="C65" s="214" t="str">
        <f t="shared" si="1"/>
        <v/>
      </c>
      <c r="D65" s="214"/>
      <c r="E65" s="216"/>
      <c r="F65" s="214"/>
      <c r="G65" s="214" t="str">
        <f t="shared" si="2"/>
        <v/>
      </c>
      <c r="H65" s="215" t="str">
        <f t="shared" si="0"/>
        <v/>
      </c>
    </row>
    <row r="66" spans="1:8" ht="30" hidden="1" customHeight="1" x14ac:dyDescent="0.25">
      <c r="A66" s="224"/>
      <c r="B66" s="213"/>
      <c r="C66" s="214" t="str">
        <f t="shared" si="1"/>
        <v/>
      </c>
      <c r="D66" s="214"/>
      <c r="E66" s="216"/>
      <c r="F66" s="214"/>
      <c r="G66" s="214" t="str">
        <f t="shared" si="2"/>
        <v/>
      </c>
      <c r="H66" s="215" t="str">
        <f t="shared" si="0"/>
        <v/>
      </c>
    </row>
    <row r="67" spans="1:8" ht="30" hidden="1" customHeight="1" x14ac:dyDescent="0.25">
      <c r="A67" s="224"/>
      <c r="B67" s="213"/>
      <c r="C67" s="214" t="str">
        <f t="shared" si="1"/>
        <v/>
      </c>
      <c r="D67" s="214"/>
      <c r="E67" s="216"/>
      <c r="F67" s="214"/>
      <c r="G67" s="214" t="str">
        <f t="shared" si="2"/>
        <v/>
      </c>
      <c r="H67" s="215" t="str">
        <f t="shared" si="0"/>
        <v/>
      </c>
    </row>
    <row r="68" spans="1:8" ht="30" hidden="1" customHeight="1" x14ac:dyDescent="0.25">
      <c r="A68" s="224"/>
      <c r="B68" s="213"/>
      <c r="C68" s="214" t="str">
        <f t="shared" si="1"/>
        <v/>
      </c>
      <c r="D68" s="214"/>
      <c r="E68" s="216"/>
      <c r="F68" s="214"/>
      <c r="G68" s="214" t="str">
        <f t="shared" si="2"/>
        <v/>
      </c>
      <c r="H68" s="215" t="str">
        <f t="shared" si="0"/>
        <v/>
      </c>
    </row>
    <row r="69" spans="1:8" ht="30" hidden="1" customHeight="1" x14ac:dyDescent="0.25">
      <c r="A69" s="224"/>
      <c r="B69" s="213"/>
      <c r="C69" s="214" t="str">
        <f t="shared" si="1"/>
        <v/>
      </c>
      <c r="D69" s="214"/>
      <c r="E69" s="216"/>
      <c r="F69" s="214"/>
      <c r="G69" s="214" t="str">
        <f t="shared" si="2"/>
        <v/>
      </c>
      <c r="H69" s="215" t="str">
        <f t="shared" si="0"/>
        <v/>
      </c>
    </row>
    <row r="70" spans="1:8" ht="30" hidden="1" customHeight="1" x14ac:dyDescent="0.25">
      <c r="A70" s="224" t="s">
        <v>145</v>
      </c>
      <c r="B70" s="213"/>
      <c r="C70" s="214"/>
      <c r="D70" s="214"/>
      <c r="E70" s="216"/>
      <c r="F70" s="214"/>
      <c r="G70" s="214"/>
      <c r="H70" s="215">
        <v>0</v>
      </c>
    </row>
    <row r="71" spans="1:8" ht="15" customHeight="1" x14ac:dyDescent="0.25">
      <c r="A71" s="217" t="s">
        <v>70</v>
      </c>
      <c r="B71" s="218"/>
      <c r="C71" s="219"/>
      <c r="D71" s="218"/>
      <c r="E71" s="218"/>
      <c r="F71" s="218"/>
      <c r="G71" s="220" t="s">
        <v>71</v>
      </c>
      <c r="H71" s="221">
        <f>ROUNDDOWN(SUM(H10:H70),0)</f>
        <v>981</v>
      </c>
    </row>
    <row r="72" spans="1:8" ht="15" customHeight="1" x14ac:dyDescent="0.25">
      <c r="B72" s="340">
        <f>ROUND(SUM(C10:C70)/H71*3600,2)</f>
        <v>60.4</v>
      </c>
      <c r="F72" s="26"/>
      <c r="G72" s="222" t="s">
        <v>103</v>
      </c>
      <c r="H72" s="223">
        <f>H71/86400</f>
        <v>1.1354166666666667E-2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F69"/>
  <sheetViews>
    <sheetView showZeros="0" tabSelected="1" view="pageBreakPreview" zoomScaleNormal="85" zoomScaleSheetLayoutView="100" workbookViewId="0">
      <pane xSplit="1" ySplit="8" topLeftCell="B26" activePane="bottomRight" state="frozen"/>
      <selection pane="topRight" activeCell="B1" sqref="B1"/>
      <selection pane="bottomLeft" activeCell="A9" sqref="A9"/>
      <selection pane="bottomRight" activeCell="A35" sqref="A35"/>
    </sheetView>
  </sheetViews>
  <sheetFormatPr defaultRowHeight="15.75" x14ac:dyDescent="0.25"/>
  <cols>
    <col min="1" max="1" width="11.85546875" style="588" customWidth="1"/>
    <col min="2" max="5" width="20.7109375" style="2" customWidth="1"/>
    <col min="6" max="9" width="11.85546875" style="2" customWidth="1"/>
    <col min="10" max="10" width="12.85546875" style="2" customWidth="1"/>
    <col min="11" max="12" width="8.7109375" style="2" customWidth="1"/>
    <col min="13" max="13" width="3.7109375" style="2" customWidth="1"/>
    <col min="14" max="19" width="8.7109375" style="2" customWidth="1"/>
    <col min="20" max="20" width="3.7109375" style="2" customWidth="1"/>
    <col min="21" max="27" width="8.7109375" style="2" customWidth="1"/>
    <col min="28" max="28" width="3.7109375" style="2" customWidth="1"/>
    <col min="29" max="35" width="8.7109375" style="2" customWidth="1"/>
    <col min="36" max="36" width="3.7109375" style="2" customWidth="1"/>
    <col min="37" max="40" width="8.7109375" style="2" customWidth="1"/>
    <col min="41" max="41" width="3.7109375" style="2" customWidth="1"/>
    <col min="42" max="57" width="8.7109375" style="2" customWidth="1"/>
    <col min="58" max="58" width="3.7109375" style="2" customWidth="1"/>
    <col min="59" max="62" width="8.7109375" style="2" customWidth="1"/>
    <col min="63" max="63" width="3.7109375" style="2" customWidth="1"/>
    <col min="64" max="67" width="8.7109375" style="2" customWidth="1"/>
    <col min="68" max="68" width="3.7109375" style="2" customWidth="1"/>
    <col min="69" max="70" width="8.7109375" style="2" customWidth="1"/>
    <col min="71" max="71" width="59" style="2" customWidth="1"/>
    <col min="72" max="81" width="8.7109375" style="2" customWidth="1"/>
    <col min="82" max="82" width="3.7109375" style="2" customWidth="1"/>
    <col min="83" max="84" width="8.7109375" style="2" customWidth="1"/>
    <col min="85" max="204" width="9.140625" style="2"/>
    <col min="205" max="205" width="18.7109375" style="2" customWidth="1"/>
    <col min="206" max="206" width="18.140625" style="2" customWidth="1"/>
    <col min="207" max="207" width="8.7109375" style="2" customWidth="1"/>
    <col min="208" max="208" width="9.140625" style="2"/>
    <col min="209" max="209" width="9.140625" style="2" customWidth="1"/>
    <col min="210" max="210" width="27.28515625" style="2" customWidth="1"/>
    <col min="211" max="246" width="9.140625" style="2" customWidth="1"/>
    <col min="247" max="460" width="9.140625" style="2"/>
    <col min="461" max="461" width="18.7109375" style="2" customWidth="1"/>
    <col min="462" max="462" width="18.140625" style="2" customWidth="1"/>
    <col min="463" max="463" width="8.7109375" style="2" customWidth="1"/>
    <col min="464" max="464" width="9.140625" style="2"/>
    <col min="465" max="465" width="9.140625" style="2" customWidth="1"/>
    <col min="466" max="466" width="27.28515625" style="2" customWidth="1"/>
    <col min="467" max="502" width="9.140625" style="2" customWidth="1"/>
    <col min="503" max="716" width="9.140625" style="2"/>
    <col min="717" max="717" width="18.7109375" style="2" customWidth="1"/>
    <col min="718" max="718" width="18.140625" style="2" customWidth="1"/>
    <col min="719" max="719" width="8.7109375" style="2" customWidth="1"/>
    <col min="720" max="720" width="9.140625" style="2"/>
    <col min="721" max="721" width="9.140625" style="2" customWidth="1"/>
    <col min="722" max="722" width="27.28515625" style="2" customWidth="1"/>
    <col min="723" max="758" width="9.140625" style="2" customWidth="1"/>
    <col min="759" max="972" width="9.140625" style="2"/>
    <col min="973" max="973" width="18.7109375" style="2" customWidth="1"/>
    <col min="974" max="974" width="18.140625" style="2" customWidth="1"/>
    <col min="975" max="975" width="8.7109375" style="2" customWidth="1"/>
    <col min="976" max="976" width="9.140625" style="2"/>
    <col min="977" max="977" width="9.140625" style="2" customWidth="1"/>
    <col min="978" max="978" width="27.28515625" style="2" customWidth="1"/>
    <col min="979" max="1014" width="9.140625" style="2" customWidth="1"/>
    <col min="1015" max="1228" width="9.140625" style="2"/>
    <col min="1229" max="1229" width="18.7109375" style="2" customWidth="1"/>
    <col min="1230" max="1230" width="18.140625" style="2" customWidth="1"/>
    <col min="1231" max="1231" width="8.7109375" style="2" customWidth="1"/>
    <col min="1232" max="1232" width="9.140625" style="2"/>
    <col min="1233" max="1233" width="9.140625" style="2" customWidth="1"/>
    <col min="1234" max="1234" width="27.28515625" style="2" customWidth="1"/>
    <col min="1235" max="1270" width="9.140625" style="2" customWidth="1"/>
    <col min="1271" max="1484" width="9.140625" style="2"/>
    <col min="1485" max="1485" width="18.7109375" style="2" customWidth="1"/>
    <col min="1486" max="1486" width="18.140625" style="2" customWidth="1"/>
    <col min="1487" max="1487" width="8.7109375" style="2" customWidth="1"/>
    <col min="1488" max="1488" width="9.140625" style="2"/>
    <col min="1489" max="1489" width="9.140625" style="2" customWidth="1"/>
    <col min="1490" max="1490" width="27.28515625" style="2" customWidth="1"/>
    <col min="1491" max="1526" width="9.140625" style="2" customWidth="1"/>
    <col min="1527" max="1740" width="9.140625" style="2"/>
    <col min="1741" max="1741" width="18.7109375" style="2" customWidth="1"/>
    <col min="1742" max="1742" width="18.140625" style="2" customWidth="1"/>
    <col min="1743" max="1743" width="8.7109375" style="2" customWidth="1"/>
    <col min="1744" max="1744" width="9.140625" style="2"/>
    <col min="1745" max="1745" width="9.140625" style="2" customWidth="1"/>
    <col min="1746" max="1746" width="27.28515625" style="2" customWidth="1"/>
    <col min="1747" max="1782" width="9.140625" style="2" customWidth="1"/>
    <col min="1783" max="1996" width="9.140625" style="2"/>
    <col min="1997" max="1997" width="18.7109375" style="2" customWidth="1"/>
    <col min="1998" max="1998" width="18.140625" style="2" customWidth="1"/>
    <col min="1999" max="1999" width="8.7109375" style="2" customWidth="1"/>
    <col min="2000" max="2000" width="9.140625" style="2"/>
    <col min="2001" max="2001" width="9.140625" style="2" customWidth="1"/>
    <col min="2002" max="2002" width="27.28515625" style="2" customWidth="1"/>
    <col min="2003" max="2038" width="9.140625" style="2" customWidth="1"/>
    <col min="2039" max="2252" width="9.140625" style="2"/>
    <col min="2253" max="2253" width="18.7109375" style="2" customWidth="1"/>
    <col min="2254" max="2254" width="18.140625" style="2" customWidth="1"/>
    <col min="2255" max="2255" width="8.7109375" style="2" customWidth="1"/>
    <col min="2256" max="2256" width="9.140625" style="2"/>
    <col min="2257" max="2257" width="9.140625" style="2" customWidth="1"/>
    <col min="2258" max="2258" width="27.28515625" style="2" customWidth="1"/>
    <col min="2259" max="2294" width="9.140625" style="2" customWidth="1"/>
    <col min="2295" max="2508" width="9.140625" style="2"/>
    <col min="2509" max="2509" width="18.7109375" style="2" customWidth="1"/>
    <col min="2510" max="2510" width="18.140625" style="2" customWidth="1"/>
    <col min="2511" max="2511" width="8.7109375" style="2" customWidth="1"/>
    <col min="2512" max="2512" width="9.140625" style="2"/>
    <col min="2513" max="2513" width="9.140625" style="2" customWidth="1"/>
    <col min="2514" max="2514" width="27.28515625" style="2" customWidth="1"/>
    <col min="2515" max="2550" width="9.140625" style="2" customWidth="1"/>
    <col min="2551" max="2764" width="9.140625" style="2"/>
    <col min="2765" max="2765" width="18.7109375" style="2" customWidth="1"/>
    <col min="2766" max="2766" width="18.140625" style="2" customWidth="1"/>
    <col min="2767" max="2767" width="8.7109375" style="2" customWidth="1"/>
    <col min="2768" max="2768" width="9.140625" style="2"/>
    <col min="2769" max="2769" width="9.140625" style="2" customWidth="1"/>
    <col min="2770" max="2770" width="27.28515625" style="2" customWidth="1"/>
    <col min="2771" max="2806" width="9.140625" style="2" customWidth="1"/>
    <col min="2807" max="3020" width="9.140625" style="2"/>
    <col min="3021" max="3021" width="18.7109375" style="2" customWidth="1"/>
    <col min="3022" max="3022" width="18.140625" style="2" customWidth="1"/>
    <col min="3023" max="3023" width="8.7109375" style="2" customWidth="1"/>
    <col min="3024" max="3024" width="9.140625" style="2"/>
    <col min="3025" max="3025" width="9.140625" style="2" customWidth="1"/>
    <col min="3026" max="3026" width="27.28515625" style="2" customWidth="1"/>
    <col min="3027" max="3062" width="9.140625" style="2" customWidth="1"/>
    <col min="3063" max="3276" width="9.140625" style="2"/>
    <col min="3277" max="3277" width="18.7109375" style="2" customWidth="1"/>
    <col min="3278" max="3278" width="18.140625" style="2" customWidth="1"/>
    <col min="3279" max="3279" width="8.7109375" style="2" customWidth="1"/>
    <col min="3280" max="3280" width="9.140625" style="2"/>
    <col min="3281" max="3281" width="9.140625" style="2" customWidth="1"/>
    <col min="3282" max="3282" width="27.28515625" style="2" customWidth="1"/>
    <col min="3283" max="3318" width="9.140625" style="2" customWidth="1"/>
    <col min="3319" max="3532" width="9.140625" style="2"/>
    <col min="3533" max="3533" width="18.7109375" style="2" customWidth="1"/>
    <col min="3534" max="3534" width="18.140625" style="2" customWidth="1"/>
    <col min="3535" max="3535" width="8.7109375" style="2" customWidth="1"/>
    <col min="3536" max="3536" width="9.140625" style="2"/>
    <col min="3537" max="3537" width="9.140625" style="2" customWidth="1"/>
    <col min="3538" max="3538" width="27.28515625" style="2" customWidth="1"/>
    <col min="3539" max="3574" width="9.140625" style="2" customWidth="1"/>
    <col min="3575" max="3788" width="9.140625" style="2"/>
    <col min="3789" max="3789" width="18.7109375" style="2" customWidth="1"/>
    <col min="3790" max="3790" width="18.140625" style="2" customWidth="1"/>
    <col min="3791" max="3791" width="8.7109375" style="2" customWidth="1"/>
    <col min="3792" max="3792" width="9.140625" style="2"/>
    <col min="3793" max="3793" width="9.140625" style="2" customWidth="1"/>
    <col min="3794" max="3794" width="27.28515625" style="2" customWidth="1"/>
    <col min="3795" max="3830" width="9.140625" style="2" customWidth="1"/>
    <col min="3831" max="4044" width="9.140625" style="2"/>
    <col min="4045" max="4045" width="18.7109375" style="2" customWidth="1"/>
    <col min="4046" max="4046" width="18.140625" style="2" customWidth="1"/>
    <col min="4047" max="4047" width="8.7109375" style="2" customWidth="1"/>
    <col min="4048" max="4048" width="9.140625" style="2"/>
    <col min="4049" max="4049" width="9.140625" style="2" customWidth="1"/>
    <col min="4050" max="4050" width="27.28515625" style="2" customWidth="1"/>
    <col min="4051" max="4086" width="9.140625" style="2" customWidth="1"/>
    <col min="4087" max="4300" width="9.140625" style="2"/>
    <col min="4301" max="4301" width="18.7109375" style="2" customWidth="1"/>
    <col min="4302" max="4302" width="18.140625" style="2" customWidth="1"/>
    <col min="4303" max="4303" width="8.7109375" style="2" customWidth="1"/>
    <col min="4304" max="4304" width="9.140625" style="2"/>
    <col min="4305" max="4305" width="9.140625" style="2" customWidth="1"/>
    <col min="4306" max="4306" width="27.28515625" style="2" customWidth="1"/>
    <col min="4307" max="4342" width="9.140625" style="2" customWidth="1"/>
    <col min="4343" max="4556" width="9.140625" style="2"/>
    <col min="4557" max="4557" width="18.7109375" style="2" customWidth="1"/>
    <col min="4558" max="4558" width="18.140625" style="2" customWidth="1"/>
    <col min="4559" max="4559" width="8.7109375" style="2" customWidth="1"/>
    <col min="4560" max="4560" width="9.140625" style="2"/>
    <col min="4561" max="4561" width="9.140625" style="2" customWidth="1"/>
    <col min="4562" max="4562" width="27.28515625" style="2" customWidth="1"/>
    <col min="4563" max="4598" width="9.140625" style="2" customWidth="1"/>
    <col min="4599" max="4812" width="9.140625" style="2"/>
    <col min="4813" max="4813" width="18.7109375" style="2" customWidth="1"/>
    <col min="4814" max="4814" width="18.140625" style="2" customWidth="1"/>
    <col min="4815" max="4815" width="8.7109375" style="2" customWidth="1"/>
    <col min="4816" max="4816" width="9.140625" style="2"/>
    <col min="4817" max="4817" width="9.140625" style="2" customWidth="1"/>
    <col min="4818" max="4818" width="27.28515625" style="2" customWidth="1"/>
    <col min="4819" max="4854" width="9.140625" style="2" customWidth="1"/>
    <col min="4855" max="5068" width="9.140625" style="2"/>
    <col min="5069" max="5069" width="18.7109375" style="2" customWidth="1"/>
    <col min="5070" max="5070" width="18.140625" style="2" customWidth="1"/>
    <col min="5071" max="5071" width="8.7109375" style="2" customWidth="1"/>
    <col min="5072" max="5072" width="9.140625" style="2"/>
    <col min="5073" max="5073" width="9.140625" style="2" customWidth="1"/>
    <col min="5074" max="5074" width="27.28515625" style="2" customWidth="1"/>
    <col min="5075" max="5110" width="9.140625" style="2" customWidth="1"/>
    <col min="5111" max="5324" width="9.140625" style="2"/>
    <col min="5325" max="5325" width="18.7109375" style="2" customWidth="1"/>
    <col min="5326" max="5326" width="18.140625" style="2" customWidth="1"/>
    <col min="5327" max="5327" width="8.7109375" style="2" customWidth="1"/>
    <col min="5328" max="5328" width="9.140625" style="2"/>
    <col min="5329" max="5329" width="9.140625" style="2" customWidth="1"/>
    <col min="5330" max="5330" width="27.28515625" style="2" customWidth="1"/>
    <col min="5331" max="5366" width="9.140625" style="2" customWidth="1"/>
    <col min="5367" max="5580" width="9.140625" style="2"/>
    <col min="5581" max="5581" width="18.7109375" style="2" customWidth="1"/>
    <col min="5582" max="5582" width="18.140625" style="2" customWidth="1"/>
    <col min="5583" max="5583" width="8.7109375" style="2" customWidth="1"/>
    <col min="5584" max="5584" width="9.140625" style="2"/>
    <col min="5585" max="5585" width="9.140625" style="2" customWidth="1"/>
    <col min="5586" max="5586" width="27.28515625" style="2" customWidth="1"/>
    <col min="5587" max="5622" width="9.140625" style="2" customWidth="1"/>
    <col min="5623" max="5836" width="9.140625" style="2"/>
    <col min="5837" max="5837" width="18.7109375" style="2" customWidth="1"/>
    <col min="5838" max="5838" width="18.140625" style="2" customWidth="1"/>
    <col min="5839" max="5839" width="8.7109375" style="2" customWidth="1"/>
    <col min="5840" max="5840" width="9.140625" style="2"/>
    <col min="5841" max="5841" width="9.140625" style="2" customWidth="1"/>
    <col min="5842" max="5842" width="27.28515625" style="2" customWidth="1"/>
    <col min="5843" max="5878" width="9.140625" style="2" customWidth="1"/>
    <col min="5879" max="6092" width="9.140625" style="2"/>
    <col min="6093" max="6093" width="18.7109375" style="2" customWidth="1"/>
    <col min="6094" max="6094" width="18.140625" style="2" customWidth="1"/>
    <col min="6095" max="6095" width="8.7109375" style="2" customWidth="1"/>
    <col min="6096" max="6096" width="9.140625" style="2"/>
    <col min="6097" max="6097" width="9.140625" style="2" customWidth="1"/>
    <col min="6098" max="6098" width="27.28515625" style="2" customWidth="1"/>
    <col min="6099" max="6134" width="9.140625" style="2" customWidth="1"/>
    <col min="6135" max="6348" width="9.140625" style="2"/>
    <col min="6349" max="6349" width="18.7109375" style="2" customWidth="1"/>
    <col min="6350" max="6350" width="18.140625" style="2" customWidth="1"/>
    <col min="6351" max="6351" width="8.7109375" style="2" customWidth="1"/>
    <col min="6352" max="6352" width="9.140625" style="2"/>
    <col min="6353" max="6353" width="9.140625" style="2" customWidth="1"/>
    <col min="6354" max="6354" width="27.28515625" style="2" customWidth="1"/>
    <col min="6355" max="6390" width="9.140625" style="2" customWidth="1"/>
    <col min="6391" max="6604" width="9.140625" style="2"/>
    <col min="6605" max="6605" width="18.7109375" style="2" customWidth="1"/>
    <col min="6606" max="6606" width="18.140625" style="2" customWidth="1"/>
    <col min="6607" max="6607" width="8.7109375" style="2" customWidth="1"/>
    <col min="6608" max="6608" width="9.140625" style="2"/>
    <col min="6609" max="6609" width="9.140625" style="2" customWidth="1"/>
    <col min="6610" max="6610" width="27.28515625" style="2" customWidth="1"/>
    <col min="6611" max="6646" width="9.140625" style="2" customWidth="1"/>
    <col min="6647" max="6860" width="9.140625" style="2"/>
    <col min="6861" max="6861" width="18.7109375" style="2" customWidth="1"/>
    <col min="6862" max="6862" width="18.140625" style="2" customWidth="1"/>
    <col min="6863" max="6863" width="8.7109375" style="2" customWidth="1"/>
    <col min="6864" max="6864" width="9.140625" style="2"/>
    <col min="6865" max="6865" width="9.140625" style="2" customWidth="1"/>
    <col min="6866" max="6866" width="27.28515625" style="2" customWidth="1"/>
    <col min="6867" max="6902" width="9.140625" style="2" customWidth="1"/>
    <col min="6903" max="7116" width="9.140625" style="2"/>
    <col min="7117" max="7117" width="18.7109375" style="2" customWidth="1"/>
    <col min="7118" max="7118" width="18.140625" style="2" customWidth="1"/>
    <col min="7119" max="7119" width="8.7109375" style="2" customWidth="1"/>
    <col min="7120" max="7120" width="9.140625" style="2"/>
    <col min="7121" max="7121" width="9.140625" style="2" customWidth="1"/>
    <col min="7122" max="7122" width="27.28515625" style="2" customWidth="1"/>
    <col min="7123" max="7158" width="9.140625" style="2" customWidth="1"/>
    <col min="7159" max="7372" width="9.140625" style="2"/>
    <col min="7373" max="7373" width="18.7109375" style="2" customWidth="1"/>
    <col min="7374" max="7374" width="18.140625" style="2" customWidth="1"/>
    <col min="7375" max="7375" width="8.7109375" style="2" customWidth="1"/>
    <col min="7376" max="7376" width="9.140625" style="2"/>
    <col min="7377" max="7377" width="9.140625" style="2" customWidth="1"/>
    <col min="7378" max="7378" width="27.28515625" style="2" customWidth="1"/>
    <col min="7379" max="7414" width="9.140625" style="2" customWidth="1"/>
    <col min="7415" max="7628" width="9.140625" style="2"/>
    <col min="7629" max="7629" width="18.7109375" style="2" customWidth="1"/>
    <col min="7630" max="7630" width="18.140625" style="2" customWidth="1"/>
    <col min="7631" max="7631" width="8.7109375" style="2" customWidth="1"/>
    <col min="7632" max="7632" width="9.140625" style="2"/>
    <col min="7633" max="7633" width="9.140625" style="2" customWidth="1"/>
    <col min="7634" max="7634" width="27.28515625" style="2" customWidth="1"/>
    <col min="7635" max="7670" width="9.140625" style="2" customWidth="1"/>
    <col min="7671" max="7884" width="9.140625" style="2"/>
    <col min="7885" max="7885" width="18.7109375" style="2" customWidth="1"/>
    <col min="7886" max="7886" width="18.140625" style="2" customWidth="1"/>
    <col min="7887" max="7887" width="8.7109375" style="2" customWidth="1"/>
    <col min="7888" max="7888" width="9.140625" style="2"/>
    <col min="7889" max="7889" width="9.140625" style="2" customWidth="1"/>
    <col min="7890" max="7890" width="27.28515625" style="2" customWidth="1"/>
    <col min="7891" max="7926" width="9.140625" style="2" customWidth="1"/>
    <col min="7927" max="8140" width="9.140625" style="2"/>
    <col min="8141" max="8141" width="18.7109375" style="2" customWidth="1"/>
    <col min="8142" max="8142" width="18.140625" style="2" customWidth="1"/>
    <col min="8143" max="8143" width="8.7109375" style="2" customWidth="1"/>
    <col min="8144" max="8144" width="9.140625" style="2"/>
    <col min="8145" max="8145" width="9.140625" style="2" customWidth="1"/>
    <col min="8146" max="8146" width="27.28515625" style="2" customWidth="1"/>
    <col min="8147" max="8182" width="9.140625" style="2" customWidth="1"/>
    <col min="8183" max="8396" width="9.140625" style="2"/>
    <col min="8397" max="8397" width="18.7109375" style="2" customWidth="1"/>
    <col min="8398" max="8398" width="18.140625" style="2" customWidth="1"/>
    <col min="8399" max="8399" width="8.7109375" style="2" customWidth="1"/>
    <col min="8400" max="8400" width="9.140625" style="2"/>
    <col min="8401" max="8401" width="9.140625" style="2" customWidth="1"/>
    <col min="8402" max="8402" width="27.28515625" style="2" customWidth="1"/>
    <col min="8403" max="8438" width="9.140625" style="2" customWidth="1"/>
    <col min="8439" max="8652" width="9.140625" style="2"/>
    <col min="8653" max="8653" width="18.7109375" style="2" customWidth="1"/>
    <col min="8654" max="8654" width="18.140625" style="2" customWidth="1"/>
    <col min="8655" max="8655" width="8.7109375" style="2" customWidth="1"/>
    <col min="8656" max="8656" width="9.140625" style="2"/>
    <col min="8657" max="8657" width="9.140625" style="2" customWidth="1"/>
    <col min="8658" max="8658" width="27.28515625" style="2" customWidth="1"/>
    <col min="8659" max="8694" width="9.140625" style="2" customWidth="1"/>
    <col min="8695" max="8908" width="9.140625" style="2"/>
    <col min="8909" max="8909" width="18.7109375" style="2" customWidth="1"/>
    <col min="8910" max="8910" width="18.140625" style="2" customWidth="1"/>
    <col min="8911" max="8911" width="8.7109375" style="2" customWidth="1"/>
    <col min="8912" max="8912" width="9.140625" style="2"/>
    <col min="8913" max="8913" width="9.140625" style="2" customWidth="1"/>
    <col min="8914" max="8914" width="27.28515625" style="2" customWidth="1"/>
    <col min="8915" max="8950" width="9.140625" style="2" customWidth="1"/>
    <col min="8951" max="9164" width="9.140625" style="2"/>
    <col min="9165" max="9165" width="18.7109375" style="2" customWidth="1"/>
    <col min="9166" max="9166" width="18.140625" style="2" customWidth="1"/>
    <col min="9167" max="9167" width="8.7109375" style="2" customWidth="1"/>
    <col min="9168" max="9168" width="9.140625" style="2"/>
    <col min="9169" max="9169" width="9.140625" style="2" customWidth="1"/>
    <col min="9170" max="9170" width="27.28515625" style="2" customWidth="1"/>
    <col min="9171" max="9206" width="9.140625" style="2" customWidth="1"/>
    <col min="9207" max="9420" width="9.140625" style="2"/>
    <col min="9421" max="9421" width="18.7109375" style="2" customWidth="1"/>
    <col min="9422" max="9422" width="18.140625" style="2" customWidth="1"/>
    <col min="9423" max="9423" width="8.7109375" style="2" customWidth="1"/>
    <col min="9424" max="9424" width="9.140625" style="2"/>
    <col min="9425" max="9425" width="9.140625" style="2" customWidth="1"/>
    <col min="9426" max="9426" width="27.28515625" style="2" customWidth="1"/>
    <col min="9427" max="9462" width="9.140625" style="2" customWidth="1"/>
    <col min="9463" max="9676" width="9.140625" style="2"/>
    <col min="9677" max="9677" width="18.7109375" style="2" customWidth="1"/>
    <col min="9678" max="9678" width="18.140625" style="2" customWidth="1"/>
    <col min="9679" max="9679" width="8.7109375" style="2" customWidth="1"/>
    <col min="9680" max="9680" width="9.140625" style="2"/>
    <col min="9681" max="9681" width="9.140625" style="2" customWidth="1"/>
    <col min="9682" max="9682" width="27.28515625" style="2" customWidth="1"/>
    <col min="9683" max="9718" width="9.140625" style="2" customWidth="1"/>
    <col min="9719" max="9932" width="9.140625" style="2"/>
    <col min="9933" max="9933" width="18.7109375" style="2" customWidth="1"/>
    <col min="9934" max="9934" width="18.140625" style="2" customWidth="1"/>
    <col min="9935" max="9935" width="8.7109375" style="2" customWidth="1"/>
    <col min="9936" max="9936" width="9.140625" style="2"/>
    <col min="9937" max="9937" width="9.140625" style="2" customWidth="1"/>
    <col min="9938" max="9938" width="27.28515625" style="2" customWidth="1"/>
    <col min="9939" max="9974" width="9.140625" style="2" customWidth="1"/>
    <col min="9975" max="10188" width="9.140625" style="2"/>
    <col min="10189" max="10189" width="18.7109375" style="2" customWidth="1"/>
    <col min="10190" max="10190" width="18.140625" style="2" customWidth="1"/>
    <col min="10191" max="10191" width="8.7109375" style="2" customWidth="1"/>
    <col min="10192" max="10192" width="9.140625" style="2"/>
    <col min="10193" max="10193" width="9.140625" style="2" customWidth="1"/>
    <col min="10194" max="10194" width="27.28515625" style="2" customWidth="1"/>
    <col min="10195" max="10230" width="9.140625" style="2" customWidth="1"/>
    <col min="10231" max="10444" width="9.140625" style="2"/>
    <col min="10445" max="10445" width="18.7109375" style="2" customWidth="1"/>
    <col min="10446" max="10446" width="18.140625" style="2" customWidth="1"/>
    <col min="10447" max="10447" width="8.7109375" style="2" customWidth="1"/>
    <col min="10448" max="10448" width="9.140625" style="2"/>
    <col min="10449" max="10449" width="9.140625" style="2" customWidth="1"/>
    <col min="10450" max="10450" width="27.28515625" style="2" customWidth="1"/>
    <col min="10451" max="10486" width="9.140625" style="2" customWidth="1"/>
    <col min="10487" max="10700" width="9.140625" style="2"/>
    <col min="10701" max="10701" width="18.7109375" style="2" customWidth="1"/>
    <col min="10702" max="10702" width="18.140625" style="2" customWidth="1"/>
    <col min="10703" max="10703" width="8.7109375" style="2" customWidth="1"/>
    <col min="10704" max="10704" width="9.140625" style="2"/>
    <col min="10705" max="10705" width="9.140625" style="2" customWidth="1"/>
    <col min="10706" max="10706" width="27.28515625" style="2" customWidth="1"/>
    <col min="10707" max="10742" width="9.140625" style="2" customWidth="1"/>
    <col min="10743" max="10956" width="9.140625" style="2"/>
    <col min="10957" max="10957" width="18.7109375" style="2" customWidth="1"/>
    <col min="10958" max="10958" width="18.140625" style="2" customWidth="1"/>
    <col min="10959" max="10959" width="8.7109375" style="2" customWidth="1"/>
    <col min="10960" max="10960" width="9.140625" style="2"/>
    <col min="10961" max="10961" width="9.140625" style="2" customWidth="1"/>
    <col min="10962" max="10962" width="27.28515625" style="2" customWidth="1"/>
    <col min="10963" max="10998" width="9.140625" style="2" customWidth="1"/>
    <col min="10999" max="11212" width="9.140625" style="2"/>
    <col min="11213" max="11213" width="18.7109375" style="2" customWidth="1"/>
    <col min="11214" max="11214" width="18.140625" style="2" customWidth="1"/>
    <col min="11215" max="11215" width="8.7109375" style="2" customWidth="1"/>
    <col min="11216" max="11216" width="9.140625" style="2"/>
    <col min="11217" max="11217" width="9.140625" style="2" customWidth="1"/>
    <col min="11218" max="11218" width="27.28515625" style="2" customWidth="1"/>
    <col min="11219" max="11254" width="9.140625" style="2" customWidth="1"/>
    <col min="11255" max="11468" width="9.140625" style="2"/>
    <col min="11469" max="11469" width="18.7109375" style="2" customWidth="1"/>
    <col min="11470" max="11470" width="18.140625" style="2" customWidth="1"/>
    <col min="11471" max="11471" width="8.7109375" style="2" customWidth="1"/>
    <col min="11472" max="11472" width="9.140625" style="2"/>
    <col min="11473" max="11473" width="9.140625" style="2" customWidth="1"/>
    <col min="11474" max="11474" width="27.28515625" style="2" customWidth="1"/>
    <col min="11475" max="11510" width="9.140625" style="2" customWidth="1"/>
    <col min="11511" max="11724" width="9.140625" style="2"/>
    <col min="11725" max="11725" width="18.7109375" style="2" customWidth="1"/>
    <col min="11726" max="11726" width="18.140625" style="2" customWidth="1"/>
    <col min="11727" max="11727" width="8.7109375" style="2" customWidth="1"/>
    <col min="11728" max="11728" width="9.140625" style="2"/>
    <col min="11729" max="11729" width="9.140625" style="2" customWidth="1"/>
    <col min="11730" max="11730" width="27.28515625" style="2" customWidth="1"/>
    <col min="11731" max="11766" width="9.140625" style="2" customWidth="1"/>
    <col min="11767" max="11980" width="9.140625" style="2"/>
    <col min="11981" max="11981" width="18.7109375" style="2" customWidth="1"/>
    <col min="11982" max="11982" width="18.140625" style="2" customWidth="1"/>
    <col min="11983" max="11983" width="8.7109375" style="2" customWidth="1"/>
    <col min="11984" max="11984" width="9.140625" style="2"/>
    <col min="11985" max="11985" width="9.140625" style="2" customWidth="1"/>
    <col min="11986" max="11986" width="27.28515625" style="2" customWidth="1"/>
    <col min="11987" max="12022" width="9.140625" style="2" customWidth="1"/>
    <col min="12023" max="12236" width="9.140625" style="2"/>
    <col min="12237" max="12237" width="18.7109375" style="2" customWidth="1"/>
    <col min="12238" max="12238" width="18.140625" style="2" customWidth="1"/>
    <col min="12239" max="12239" width="8.7109375" style="2" customWidth="1"/>
    <col min="12240" max="12240" width="9.140625" style="2"/>
    <col min="12241" max="12241" width="9.140625" style="2" customWidth="1"/>
    <col min="12242" max="12242" width="27.28515625" style="2" customWidth="1"/>
    <col min="12243" max="12278" width="9.140625" style="2" customWidth="1"/>
    <col min="12279" max="12492" width="9.140625" style="2"/>
    <col min="12493" max="12493" width="18.7109375" style="2" customWidth="1"/>
    <col min="12494" max="12494" width="18.140625" style="2" customWidth="1"/>
    <col min="12495" max="12495" width="8.7109375" style="2" customWidth="1"/>
    <col min="12496" max="12496" width="9.140625" style="2"/>
    <col min="12497" max="12497" width="9.140625" style="2" customWidth="1"/>
    <col min="12498" max="12498" width="27.28515625" style="2" customWidth="1"/>
    <col min="12499" max="12534" width="9.140625" style="2" customWidth="1"/>
    <col min="12535" max="12748" width="9.140625" style="2"/>
    <col min="12749" max="12749" width="18.7109375" style="2" customWidth="1"/>
    <col min="12750" max="12750" width="18.140625" style="2" customWidth="1"/>
    <col min="12751" max="12751" width="8.7109375" style="2" customWidth="1"/>
    <col min="12752" max="12752" width="9.140625" style="2"/>
    <col min="12753" max="12753" width="9.140625" style="2" customWidth="1"/>
    <col min="12754" max="12754" width="27.28515625" style="2" customWidth="1"/>
    <col min="12755" max="12790" width="9.140625" style="2" customWidth="1"/>
    <col min="12791" max="13004" width="9.140625" style="2"/>
    <col min="13005" max="13005" width="18.7109375" style="2" customWidth="1"/>
    <col min="13006" max="13006" width="18.140625" style="2" customWidth="1"/>
    <col min="13007" max="13007" width="8.7109375" style="2" customWidth="1"/>
    <col min="13008" max="13008" width="9.140625" style="2"/>
    <col min="13009" max="13009" width="9.140625" style="2" customWidth="1"/>
    <col min="13010" max="13010" width="27.28515625" style="2" customWidth="1"/>
    <col min="13011" max="13046" width="9.140625" style="2" customWidth="1"/>
    <col min="13047" max="13260" width="9.140625" style="2"/>
    <col min="13261" max="13261" width="18.7109375" style="2" customWidth="1"/>
    <col min="13262" max="13262" width="18.140625" style="2" customWidth="1"/>
    <col min="13263" max="13263" width="8.7109375" style="2" customWidth="1"/>
    <col min="13264" max="13264" width="9.140625" style="2"/>
    <col min="13265" max="13265" width="9.140625" style="2" customWidth="1"/>
    <col min="13266" max="13266" width="27.28515625" style="2" customWidth="1"/>
    <col min="13267" max="13302" width="9.140625" style="2" customWidth="1"/>
    <col min="13303" max="13516" width="9.140625" style="2"/>
    <col min="13517" max="13517" width="18.7109375" style="2" customWidth="1"/>
    <col min="13518" max="13518" width="18.140625" style="2" customWidth="1"/>
    <col min="13519" max="13519" width="8.7109375" style="2" customWidth="1"/>
    <col min="13520" max="13520" width="9.140625" style="2"/>
    <col min="13521" max="13521" width="9.140625" style="2" customWidth="1"/>
    <col min="13522" max="13522" width="27.28515625" style="2" customWidth="1"/>
    <col min="13523" max="13558" width="9.140625" style="2" customWidth="1"/>
    <col min="13559" max="13772" width="9.140625" style="2"/>
    <col min="13773" max="13773" width="18.7109375" style="2" customWidth="1"/>
    <col min="13774" max="13774" width="18.140625" style="2" customWidth="1"/>
    <col min="13775" max="13775" width="8.7109375" style="2" customWidth="1"/>
    <col min="13776" max="13776" width="9.140625" style="2"/>
    <col min="13777" max="13777" width="9.140625" style="2" customWidth="1"/>
    <col min="13778" max="13778" width="27.28515625" style="2" customWidth="1"/>
    <col min="13779" max="13814" width="9.140625" style="2" customWidth="1"/>
    <col min="13815" max="14028" width="9.140625" style="2"/>
    <col min="14029" max="14029" width="18.7109375" style="2" customWidth="1"/>
    <col min="14030" max="14030" width="18.140625" style="2" customWidth="1"/>
    <col min="14031" max="14031" width="8.7109375" style="2" customWidth="1"/>
    <col min="14032" max="14032" width="9.140625" style="2"/>
    <col min="14033" max="14033" width="9.140625" style="2" customWidth="1"/>
    <col min="14034" max="14034" width="27.28515625" style="2" customWidth="1"/>
    <col min="14035" max="14070" width="9.140625" style="2" customWidth="1"/>
    <col min="14071" max="14284" width="9.140625" style="2"/>
    <col min="14285" max="14285" width="18.7109375" style="2" customWidth="1"/>
    <col min="14286" max="14286" width="18.140625" style="2" customWidth="1"/>
    <col min="14287" max="14287" width="8.7109375" style="2" customWidth="1"/>
    <col min="14288" max="14288" width="9.140625" style="2"/>
    <col min="14289" max="14289" width="9.140625" style="2" customWidth="1"/>
    <col min="14290" max="14290" width="27.28515625" style="2" customWidth="1"/>
    <col min="14291" max="14326" width="9.140625" style="2" customWidth="1"/>
    <col min="14327" max="14540" width="9.140625" style="2"/>
    <col min="14541" max="14541" width="18.7109375" style="2" customWidth="1"/>
    <col min="14542" max="14542" width="18.140625" style="2" customWidth="1"/>
    <col min="14543" max="14543" width="8.7109375" style="2" customWidth="1"/>
    <col min="14544" max="14544" width="9.140625" style="2"/>
    <col min="14545" max="14545" width="9.140625" style="2" customWidth="1"/>
    <col min="14546" max="14546" width="27.28515625" style="2" customWidth="1"/>
    <col min="14547" max="14582" width="9.140625" style="2" customWidth="1"/>
    <col min="14583" max="14796" width="9.140625" style="2"/>
    <col min="14797" max="14797" width="18.7109375" style="2" customWidth="1"/>
    <col min="14798" max="14798" width="18.140625" style="2" customWidth="1"/>
    <col min="14799" max="14799" width="8.7109375" style="2" customWidth="1"/>
    <col min="14800" max="14800" width="9.140625" style="2"/>
    <col min="14801" max="14801" width="9.140625" style="2" customWidth="1"/>
    <col min="14802" max="14802" width="27.28515625" style="2" customWidth="1"/>
    <col min="14803" max="14838" width="9.140625" style="2" customWidth="1"/>
    <col min="14839" max="15052" width="9.140625" style="2"/>
    <col min="15053" max="15053" width="18.7109375" style="2" customWidth="1"/>
    <col min="15054" max="15054" width="18.140625" style="2" customWidth="1"/>
    <col min="15055" max="15055" width="8.7109375" style="2" customWidth="1"/>
    <col min="15056" max="15056" width="9.140625" style="2"/>
    <col min="15057" max="15057" width="9.140625" style="2" customWidth="1"/>
    <col min="15058" max="15058" width="27.28515625" style="2" customWidth="1"/>
    <col min="15059" max="15094" width="9.140625" style="2" customWidth="1"/>
    <col min="15095" max="15308" width="9.140625" style="2"/>
    <col min="15309" max="15309" width="18.7109375" style="2" customWidth="1"/>
    <col min="15310" max="15310" width="18.140625" style="2" customWidth="1"/>
    <col min="15311" max="15311" width="8.7109375" style="2" customWidth="1"/>
    <col min="15312" max="15312" width="9.140625" style="2"/>
    <col min="15313" max="15313" width="9.140625" style="2" customWidth="1"/>
    <col min="15314" max="15314" width="27.28515625" style="2" customWidth="1"/>
    <col min="15315" max="15350" width="9.140625" style="2" customWidth="1"/>
    <col min="15351" max="15564" width="9.140625" style="2"/>
    <col min="15565" max="15565" width="18.7109375" style="2" customWidth="1"/>
    <col min="15566" max="15566" width="18.140625" style="2" customWidth="1"/>
    <col min="15567" max="15567" width="8.7109375" style="2" customWidth="1"/>
    <col min="15568" max="15568" width="9.140625" style="2"/>
    <col min="15569" max="15569" width="9.140625" style="2" customWidth="1"/>
    <col min="15570" max="15570" width="27.28515625" style="2" customWidth="1"/>
    <col min="15571" max="15606" width="9.140625" style="2" customWidth="1"/>
    <col min="15607" max="16384" width="9.140625" style="2"/>
  </cols>
  <sheetData>
    <row r="1" spans="1:84" s="22" customFormat="1" ht="21" x14ac:dyDescent="0.25">
      <c r="A1" s="583"/>
      <c r="B1" s="307" t="str">
        <f>"Предварительная классификация " &amp; название</f>
        <v>Предварительная классификация Ралли "Смоленск - 2019"</v>
      </c>
      <c r="C1" s="304"/>
      <c r="D1" s="304"/>
      <c r="E1" s="304"/>
      <c r="F1" s="304"/>
      <c r="G1" s="304"/>
      <c r="H1" s="304"/>
      <c r="I1" s="304"/>
      <c r="J1" s="304"/>
      <c r="BT1" s="305"/>
    </row>
    <row r="2" spans="1:84" s="306" customFormat="1" ht="19.5" thickBot="1" x14ac:dyDescent="0.3">
      <c r="A2" s="584"/>
      <c r="B2" s="308" t="str">
        <f>датаРалли</f>
        <v>21 сентября 2019 г.</v>
      </c>
      <c r="C2" s="182"/>
      <c r="D2" s="182"/>
      <c r="E2" s="182"/>
      <c r="F2" s="182"/>
      <c r="G2" s="182"/>
      <c r="H2" s="182"/>
      <c r="I2" s="182"/>
      <c r="J2" s="182"/>
      <c r="K2" s="57"/>
      <c r="L2" s="182"/>
      <c r="M2" s="182"/>
      <c r="N2" s="182"/>
      <c r="O2" s="182"/>
      <c r="P2" s="182"/>
      <c r="Q2" s="182"/>
      <c r="R2" s="57"/>
      <c r="S2" s="182"/>
      <c r="T2" s="182"/>
      <c r="U2" s="182"/>
      <c r="V2" s="182"/>
      <c r="W2" s="182"/>
      <c r="X2" s="182"/>
      <c r="Y2" s="182"/>
      <c r="Z2" s="57"/>
      <c r="AA2" s="182"/>
      <c r="AB2" s="182"/>
      <c r="AC2" s="182"/>
      <c r="AD2" s="182"/>
      <c r="AE2" s="57"/>
      <c r="AF2" s="182"/>
      <c r="AG2" s="182"/>
      <c r="AH2" s="184"/>
      <c r="AI2" s="57"/>
      <c r="AJ2" s="182"/>
      <c r="AK2" s="182"/>
      <c r="AL2" s="182"/>
      <c r="AM2" s="184"/>
      <c r="AN2" s="57"/>
      <c r="AO2" s="182"/>
      <c r="AP2" s="182"/>
      <c r="AQ2" s="182"/>
      <c r="AR2" s="57"/>
      <c r="AS2" s="182"/>
      <c r="AT2" s="182"/>
      <c r="AU2" s="182"/>
      <c r="AV2" s="182"/>
      <c r="AW2" s="182"/>
      <c r="AX2" s="182"/>
      <c r="AY2" s="182"/>
      <c r="AZ2" s="182"/>
      <c r="BA2" s="57"/>
      <c r="BB2" s="182"/>
      <c r="BC2" s="182"/>
      <c r="BD2" s="184"/>
      <c r="BE2" s="57"/>
      <c r="BF2" s="182"/>
      <c r="BG2" s="182"/>
      <c r="BH2" s="182"/>
      <c r="BI2" s="184"/>
      <c r="BJ2" s="57"/>
      <c r="BK2" s="182"/>
      <c r="BL2" s="182"/>
      <c r="BM2" s="182"/>
      <c r="BN2" s="184"/>
      <c r="BO2" s="57"/>
      <c r="BP2" s="182"/>
      <c r="BQ2" s="182"/>
      <c r="BR2" s="182"/>
      <c r="BS2" s="57"/>
      <c r="BT2" s="182"/>
      <c r="BU2" s="57"/>
      <c r="BV2" s="182"/>
      <c r="BW2" s="57"/>
      <c r="BX2" s="182"/>
      <c r="BY2" s="57"/>
      <c r="BZ2" s="182"/>
      <c r="CA2" s="182"/>
      <c r="CB2" s="57"/>
      <c r="CC2" s="57"/>
      <c r="CD2" s="182"/>
      <c r="CE2" s="182"/>
      <c r="CF2" s="182"/>
    </row>
    <row r="3" spans="1:84" ht="19.5" thickBot="1" x14ac:dyDescent="0.3">
      <c r="A3" s="585"/>
      <c r="B3" s="278" t="s">
        <v>340</v>
      </c>
      <c r="C3" s="277">
        <f ca="1">предварительные!$A$69-предварительные!$G$69</f>
        <v>27</v>
      </c>
      <c r="D3" s="278" t="s">
        <v>341</v>
      </c>
      <c r="E3" s="277">
        <f ca="1">C3-предварительные!$H$69</f>
        <v>27</v>
      </c>
      <c r="F3" s="46"/>
      <c r="H3" s="46"/>
      <c r="I3" s="46"/>
      <c r="K3" s="284" t="str">
        <f>_КВ1</f>
        <v>КВ-1 Старт</v>
      </c>
      <c r="L3" s="285"/>
      <c r="M3" s="285"/>
      <c r="N3" s="285"/>
      <c r="O3" s="286"/>
      <c r="P3" s="185" t="s">
        <v>73</v>
      </c>
      <c r="Q3" s="186"/>
      <c r="R3" s="293" t="str">
        <f>_КВ2</f>
        <v>КВ-2 На обочине</v>
      </c>
      <c r="S3" s="294"/>
      <c r="T3" s="285"/>
      <c r="U3" s="294"/>
      <c r="V3" s="295"/>
      <c r="W3" s="185" t="s">
        <v>73</v>
      </c>
      <c r="X3" s="186"/>
      <c r="Y3" s="186"/>
      <c r="Z3" s="293" t="str">
        <f>_КВ3</f>
        <v>КВ-3 Финиш</v>
      </c>
      <c r="AA3" s="294"/>
      <c r="AB3" s="285"/>
      <c r="AC3" s="294"/>
      <c r="AD3" s="295"/>
      <c r="AE3" s="293" t="str">
        <f>_ДС1</f>
        <v>ДС-1 РДС Городской</v>
      </c>
      <c r="AF3" s="294"/>
      <c r="AG3" s="294"/>
      <c r="AH3" s="294"/>
      <c r="AI3" s="294"/>
      <c r="AJ3" s="285"/>
      <c r="AK3" s="294"/>
      <c r="AL3" s="296"/>
      <c r="AM3" s="298"/>
      <c r="AN3" s="294"/>
      <c r="AO3" s="285"/>
      <c r="AP3" s="294"/>
      <c r="AQ3" s="296"/>
      <c r="AR3" s="293"/>
      <c r="AS3" s="294"/>
      <c r="AT3" s="300" t="str">
        <f>_ДС2</f>
        <v>ДС-2 КСЛ Дави!</v>
      </c>
      <c r="AU3" s="294"/>
      <c r="AV3" s="294"/>
      <c r="AW3" s="294"/>
      <c r="AX3" s="294"/>
      <c r="AY3" s="294"/>
      <c r="AZ3" s="295"/>
      <c r="BA3" s="293" t="str">
        <f>_ДС3</f>
        <v>ДС-3 РДС Загородный</v>
      </c>
      <c r="BB3" s="294"/>
      <c r="BC3" s="294"/>
      <c r="BD3" s="294"/>
      <c r="BE3" s="294"/>
      <c r="BF3" s="285"/>
      <c r="BG3" s="294"/>
      <c r="BH3" s="296"/>
      <c r="BI3" s="298"/>
      <c r="BJ3" s="294"/>
      <c r="BK3" s="285"/>
      <c r="BL3" s="294"/>
      <c r="BM3" s="296"/>
      <c r="BN3" s="298"/>
      <c r="BO3" s="294"/>
      <c r="BP3" s="285"/>
      <c r="BQ3" s="294"/>
      <c r="BR3" s="296"/>
      <c r="BS3" s="293" t="str">
        <f>_ДП1</f>
        <v xml:space="preserve">ДП-1 </v>
      </c>
      <c r="BT3" s="295"/>
      <c r="BU3" s="293" t="s">
        <v>683</v>
      </c>
      <c r="BV3" s="295"/>
      <c r="BW3" s="293" t="s">
        <v>684</v>
      </c>
      <c r="BX3" s="295"/>
      <c r="BY3" s="293" t="s">
        <v>538</v>
      </c>
      <c r="BZ3" s="295"/>
      <c r="CA3" s="293" t="s">
        <v>539</v>
      </c>
      <c r="CB3" s="371"/>
      <c r="CC3" s="371"/>
      <c r="CD3" s="285"/>
      <c r="CE3" s="294"/>
      <c r="CF3" s="295"/>
    </row>
    <row r="4" spans="1:84" s="45" customFormat="1" ht="51" x14ac:dyDescent="0.25">
      <c r="A4" s="280" t="s">
        <v>0</v>
      </c>
      <c r="B4" s="302" t="s">
        <v>10</v>
      </c>
      <c r="C4" s="302" t="s">
        <v>626</v>
      </c>
      <c r="D4" s="302" t="s">
        <v>627</v>
      </c>
      <c r="E4" s="302" t="s">
        <v>37</v>
      </c>
      <c r="F4" s="280" t="s">
        <v>312</v>
      </c>
      <c r="G4" s="225" t="s">
        <v>17</v>
      </c>
      <c r="H4" s="225" t="s">
        <v>124</v>
      </c>
      <c r="I4" s="225" t="s">
        <v>123</v>
      </c>
      <c r="J4" s="282" t="s">
        <v>122</v>
      </c>
      <c r="K4" s="287" t="s">
        <v>144</v>
      </c>
      <c r="L4" s="280" t="s">
        <v>72</v>
      </c>
      <c r="M4" s="280"/>
      <c r="N4" s="280" t="s">
        <v>117</v>
      </c>
      <c r="O4" s="288" t="s">
        <v>11</v>
      </c>
      <c r="P4" s="283" t="s">
        <v>7</v>
      </c>
      <c r="Q4" s="292" t="s">
        <v>115</v>
      </c>
      <c r="R4" s="287" t="s">
        <v>38</v>
      </c>
      <c r="S4" s="280" t="s">
        <v>72</v>
      </c>
      <c r="T4" s="280"/>
      <c r="U4" s="280" t="s">
        <v>117</v>
      </c>
      <c r="V4" s="288" t="s">
        <v>11</v>
      </c>
      <c r="W4" s="283" t="s">
        <v>7</v>
      </c>
      <c r="X4" s="281" t="s">
        <v>115</v>
      </c>
      <c r="Y4" s="292" t="s">
        <v>247</v>
      </c>
      <c r="Z4" s="287" t="s">
        <v>38</v>
      </c>
      <c r="AA4" s="280" t="s">
        <v>72</v>
      </c>
      <c r="AB4" s="280"/>
      <c r="AC4" s="280" t="s">
        <v>117</v>
      </c>
      <c r="AD4" s="288" t="s">
        <v>11</v>
      </c>
      <c r="AE4" s="287" t="s">
        <v>116</v>
      </c>
      <c r="AF4" s="280" t="s">
        <v>31</v>
      </c>
      <c r="AG4" s="280" t="s">
        <v>32</v>
      </c>
      <c r="AH4" s="280" t="s">
        <v>536</v>
      </c>
      <c r="AI4" s="280" t="s">
        <v>537</v>
      </c>
      <c r="AJ4" s="280"/>
      <c r="AK4" s="280" t="s">
        <v>117</v>
      </c>
      <c r="AL4" s="297" t="s">
        <v>11</v>
      </c>
      <c r="AM4" s="287" t="s">
        <v>523</v>
      </c>
      <c r="AN4" s="280" t="s">
        <v>524</v>
      </c>
      <c r="AO4" s="280"/>
      <c r="AP4" s="280" t="s">
        <v>117</v>
      </c>
      <c r="AQ4" s="297" t="s">
        <v>11</v>
      </c>
      <c r="AR4" s="287" t="s">
        <v>116</v>
      </c>
      <c r="AS4" s="280" t="s">
        <v>31</v>
      </c>
      <c r="AT4" s="280" t="s">
        <v>32</v>
      </c>
      <c r="AU4" s="280" t="s">
        <v>118</v>
      </c>
      <c r="AV4" s="280" t="s">
        <v>128</v>
      </c>
      <c r="AW4" s="280" t="s">
        <v>433</v>
      </c>
      <c r="AX4" s="280" t="s">
        <v>153</v>
      </c>
      <c r="AY4" s="280" t="s">
        <v>547</v>
      </c>
      <c r="AZ4" s="288" t="s">
        <v>11</v>
      </c>
      <c r="BA4" s="287" t="s">
        <v>116</v>
      </c>
      <c r="BB4" s="280" t="s">
        <v>31</v>
      </c>
      <c r="BC4" s="280" t="s">
        <v>32</v>
      </c>
      <c r="BD4" s="280" t="s">
        <v>151</v>
      </c>
      <c r="BE4" s="280" t="s">
        <v>535</v>
      </c>
      <c r="BF4" s="280"/>
      <c r="BG4" s="280" t="s">
        <v>117</v>
      </c>
      <c r="BH4" s="297" t="s">
        <v>11</v>
      </c>
      <c r="BI4" s="280" t="s">
        <v>152</v>
      </c>
      <c r="BJ4" s="280" t="s">
        <v>545</v>
      </c>
      <c r="BK4" s="280"/>
      <c r="BL4" s="280" t="s">
        <v>117</v>
      </c>
      <c r="BM4" s="297" t="s">
        <v>11</v>
      </c>
      <c r="BN4" s="287" t="s">
        <v>523</v>
      </c>
      <c r="BO4" s="280" t="s">
        <v>524</v>
      </c>
      <c r="BP4" s="280"/>
      <c r="BQ4" s="280" t="s">
        <v>117</v>
      </c>
      <c r="BR4" s="297" t="s">
        <v>11</v>
      </c>
      <c r="BS4" s="287" t="s">
        <v>106</v>
      </c>
      <c r="BT4" s="297" t="s">
        <v>11</v>
      </c>
      <c r="BU4" s="287" t="s">
        <v>72</v>
      </c>
      <c r="BV4" s="288" t="s">
        <v>11</v>
      </c>
      <c r="BW4" s="287" t="s">
        <v>72</v>
      </c>
      <c r="BX4" s="288" t="s">
        <v>11</v>
      </c>
      <c r="BY4" s="287" t="s">
        <v>72</v>
      </c>
      <c r="BZ4" s="288" t="s">
        <v>11</v>
      </c>
      <c r="CA4" s="372" t="s">
        <v>38</v>
      </c>
      <c r="CB4" s="283" t="s">
        <v>72</v>
      </c>
      <c r="CC4" s="283" t="s">
        <v>548</v>
      </c>
      <c r="CD4" s="280"/>
      <c r="CE4" s="280" t="s">
        <v>117</v>
      </c>
      <c r="CF4" s="288" t="s">
        <v>11</v>
      </c>
    </row>
    <row r="5" spans="1:84" x14ac:dyDescent="0.25">
      <c r="A5" s="584"/>
      <c r="B5" s="57"/>
      <c r="C5" s="182"/>
      <c r="D5" s="182"/>
      <c r="E5" s="182"/>
      <c r="F5" s="182"/>
      <c r="G5" s="182"/>
      <c r="H5" s="182"/>
      <c r="I5" s="182"/>
      <c r="J5" s="182"/>
      <c r="K5" s="289"/>
      <c r="L5" s="182"/>
      <c r="M5" s="182"/>
      <c r="N5" s="182"/>
      <c r="O5" s="290"/>
      <c r="P5" s="182"/>
      <c r="Q5" s="182"/>
      <c r="R5" s="289"/>
      <c r="S5" s="182"/>
      <c r="T5" s="182"/>
      <c r="U5" s="182"/>
      <c r="V5" s="290"/>
      <c r="W5" s="182"/>
      <c r="X5" s="182"/>
      <c r="Y5" s="182"/>
      <c r="Z5" s="289"/>
      <c r="AA5" s="182"/>
      <c r="AB5" s="182"/>
      <c r="AC5" s="182"/>
      <c r="AD5" s="290"/>
      <c r="AE5" s="289"/>
      <c r="AF5" s="182"/>
      <c r="AG5" s="182"/>
      <c r="AH5" s="184"/>
      <c r="AI5" s="57"/>
      <c r="AJ5" s="182"/>
      <c r="AK5" s="182"/>
      <c r="AL5" s="290"/>
      <c r="AM5" s="299"/>
      <c r="AN5" s="57"/>
      <c r="AO5" s="182"/>
      <c r="AP5" s="182"/>
      <c r="AQ5" s="290"/>
      <c r="AR5" s="289"/>
      <c r="AS5" s="182"/>
      <c r="AT5" s="182"/>
      <c r="AU5" s="182"/>
      <c r="AV5" s="182"/>
      <c r="AW5" s="182"/>
      <c r="AX5" s="182"/>
      <c r="AY5" s="182"/>
      <c r="AZ5" s="290"/>
      <c r="BA5" s="289"/>
      <c r="BB5" s="182"/>
      <c r="BC5" s="182"/>
      <c r="BD5" s="184"/>
      <c r="BE5" s="57"/>
      <c r="BF5" s="182"/>
      <c r="BG5" s="182"/>
      <c r="BH5" s="290"/>
      <c r="BI5" s="299"/>
      <c r="BJ5" s="57"/>
      <c r="BK5" s="182"/>
      <c r="BL5" s="182"/>
      <c r="BM5" s="290"/>
      <c r="BN5" s="299"/>
      <c r="BO5" s="57"/>
      <c r="BP5" s="182"/>
      <c r="BQ5" s="182"/>
      <c r="BR5" s="290"/>
      <c r="BS5" s="289"/>
      <c r="BT5" s="290"/>
      <c r="BU5" s="289"/>
      <c r="BV5" s="290"/>
      <c r="BW5" s="289"/>
      <c r="BX5" s="290"/>
      <c r="BY5" s="289"/>
      <c r="BZ5" s="290"/>
      <c r="CA5" s="291"/>
      <c r="CB5" s="57"/>
      <c r="CC5" s="57"/>
      <c r="CD5" s="182"/>
      <c r="CE5" s="182"/>
      <c r="CF5" s="290"/>
    </row>
    <row r="6" spans="1:84" hidden="1" x14ac:dyDescent="0.25">
      <c r="A6" s="584"/>
      <c r="B6" s="57" t="s">
        <v>290</v>
      </c>
      <c r="C6" s="182"/>
      <c r="D6" s="182"/>
      <c r="E6" s="182"/>
      <c r="F6" s="182"/>
      <c r="G6" s="182"/>
      <c r="H6" s="182"/>
      <c r="I6" s="182"/>
      <c r="J6" s="182"/>
      <c r="K6" s="289" t="s">
        <v>519</v>
      </c>
      <c r="L6" s="182"/>
      <c r="M6" s="182"/>
      <c r="N6" s="182"/>
      <c r="O6" s="290"/>
      <c r="P6" s="182"/>
      <c r="Q6" s="182"/>
      <c r="R6" s="289" t="s">
        <v>291</v>
      </c>
      <c r="S6" s="182"/>
      <c r="T6" s="182"/>
      <c r="U6" s="182"/>
      <c r="V6" s="290"/>
      <c r="W6" s="182"/>
      <c r="X6" s="182"/>
      <c r="Y6" s="182"/>
      <c r="Z6" s="289" t="s">
        <v>292</v>
      </c>
      <c r="AA6" s="182"/>
      <c r="AB6" s="182"/>
      <c r="AC6" s="182"/>
      <c r="AD6" s="290"/>
      <c r="AE6" s="289" t="s">
        <v>293</v>
      </c>
      <c r="AF6" s="182"/>
      <c r="AG6" s="182"/>
      <c r="AH6" s="184">
        <f>_ДССФ11Норматив</f>
        <v>1.238425925925926E-2</v>
      </c>
      <c r="AI6" s="57" t="s">
        <v>522</v>
      </c>
      <c r="AJ6" s="182"/>
      <c r="AK6" s="182"/>
      <c r="AL6" s="290"/>
      <c r="AM6" s="299">
        <f>_ДСФ1Норматив</f>
        <v>3.5763888888888889E-3</v>
      </c>
      <c r="AN6" s="57" t="s">
        <v>525</v>
      </c>
      <c r="AO6" s="182"/>
      <c r="AP6" s="182"/>
      <c r="AQ6" s="290"/>
      <c r="AR6" s="289" t="s">
        <v>294</v>
      </c>
      <c r="AS6" s="182"/>
      <c r="AT6" s="182"/>
      <c r="AU6" s="182"/>
      <c r="AV6" s="182"/>
      <c r="AW6" s="182"/>
      <c r="AX6" s="182"/>
      <c r="AY6" s="182"/>
      <c r="AZ6" s="290"/>
      <c r="BA6" s="289" t="s">
        <v>541</v>
      </c>
      <c r="BB6" s="182"/>
      <c r="BC6" s="182"/>
      <c r="BD6" s="184">
        <f>_ДССФ13Норматив</f>
        <v>8.5416666666666662E-3</v>
      </c>
      <c r="BE6" s="57" t="s">
        <v>542</v>
      </c>
      <c r="BF6" s="182"/>
      <c r="BG6" s="182"/>
      <c r="BH6" s="290"/>
      <c r="BI6" s="299">
        <f>_ДССФ23Норматив</f>
        <v>1.1168981481481481E-2</v>
      </c>
      <c r="BJ6" s="57" t="s">
        <v>543</v>
      </c>
      <c r="BK6" s="182"/>
      <c r="BL6" s="182"/>
      <c r="BM6" s="290"/>
      <c r="BN6" s="299">
        <f>_ДСФ3Норматив</f>
        <v>1.1354166666666667E-2</v>
      </c>
      <c r="BO6" s="57" t="s">
        <v>544</v>
      </c>
      <c r="BP6" s="182"/>
      <c r="BQ6" s="182"/>
      <c r="BR6" s="290"/>
      <c r="BS6" s="289" t="s">
        <v>295</v>
      </c>
      <c r="BT6" s="290"/>
      <c r="BU6" s="289" t="s">
        <v>679</v>
      </c>
      <c r="BV6" s="290"/>
      <c r="BW6" s="289" t="s">
        <v>680</v>
      </c>
      <c r="BX6" s="290"/>
      <c r="BY6" s="289" t="s">
        <v>296</v>
      </c>
      <c r="BZ6" s="290"/>
      <c r="CA6" s="291" t="s">
        <v>540</v>
      </c>
      <c r="CB6" s="57"/>
      <c r="CC6" s="57"/>
      <c r="CD6" s="182"/>
      <c r="CE6" s="182"/>
      <c r="CF6" s="290"/>
    </row>
    <row r="7" spans="1:84" hidden="1" x14ac:dyDescent="0.25">
      <c r="A7" s="584"/>
      <c r="B7" s="182" t="s">
        <v>248</v>
      </c>
      <c r="C7" s="182"/>
      <c r="D7" s="341"/>
      <c r="E7" s="341" t="s">
        <v>461</v>
      </c>
      <c r="F7" s="341"/>
      <c r="G7" s="182"/>
      <c r="H7" s="182"/>
      <c r="I7" s="182"/>
      <c r="J7" s="182"/>
      <c r="K7" s="291"/>
      <c r="L7" s="182"/>
      <c r="M7" s="182"/>
      <c r="N7" s="182"/>
      <c r="O7" s="290"/>
      <c r="P7" s="152"/>
      <c r="Q7" s="182"/>
      <c r="R7" s="291"/>
      <c r="S7" s="182"/>
      <c r="T7" s="182"/>
      <c r="U7" s="182"/>
      <c r="V7" s="290"/>
      <c r="W7" s="152"/>
      <c r="X7" s="182"/>
      <c r="Y7" s="182"/>
      <c r="Z7" s="291"/>
      <c r="AA7" s="182"/>
      <c r="AB7" s="182"/>
      <c r="AC7" s="182"/>
      <c r="AD7" s="290"/>
      <c r="AE7" s="291"/>
      <c r="AF7" s="182"/>
      <c r="AG7" s="182"/>
      <c r="AH7" s="182" t="s">
        <v>249</v>
      </c>
      <c r="AI7" s="182"/>
      <c r="AJ7" s="182"/>
      <c r="AK7" s="182"/>
      <c r="AL7" s="290"/>
      <c r="AM7" s="291" t="s">
        <v>249</v>
      </c>
      <c r="AN7" s="182"/>
      <c r="AO7" s="182"/>
      <c r="AP7" s="182"/>
      <c r="AQ7" s="290"/>
      <c r="AR7" s="291"/>
      <c r="AS7" s="182"/>
      <c r="AT7" s="182"/>
      <c r="AU7" s="182"/>
      <c r="AV7" s="182"/>
      <c r="AW7" s="182"/>
      <c r="AX7" s="182"/>
      <c r="AY7" s="182"/>
      <c r="AZ7" s="290"/>
      <c r="BA7" s="291"/>
      <c r="BB7" s="182"/>
      <c r="BC7" s="182"/>
      <c r="BD7" s="182" t="s">
        <v>249</v>
      </c>
      <c r="BE7" s="182"/>
      <c r="BF7" s="182"/>
      <c r="BG7" s="182"/>
      <c r="BH7" s="290"/>
      <c r="BI7" s="291" t="s">
        <v>249</v>
      </c>
      <c r="BJ7" s="182"/>
      <c r="BK7" s="182"/>
      <c r="BL7" s="182"/>
      <c r="BM7" s="290"/>
      <c r="BN7" s="291" t="s">
        <v>249</v>
      </c>
      <c r="BO7" s="182"/>
      <c r="BP7" s="182"/>
      <c r="BQ7" s="182"/>
      <c r="BR7" s="290"/>
      <c r="BS7" s="291"/>
      <c r="BT7" s="290"/>
      <c r="BU7" s="291"/>
      <c r="BV7" s="290"/>
      <c r="BW7" s="291"/>
      <c r="BX7" s="290"/>
      <c r="BY7" s="291"/>
      <c r="BZ7" s="290"/>
      <c r="CA7" s="291"/>
      <c r="CB7" s="182"/>
      <c r="CC7" s="182"/>
      <c r="CD7" s="182"/>
      <c r="CE7" s="182"/>
      <c r="CF7" s="290"/>
    </row>
    <row r="8" spans="1:84" hidden="1" x14ac:dyDescent="0.25">
      <c r="A8" s="584"/>
      <c r="B8" s="182" t="s">
        <v>308</v>
      </c>
      <c r="C8" s="182"/>
      <c r="D8" s="182"/>
      <c r="E8" s="182"/>
      <c r="F8" s="182"/>
      <c r="G8" s="182"/>
      <c r="H8" s="182"/>
      <c r="I8" s="182"/>
      <c r="J8" s="182"/>
      <c r="K8" s="291"/>
      <c r="L8" s="182"/>
      <c r="M8" s="182"/>
      <c r="N8" s="182"/>
      <c r="O8" s="290"/>
      <c r="P8" s="182"/>
      <c r="Q8" s="182"/>
      <c r="R8" s="291"/>
      <c r="S8" s="182"/>
      <c r="T8" s="182"/>
      <c r="U8" s="182"/>
      <c r="V8" s="290"/>
      <c r="W8" s="182"/>
      <c r="X8" s="182"/>
      <c r="Y8" s="182"/>
      <c r="Z8" s="291"/>
      <c r="AA8" s="182"/>
      <c r="AB8" s="182"/>
      <c r="AC8" s="182"/>
      <c r="AD8" s="290"/>
      <c r="AE8" s="291"/>
      <c r="AF8" s="182"/>
      <c r="AG8" s="182"/>
      <c r="AH8" s="182"/>
      <c r="AI8" s="182"/>
      <c r="AJ8" s="182"/>
      <c r="AK8" s="182"/>
      <c r="AL8" s="290"/>
      <c r="AM8" s="291"/>
      <c r="AN8" s="182"/>
      <c r="AO8" s="182"/>
      <c r="AP8" s="182"/>
      <c r="AQ8" s="290"/>
      <c r="AR8" s="291"/>
      <c r="AS8" s="182"/>
      <c r="AT8" s="182"/>
      <c r="AU8" s="182"/>
      <c r="AV8" s="182"/>
      <c r="AW8" s="182"/>
      <c r="AX8" s="182"/>
      <c r="AY8" s="182"/>
      <c r="AZ8" s="290"/>
      <c r="BA8" s="291"/>
      <c r="BB8" s="182"/>
      <c r="BC8" s="182"/>
      <c r="BD8" s="182"/>
      <c r="BE8" s="182"/>
      <c r="BF8" s="182"/>
      <c r="BG8" s="182"/>
      <c r="BH8" s="290"/>
      <c r="BI8" s="291"/>
      <c r="BJ8" s="182"/>
      <c r="BK8" s="182"/>
      <c r="BL8" s="182"/>
      <c r="BM8" s="290"/>
      <c r="BN8" s="291"/>
      <c r="BO8" s="182"/>
      <c r="BP8" s="182"/>
      <c r="BQ8" s="182"/>
      <c r="BR8" s="290"/>
      <c r="BS8" s="291"/>
      <c r="BT8" s="290"/>
      <c r="BU8" s="291"/>
      <c r="BV8" s="290"/>
      <c r="BW8" s="291"/>
      <c r="BX8" s="290"/>
      <c r="BY8" s="291"/>
      <c r="BZ8" s="290"/>
      <c r="CA8" s="291"/>
      <c r="CB8" s="182"/>
      <c r="CC8" s="182"/>
      <c r="CD8" s="182"/>
      <c r="CE8" s="182"/>
      <c r="CF8" s="290"/>
    </row>
    <row r="9" spans="1:84" s="367" customFormat="1" x14ac:dyDescent="0.25">
      <c r="A9" s="586" t="str">
        <f>стартоваяВедомость!B10</f>
        <v>0</v>
      </c>
      <c r="B9" s="355" t="str">
        <f t="shared" ref="B9:B68" ca="1" si="0">VLOOKUP($A9,INDIRECT($B$6),2,FALSE)</f>
        <v>BMW 118D</v>
      </c>
      <c r="C9" s="355" t="str">
        <f t="shared" ref="C9:C68" ca="1" si="1">VLOOKUP($A9,INDIRECT($B$6),3,FALSE)</f>
        <v>Сальников Евгений</v>
      </c>
      <c r="D9" s="355" t="str">
        <f t="shared" ref="D9:D68" ca="1" si="2">VLOOKUP($A9,INDIRECT($B$6),4,FALSE)</f>
        <v>Воронцова Людмила</v>
      </c>
      <c r="E9" s="355" t="str">
        <f t="shared" ref="E9:E68" ca="1" si="3">VLOOKUP($A9,INDIRECT($B$6),5,FALSE)</f>
        <v>Москва</v>
      </c>
      <c r="F9" s="355" t="str">
        <f t="shared" ref="F9:F68" ca="1" si="4">VLOOKUP($A9,INDIRECT($B$6),6,FALSE)</f>
        <v>Модерн-ПРО</v>
      </c>
      <c r="G9" s="356">
        <f t="shared" ref="G9" ca="1" si="5">IF(LEN(A9)&gt;0,IF(ISNUMBER(H9),H9+I9+J9,H9),"")</f>
        <v>554.29999999999995</v>
      </c>
      <c r="H9" s="356">
        <f ca="1">IF(O9&lt;&gt;"DNS",IF(AD9&lt;&gt;"DNF",O9+V9+AD9+BV9+BX9+BZ9+CF9,"DNF"),"DNS")</f>
        <v>0</v>
      </c>
      <c r="I9" s="356">
        <f ca="1">AL9+AQ9+AZ9+BH9+BM9+BR9</f>
        <v>554.29999999999995</v>
      </c>
      <c r="J9" s="356">
        <f ca="1">BT9</f>
        <v>0</v>
      </c>
      <c r="K9" s="357">
        <f t="shared" ref="K9:K68" ca="1" si="6">VLOOKUP($A9,INDIRECT($B$6),7,FALSE)</f>
        <v>0.49027777777777781</v>
      </c>
      <c r="L9" s="358">
        <f t="shared" ref="L9" ca="1" si="7">IFERROR(VLOOKUP($A9,INDIRECT(K$6),3,FALSE),0)</f>
        <v>0.49027777777777781</v>
      </c>
      <c r="M9" s="359" t="str">
        <f ca="1">IF(L9&lt;&gt;0,tpm(L9,K9),"")</f>
        <v/>
      </c>
      <c r="N9" s="358">
        <f ca="1">IF(L9&lt;&gt;0,tDiff(L9,K9), 0)</f>
        <v>0</v>
      </c>
      <c r="O9" s="360">
        <f ca="1">IF(L9&lt;&gt;0,IF(M9="+",MIN(tInt(N9)*опережениеКВ,пределКВ),tInt(N9)*опережениеКВ),"DNS")</f>
        <v>0</v>
      </c>
      <c r="P9" s="358">
        <f t="shared" ref="P9:P68" si="8">_КВ2Время</f>
        <v>8.3333335816860199E-2</v>
      </c>
      <c r="Q9" s="358">
        <f t="shared" ref="Q9" ca="1" si="9">AG9</f>
        <v>0</v>
      </c>
      <c r="R9" s="357">
        <f ca="1">IF(L9&lt;&gt;0,L9,K9)+P9</f>
        <v>0.57361111359463801</v>
      </c>
      <c r="S9" s="358">
        <f t="shared" ref="S9" ca="1" si="10">IFERROR(VLOOKUP($A9,INDIRECT(R$6),2,FALSE),0)</f>
        <v>0.57361111111111118</v>
      </c>
      <c r="T9" s="359" t="str">
        <f ca="1">IF(S9&lt;&gt;0,tpm(S9,R9),"")</f>
        <v/>
      </c>
      <c r="U9" s="358">
        <f ca="1">IF(S9&lt;&gt;0,tDiff(S9,R9), 0)</f>
        <v>0</v>
      </c>
      <c r="V9" s="360">
        <f ca="1">IF(S9&lt;&gt;0,IF(T9="+",MIN(MAX(tInt(U9-Q9),0)*опережениеКВ,пределКВ),tInt(U9)*опережениеКВ),пропускКВ)</f>
        <v>0</v>
      </c>
      <c r="W9" s="358">
        <f t="shared" ref="W9:W68" si="11">_КВ3Время</f>
        <v>8.3333335816860199E-2</v>
      </c>
      <c r="X9" s="358">
        <f ca="1">AT9+BC9</f>
        <v>0</v>
      </c>
      <c r="Y9" s="358">
        <f t="shared" ref="Y9" ca="1" si="12">IF(S9&lt;&gt;0,X9,Q9+X9)</f>
        <v>0</v>
      </c>
      <c r="Z9" s="357">
        <f ca="1">IF(S9&lt;&gt;0,S9,R9)+W9</f>
        <v>0.65694444692797138</v>
      </c>
      <c r="AA9" s="358">
        <f t="shared" ref="AA9" ca="1" si="13">IFERROR(VLOOKUP($A9,INDIRECT(Z$6),2,FALSE),0)</f>
        <v>0.65277777777777779</v>
      </c>
      <c r="AB9" s="359" t="str">
        <f ca="1">IF(AA9&lt;&gt;0,tpm(AA9,Z9),"")</f>
        <v>-</v>
      </c>
      <c r="AC9" s="358">
        <f ca="1">IF(AA9&lt;&gt;0,tDiff(AA9,Z9), 0)</f>
        <v>4.1666626930236816E-3</v>
      </c>
      <c r="AD9" s="360">
        <f ca="1">IF(AA9&lt;&gt;0,IF(AB9="+",MIN(MAX(tInt(AC9-Y9),0)*опережениеКВ,пределКВ),IF(tInt(AC9)&lt;=ROUNDUP(tInt(W9)*0.1,0),0,(tInt(AC9)-ROUNDUP(tInt(W9)*0.1,0))*опережениеКВ)),"DNF")</f>
        <v>0</v>
      </c>
      <c r="AE9" s="357">
        <f t="shared" ref="AE9:AE68" ca="1" si="14">IFERROR(VLOOKUP($A9,INDIRECT(AE$6),2,FALSE),0)</f>
        <v>0</v>
      </c>
      <c r="AF9" s="358">
        <f t="shared" ref="AF9" ca="1" si="15">IFERROR(VLOOKUP($A9,INDIRECT(AE$6),3,FALSE),0)</f>
        <v>0.51527777777777783</v>
      </c>
      <c r="AG9" s="358">
        <f ca="1">IF(OR(AE9=0,AF9=0),0,tDiff(AF9,AE9))</f>
        <v>0</v>
      </c>
      <c r="AH9" s="362">
        <f t="shared" ref="AH9" ca="1" si="16">IF(AF9&lt;&gt;0,AF9+AH$6,0)</f>
        <v>0.52766203703703707</v>
      </c>
      <c r="AI9" s="362">
        <f t="shared" ref="AI9:AI68" ca="1" si="17">IFERROR(VLOOKUP($A9,INDIRECT(AI$6),2,FALSE),0)</f>
        <v>0.52923611111111113</v>
      </c>
      <c r="AJ9" s="354" t="str">
        <f ca="1">IF(AI9&lt;&gt;0,tpm(AI9,AH9,"s"),"")</f>
        <v>+</v>
      </c>
      <c r="AK9" s="362">
        <f ca="1">IF(AI9&lt;&gt;0,tDiff(AI9,AH9,"s"), 0)</f>
        <v>1.574099063873291E-3</v>
      </c>
      <c r="AL9" s="363">
        <f ca="1">IF(AI9=0,пропускСФ,MIN(tInt(AK9,"s")*отклонениеРД,пределРД))</f>
        <v>136</v>
      </c>
      <c r="AM9" s="364">
        <f ca="1">IF(AI9&lt;&gt;0,AI9+AM$6,0)</f>
        <v>0.53281250000000002</v>
      </c>
      <c r="AN9" s="362">
        <f t="shared" ref="AN9:AN68" ca="1" si="18">IFERROR(VLOOKUP($A9,INDIRECT(AN$6),2,FALSE),0)</f>
        <v>0.53263888888888888</v>
      </c>
      <c r="AO9" s="359" t="str">
        <f ca="1">IF(AND(AM9&lt;&gt;0,AN9&lt;&gt;0),tpm(AN9,AM9,"s"),"")</f>
        <v>-</v>
      </c>
      <c r="AP9" s="362">
        <f ca="1">IF(AND(AM9&lt;&gt;0,AN9&lt;&gt;0),tDiff(AN9,AM9,"s"), 0)</f>
        <v>1.735687255859375E-4</v>
      </c>
      <c r="AQ9" s="363">
        <f ca="1">IF(AM9=0,0,IF(AN9=0,пропускДС,MIN(tInt(AP9,"s")*отклонениеРД,пределРД)))</f>
        <v>15</v>
      </c>
      <c r="AR9" s="357">
        <f t="shared" ref="AR9:AR68" ca="1" si="19">IFERROR(VLOOKUP($A9,INDIRECT(AR$6),2,FALSE),0)</f>
        <v>0</v>
      </c>
      <c r="AS9" s="358">
        <f t="shared" ref="AS9" ca="1" si="20">IFERROR(VLOOKUP($A9,INDIRECT(AR$6),3,FALSE),0)</f>
        <v>0.58472222222222225</v>
      </c>
      <c r="AT9" s="358">
        <f t="shared" ref="AT9" ca="1" si="21">IF(OR(AR9=0,AS9=0),0,ROUND(AS9*1440,0)/1440-ROUND(AR9*1440,0)/1440)</f>
        <v>0</v>
      </c>
      <c r="AU9" s="365">
        <f ca="1">ROUND(IFERROR(VLOOKUP($A9,INDIRECT(AR$6),5,FALSE),0),1)</f>
        <v>5.0999999999999996</v>
      </c>
      <c r="AV9" s="365">
        <f t="shared" ref="AV9" ca="1" si="22">IFERROR(VLOOKUP($A9,INDIRECT(AR$6),6,FALSE),0)</f>
        <v>0</v>
      </c>
      <c r="AW9" s="365">
        <f ca="1">IFERROR(VLOOKUP($A9,INDIRECT(AR$6),7,FALSE),0)</f>
        <v>2</v>
      </c>
      <c r="AX9" s="359">
        <f ca="1">IFERROR(VLOOKUP($A9,INDIRECT(AR$6),8,FALSE),0)</f>
        <v>0</v>
      </c>
      <c r="AY9" s="359">
        <f ca="1">IFERROR(VLOOKUP($A9,INDIRECT(AR$6),9,FALSE),0)</f>
        <v>0</v>
      </c>
      <c r="AZ9" s="363">
        <f t="shared" ref="AZ9:AZ40" ca="1" si="23">IF(AU9=0,пропускДС+пропускДС,AU9*секундаСЛ+AV9*конус+AW9*конус+IF(AX9&lt;&gt;0,фальстарт,0)+IF(AY9&lt;&gt;0,база,0))</f>
        <v>45.3</v>
      </c>
      <c r="BA9" s="357">
        <f t="shared" ref="BA9:BA68" ca="1" si="24">IFERROR(VLOOKUP($A9,INDIRECT(BA$6),2,FALSE),0)</f>
        <v>0</v>
      </c>
      <c r="BB9" s="358">
        <f t="shared" ref="BB9" ca="1" si="25">IFERROR(VLOOKUP($A9,INDIRECT(BA$6),3,FALSE),0)</f>
        <v>0.6069444444444444</v>
      </c>
      <c r="BC9" s="358">
        <f ca="1">IF(OR(BA9=0,BB9=0),0,tDiff(BB9,BA9))</f>
        <v>0</v>
      </c>
      <c r="BD9" s="362">
        <f t="shared" ref="BD9" ca="1" si="26">IF(BB9&lt;&gt;0,BB9+BD$6,0)</f>
        <v>0.61548611111111107</v>
      </c>
      <c r="BE9" s="362">
        <f t="shared" ref="BE9:BE68" ca="1" si="27">IFERROR(VLOOKUP($A9,INDIRECT(BE$6),2,FALSE),0)</f>
        <v>0.6149189814814815</v>
      </c>
      <c r="BF9" s="354" t="str">
        <f ca="1">IF(BE9&lt;&gt;0,tpm(BE9,BD9,"s"),"")</f>
        <v>-</v>
      </c>
      <c r="BG9" s="362">
        <f ca="1">IF(BE9&lt;&gt;0,tDiff(BE9,BD9,"s"), 0)</f>
        <v>5.6707859039306641E-4</v>
      </c>
      <c r="BH9" s="363">
        <f ca="1">IF(BE9=0,пропускСФ,MIN(tInt(BG9,"s")*отклонениеРД,пределРД))</f>
        <v>49</v>
      </c>
      <c r="BI9" s="364">
        <f ca="1">IF(BE9&lt;&gt;0,BE9+BI$6,0)</f>
        <v>0.62608796296296299</v>
      </c>
      <c r="BJ9" s="362">
        <f t="shared" ref="BJ9:BJ68" ca="1" si="28">IFERROR(VLOOKUP($A9,INDIRECT(BJ$6),2,FALSE),0)</f>
        <v>0.62449074074074074</v>
      </c>
      <c r="BK9" s="359" t="str">
        <f ca="1">IF(BJ9&lt;&gt;0,tpm(BJ9,BI9,"s"),"")</f>
        <v>-</v>
      </c>
      <c r="BL9" s="362">
        <f ca="1">IF(BJ9&lt;&gt;0,tDiff(BJ9,BI9,"s"), 0)</f>
        <v>1.5972256660461426E-3</v>
      </c>
      <c r="BM9" s="363">
        <f ca="1">IF(BJ9=0,пропускСФ,MIN(tInt(BL9,"s")*отклонениеРД,пределРД))</f>
        <v>138</v>
      </c>
      <c r="BN9" s="364">
        <f ca="1">IF(BJ9&lt;&gt;0,BJ9+BN$6,0)</f>
        <v>0.6358449074074074</v>
      </c>
      <c r="BO9" s="362">
        <f t="shared" ref="BO9:BO68" ca="1" si="29">IFERROR(VLOOKUP($A9,INDIRECT(BO$6),2,FALSE),0)</f>
        <v>0.63386574074074076</v>
      </c>
      <c r="BP9" s="359" t="str">
        <f ca="1">IF(AND(BO9&lt;&gt;0,BN9&lt;&gt;0),tpm(BO9,BN9,"s"),"")</f>
        <v>-</v>
      </c>
      <c r="BQ9" s="362">
        <f ca="1">IF(AND(BO9&lt;&gt;0,BN9&lt;&gt;0),tDiff(BO9,BN9,"s"), 0)</f>
        <v>1.9791722297668457E-3</v>
      </c>
      <c r="BR9" s="363">
        <f ca="1">IF(BN9=0,0,IF(BO9=0,пропускДС,MIN(tInt(BQ9,"s")*отклонениеРД,пределРД)))</f>
        <v>171</v>
      </c>
      <c r="BS9" s="366">
        <f t="shared" ref="BS9:BS68" ca="1" si="30">IFERROR(VLOOKUP($A9,INDIRECT(BS$6),2,FALSE),0)</f>
        <v>0</v>
      </c>
      <c r="BT9" s="363">
        <f t="shared" ref="BT9" ca="1" si="31">IFERROR(VLOOKUP($A9,INDIRECT(BS$6),4,FALSE),0)</f>
        <v>0</v>
      </c>
      <c r="BU9" s="357">
        <f t="shared" ref="BU9:BU68" ca="1" si="32">IFERROR(VLOOKUP($A9,INDIRECT(BU$6),2,FALSE),0)</f>
        <v>0.50138888888888888</v>
      </c>
      <c r="BV9" s="361">
        <f t="shared" ref="BV9" ca="1" si="33">IF(BU9&lt;&gt;0,0,пропускКВ)</f>
        <v>0</v>
      </c>
      <c r="BW9" s="357">
        <f t="shared" ref="BW9:BY40" ca="1" si="34">IFERROR(VLOOKUP($A9,INDIRECT(BW$6),2,FALSE),0)</f>
        <v>0.50486111111111109</v>
      </c>
      <c r="BX9" s="361">
        <f t="shared" ref="BX9" ca="1" si="35">IF(BW9&lt;&gt;0,0,пропускКВ)</f>
        <v>0</v>
      </c>
      <c r="BY9" s="357">
        <f t="shared" ca="1" si="34"/>
        <v>0.55486111111111114</v>
      </c>
      <c r="BZ9" s="361">
        <f t="shared" ref="BZ9" ca="1" si="36">IF(BY9&lt;&gt;0,0,пропускКВ)</f>
        <v>0</v>
      </c>
      <c r="CA9" s="357">
        <f ca="1">IF(L9&lt;&gt;0,tTrunc(L9+_ВКВ1/_КВ2Скорость/24),tTrunc(K9+_ВКВ1/_КВ2Скорость/24))</f>
        <v>0.57152777910232544</v>
      </c>
      <c r="CB9" s="358">
        <f ca="1">IFERROR(VLOOKUP($A9,INDIRECT(CA$6),2,FALSE),0)</f>
        <v>0.56388888888888888</v>
      </c>
      <c r="CC9" s="358">
        <f>ROUNDUP(tInt(_ВКВ1/_КВ2Скорость/24)/10,0)/1440</f>
        <v>8.3333333333333332E-3</v>
      </c>
      <c r="CD9" s="359" t="str">
        <f ca="1">IF(AND(CB9&lt;&gt;0,CA9&lt;&gt;0),tpm(CB9,CA9),"")</f>
        <v>-</v>
      </c>
      <c r="CE9" s="358">
        <f ca="1">IF(CB9&lt;&gt;0,tDiff(CB9,CA9), 0)</f>
        <v>7.6388716697692871E-3</v>
      </c>
      <c r="CF9" s="361">
        <f ca="1">IF(CB9&lt;&gt;0,IF(CD9="+",0,IF(CE9&gt;CC9,tInt(CE9-CC9)*опережениеКВ,0)),пропускКВ)</f>
        <v>0</v>
      </c>
    </row>
    <row r="10" spans="1:84" s="22" customFormat="1" x14ac:dyDescent="0.25">
      <c r="A10" s="587">
        <f>стартоваяВедомость!B11</f>
        <v>1</v>
      </c>
      <c r="B10" s="381" t="str">
        <f t="shared" ca="1" si="0"/>
        <v>Волга Газ21</v>
      </c>
      <c r="C10" s="381" t="str">
        <f t="shared" ca="1" si="1"/>
        <v>Середа Павел</v>
      </c>
      <c r="D10" s="381" t="str">
        <f t="shared" ca="1" si="2"/>
        <v>Сорока Евгений</v>
      </c>
      <c r="E10" s="381" t="str">
        <f t="shared" ca="1" si="3"/>
        <v>Москва</v>
      </c>
      <c r="F10" s="381" t="str">
        <f t="shared" ca="1" si="4"/>
        <v>Ретро-ПРО</v>
      </c>
      <c r="G10" s="382">
        <f t="shared" ref="G10:G68" ca="1" si="37">IF(LEN(A10)&gt;0,IF(ISNUMBER(H10),H10+I10+J10,H10),"")</f>
        <v>577.5</v>
      </c>
      <c r="H10" s="382">
        <f t="shared" ref="H10:H68" ca="1" si="38">IF(O10&lt;&gt;"DNS",IF(AD10&lt;&gt;"DNF",O10+V10+AD10+BV10+BX10+BZ10+CF10,"DNF"),"DNS")</f>
        <v>0</v>
      </c>
      <c r="I10" s="382">
        <f t="shared" ref="I10:I68" ca="1" si="39">AL10+AQ10+AZ10+BH10+BM10+BR10</f>
        <v>577.5</v>
      </c>
      <c r="J10" s="382">
        <f t="shared" ref="J10:J68" ca="1" si="40">BT10</f>
        <v>0</v>
      </c>
      <c r="K10" s="383">
        <f t="shared" ca="1" si="6"/>
        <v>0.52013888888888882</v>
      </c>
      <c r="L10" s="152">
        <f t="shared" ref="L10:L68" ca="1" si="41">IFERROR(VLOOKUP($A10,INDIRECT(K$6),3,FALSE),0)</f>
        <v>0.52013888888888882</v>
      </c>
      <c r="M10" s="384" t="str">
        <f ca="1">IF(L10&lt;&gt;0,tpm(L10,K10),"")</f>
        <v/>
      </c>
      <c r="N10" s="152">
        <f ca="1">IF(L10&lt;&gt;0,tDiff(L10,K10), 0)</f>
        <v>0</v>
      </c>
      <c r="O10" s="385">
        <f ca="1">IF(L10&lt;&gt;0,IF(M10="+",MIN(tInt(N10)*опережениеКВ,пределКВ),tInt(N10)*опережениеКВ),"DNS")</f>
        <v>0</v>
      </c>
      <c r="P10" s="152">
        <f t="shared" si="8"/>
        <v>8.3333335816860199E-2</v>
      </c>
      <c r="Q10" s="152">
        <f t="shared" ref="Q10:Q68" ca="1" si="42">AG10</f>
        <v>2.0833611488342285E-3</v>
      </c>
      <c r="R10" s="383">
        <f t="shared" ref="R10:R68" ca="1" si="43">IF(L10&lt;&gt;0,L10,K10)+P10</f>
        <v>0.60347222470574902</v>
      </c>
      <c r="S10" s="152">
        <f t="shared" ref="S10:S68" ca="1" si="44">IFERROR(VLOOKUP($A10,INDIRECT(R$6),2,FALSE),0)</f>
        <v>0.60347222222222219</v>
      </c>
      <c r="T10" s="384" t="str">
        <f ca="1">IF(S10&lt;&gt;0,tpm(S10,R10),"")</f>
        <v/>
      </c>
      <c r="U10" s="152">
        <f ca="1">IF(S10&lt;&gt;0,tDiff(S10,R10), 0)</f>
        <v>0</v>
      </c>
      <c r="V10" s="385">
        <f ca="1">IF(S10&lt;&gt;0,IF(T10="+",MIN(MAX(tInt(U10-Q10),0)*опережениеКВ,пределКВ),tInt(U10)*опережениеКВ),пропускКВ)</f>
        <v>0</v>
      </c>
      <c r="W10" s="152">
        <f t="shared" si="11"/>
        <v>8.3333335816860199E-2</v>
      </c>
      <c r="X10" s="152">
        <f t="shared" ref="X10:X68" ca="1" si="45">AT10+BC10</f>
        <v>1.7361111111111049E-2</v>
      </c>
      <c r="Y10" s="152">
        <f t="shared" ref="Y10:Y68" ca="1" si="46">IF(S10&lt;&gt;0,X10,Q10+X10)</f>
        <v>1.7361111111111049E-2</v>
      </c>
      <c r="Z10" s="383">
        <f t="shared" ref="Z10:Z68" ca="1" si="47">IF(S10&lt;&gt;0,S10,R10)+W10</f>
        <v>0.68680555803908239</v>
      </c>
      <c r="AA10" s="152">
        <f t="shared" ref="AA10:AA68" ca="1" si="48">IFERROR(VLOOKUP($A10,INDIRECT(Z$6),2,FALSE),0)</f>
        <v>0.69305555555555554</v>
      </c>
      <c r="AB10" s="384" t="str">
        <f ca="1">IF(AA10&lt;&gt;0,tpm(AA10,Z10),"")</f>
        <v>+</v>
      </c>
      <c r="AC10" s="152">
        <f ca="1">IF(AA10&lt;&gt;0,tDiff(AA10,Z10), 0)</f>
        <v>6.2500238418579102E-3</v>
      </c>
      <c r="AD10" s="385">
        <f ca="1">IF(AA10&lt;&gt;0,IF(AB10="+",MIN(MAX(tInt(AC10-Y10),0)*опережениеКВ,пределКВ),IF(tInt(AC10)&lt;=ROUNDUP(tInt(W10)*0.1,0),0,(tInt(AC10)-ROUNDUP(tInt(W10)*0.1,0))*опережениеКВ)),"DNF")</f>
        <v>0</v>
      </c>
      <c r="AE10" s="383">
        <f t="shared" ca="1" si="14"/>
        <v>0.54791666666666672</v>
      </c>
      <c r="AF10" s="152">
        <f t="shared" ref="AF10:AF68" ca="1" si="49">IFERROR(VLOOKUP($A10,INDIRECT(AE$6),3,FALSE),0)</f>
        <v>0.54999999999999993</v>
      </c>
      <c r="AG10" s="152">
        <f ca="1">IF(OR(AE10=0,AF10=0),0,tDiff(AF10,AE10))</f>
        <v>2.0833611488342285E-3</v>
      </c>
      <c r="AH10" s="386">
        <f t="shared" ref="AH10:AH68" ca="1" si="50">IF(AF10&lt;&gt;0,AF10+AH$6,0)</f>
        <v>0.56238425925925917</v>
      </c>
      <c r="AI10" s="386">
        <f t="shared" ca="1" si="17"/>
        <v>0.56440972222222219</v>
      </c>
      <c r="AJ10" s="380" t="str">
        <f ca="1">IF(AI10&lt;&gt;0,tpm(AI10,AH10,"s"),"")</f>
        <v>+</v>
      </c>
      <c r="AK10" s="386">
        <f ca="1">IF(AI10&lt;&gt;0,tDiff(AI10,AH10,"s"), 0)</f>
        <v>2.0254850387573242E-3</v>
      </c>
      <c r="AL10" s="387">
        <f ca="1">IF(AI10=0,пропускСФ,MIN(tInt(AK10,"s")*отклонениеРД,пределРД))</f>
        <v>175</v>
      </c>
      <c r="AM10" s="388">
        <f t="shared" ref="AM10:AM68" ca="1" si="51">IF(AI10&lt;&gt;0,AI10+AM$6,0)</f>
        <v>0.56798611111111108</v>
      </c>
      <c r="AN10" s="386">
        <f t="shared" ca="1" si="18"/>
        <v>0.5680439814814815</v>
      </c>
      <c r="AO10" s="384" t="str">
        <f ca="1">IF(AND(AM10&lt;&gt;0,AN10&lt;&gt;0),tpm(AN10,AM10,"s"),"")</f>
        <v>+</v>
      </c>
      <c r="AP10" s="386">
        <f ca="1">IF(AND(AM10&lt;&gt;0,AN10&lt;&gt;0),tDiff(AN10,AM10,"s"), 0)</f>
        <v>5.7876110076904297E-5</v>
      </c>
      <c r="AQ10" s="387">
        <f ca="1">IF(AM10=0,0,IF(AN10=0,пропускДС,MIN(tInt(AP10,"s")*отклонениеРД,пределРД)))</f>
        <v>5</v>
      </c>
      <c r="AR10" s="383">
        <f t="shared" ca="1" si="19"/>
        <v>0.62083333333333335</v>
      </c>
      <c r="AS10" s="152">
        <f t="shared" ref="AS10:AS68" ca="1" si="52">IFERROR(VLOOKUP($A10,INDIRECT(AR$6),3,FALSE),0)</f>
        <v>0.6381944444444444</v>
      </c>
      <c r="AT10" s="152">
        <f t="shared" ref="AT10:AT68" ca="1" si="53">IF(OR(AR10=0,AS10=0),0,ROUND(AS10*1440,0)/1440-ROUND(AR10*1440,0)/1440)</f>
        <v>1.7361111111111049E-2</v>
      </c>
      <c r="AU10" s="389">
        <f t="shared" ref="AU10:AU68" ca="1" si="54">ROUND(IFERROR(VLOOKUP($A10,INDIRECT(AR$6),5,FALSE),0),1)</f>
        <v>111.5</v>
      </c>
      <c r="AV10" s="389">
        <f t="shared" ref="AV10:AV68" ca="1" si="55">IFERROR(VLOOKUP($A10,INDIRECT(AR$6),6,FALSE),0)</f>
        <v>0</v>
      </c>
      <c r="AW10" s="389">
        <f t="shared" ref="AW10:AW68" ca="1" si="56">IFERROR(VLOOKUP($A10,INDIRECT(AR$6),7,FALSE),0)</f>
        <v>0</v>
      </c>
      <c r="AX10" s="384">
        <f t="shared" ref="AX10:AX68" ca="1" si="57">IFERROR(VLOOKUP($A10,INDIRECT(AR$6),8,FALSE),0)</f>
        <v>0</v>
      </c>
      <c r="AY10" s="384">
        <f t="shared" ref="AY10:AY68" ca="1" si="58">IFERROR(VLOOKUP($A10,INDIRECT(AR$6),9,FALSE),0)</f>
        <v>0</v>
      </c>
      <c r="AZ10" s="387">
        <f t="shared" ca="1" si="23"/>
        <v>334.5</v>
      </c>
      <c r="BA10" s="383">
        <f t="shared" ca="1" si="24"/>
        <v>0</v>
      </c>
      <c r="BB10" s="152">
        <f t="shared" ref="BB10:BB68" ca="1" si="59">IFERROR(VLOOKUP($A10,INDIRECT(BA$6),3,FALSE),0)</f>
        <v>0.64583333333333337</v>
      </c>
      <c r="BC10" s="152">
        <f ca="1">IF(OR(BA10=0,BB10=0),0,tDiff(BB10,BA10))</f>
        <v>0</v>
      </c>
      <c r="BD10" s="386">
        <f t="shared" ref="BD10:BD68" ca="1" si="60">IF(BB10&lt;&gt;0,BB10+BD$6,0)</f>
        <v>0.65437500000000004</v>
      </c>
      <c r="BE10" s="386">
        <f t="shared" ca="1" si="27"/>
        <v>0.65487268518518515</v>
      </c>
      <c r="BF10" s="380" t="str">
        <f ca="1">IF(BE10&lt;&gt;0,tpm(BE10,BD10,"s"),"")</f>
        <v>+</v>
      </c>
      <c r="BG10" s="386">
        <f ca="1">IF(BE10&lt;&gt;0,tDiff(BE10,BD10,"s"), 0)</f>
        <v>4.9763917922973633E-4</v>
      </c>
      <c r="BH10" s="387">
        <f ca="1">IF(BE10=0,пропускСФ,MIN(tInt(BG10,"s")*отклонениеРД,пределРД))</f>
        <v>43</v>
      </c>
      <c r="BI10" s="388">
        <f t="shared" ref="BI10:BI68" ca="1" si="61">IF(BE10&lt;&gt;0,BE10+BI$6,0)</f>
        <v>0.66604166666666664</v>
      </c>
      <c r="BJ10" s="386">
        <f t="shared" ca="1" si="28"/>
        <v>0.66621527777777778</v>
      </c>
      <c r="BK10" s="384" t="str">
        <f ca="1">IF(BJ10&lt;&gt;0,tpm(BJ10,BI10,"s"),"")</f>
        <v>+</v>
      </c>
      <c r="BL10" s="386">
        <f ca="1">IF(BJ10&lt;&gt;0,tDiff(BJ10,BI10,"s"), 0)</f>
        <v>1.7362833023071289E-4</v>
      </c>
      <c r="BM10" s="387">
        <f ca="1">IF(BJ10=0,пропускСФ,MIN(tInt(BL10,"s")*отклонениеРД,пределРД))</f>
        <v>15</v>
      </c>
      <c r="BN10" s="388">
        <f t="shared" ref="BN10:BN68" ca="1" si="62">IF(BJ10&lt;&gt;0,BJ10+BN$6,0)</f>
        <v>0.67756944444444445</v>
      </c>
      <c r="BO10" s="386">
        <f t="shared" ca="1" si="29"/>
        <v>0.67762731481481486</v>
      </c>
      <c r="BP10" s="384" t="str">
        <f ca="1">IF(AND(BO10&lt;&gt;0,BN10&lt;&gt;0),tpm(BO10,BN10,"s"),"")</f>
        <v>+</v>
      </c>
      <c r="BQ10" s="386">
        <f ca="1">IF(AND(BO10&lt;&gt;0,BN10&lt;&gt;0),tDiff(BO10,BN10,"s"), 0)</f>
        <v>5.7876110076904297E-5</v>
      </c>
      <c r="BR10" s="387">
        <f ca="1">IF(BN10=0,0,IF(BO10=0,пропускДС,MIN(tInt(BQ10,"s")*отклонениеРД,пределРД)))</f>
        <v>5</v>
      </c>
      <c r="BS10" s="390">
        <f t="shared" ca="1" si="30"/>
        <v>0</v>
      </c>
      <c r="BT10" s="387">
        <f t="shared" ref="BT10:BT68" ca="1" si="63">IFERROR(VLOOKUP($A10,INDIRECT(BS$6),4,FALSE),0)</f>
        <v>0</v>
      </c>
      <c r="BU10" s="383">
        <f t="shared" ca="1" si="32"/>
        <v>0.53333333333333333</v>
      </c>
      <c r="BV10" s="391">
        <f t="shared" ref="BV10:BV68" ca="1" si="64">IF(BU10&lt;&gt;0,0,пропускКВ)</f>
        <v>0</v>
      </c>
      <c r="BW10" s="383">
        <f t="shared" ca="1" si="34"/>
        <v>0.53749999999999998</v>
      </c>
      <c r="BX10" s="391">
        <f t="shared" ref="BX10:BX68" ca="1" si="65">IF(BW10&lt;&gt;0,0,пропускКВ)</f>
        <v>0</v>
      </c>
      <c r="BY10" s="383">
        <f t="shared" ca="1" si="34"/>
        <v>0.59166666666666667</v>
      </c>
      <c r="BZ10" s="391">
        <f t="shared" ref="BZ10:BZ68" ca="1" si="66">IF(BY10&lt;&gt;0,0,пропускКВ)</f>
        <v>0</v>
      </c>
      <c r="CA10" s="383">
        <f ca="1">IF(L10&lt;&gt;0,tTrunc(L10+_ВКВ1/_КВ2Скорость/24),tTrunc(K10+_ВКВ1/_КВ2Скорость/24))</f>
        <v>0.60138887166976929</v>
      </c>
      <c r="CB10" s="152">
        <f t="shared" ref="CB10:CB68" ca="1" si="67">IFERROR(VLOOKUP($A10,INDIRECT(CA$6),2,FALSE),0)</f>
        <v>0.6020833333333333</v>
      </c>
      <c r="CC10" s="152">
        <f>ROUNDUP(tInt(_ВКВ1/_КВ2Скорость/24)/10,0)/1440</f>
        <v>8.3333333333333332E-3</v>
      </c>
      <c r="CD10" s="384" t="str">
        <f ca="1">IF(AND(CB10&lt;&gt;0,CA10&lt;&gt;0),tpm(CB10,CA10),"")</f>
        <v>+</v>
      </c>
      <c r="CE10" s="152">
        <f ca="1">IF(CB10&lt;&gt;0,tDiff(CB10,CA10), 0)</f>
        <v>6.9445371627807617E-4</v>
      </c>
      <c r="CF10" s="391">
        <f ca="1">IF(CB10&lt;&gt;0,IF(CD10="+",0,IF(CE10&gt;CC10,tInt(CE10-CC10)*опережениеКВ,0)),пропускКВ)</f>
        <v>0</v>
      </c>
    </row>
    <row r="11" spans="1:84" s="367" customFormat="1" x14ac:dyDescent="0.25">
      <c r="A11" s="586">
        <f>стартоваяВедомость!B12</f>
        <v>2</v>
      </c>
      <c r="B11" s="355" t="str">
        <f t="shared" ca="1" si="0"/>
        <v>Газ 21</v>
      </c>
      <c r="C11" s="355" t="str">
        <f t="shared" ca="1" si="1"/>
        <v>Шевченко Павел Николаевич</v>
      </c>
      <c r="D11" s="355" t="str">
        <f t="shared" ca="1" si="2"/>
        <v>Шевченко Ольга Анатольевна</v>
      </c>
      <c r="E11" s="355" t="str">
        <f t="shared" ca="1" si="3"/>
        <v>Смоленск</v>
      </c>
      <c r="F11" s="355" t="str">
        <f t="shared" ca="1" si="4"/>
        <v>Ретро-ПРО</v>
      </c>
      <c r="G11" s="356">
        <f t="shared" ca="1" si="37"/>
        <v>6999</v>
      </c>
      <c r="H11" s="356">
        <f t="shared" ca="1" si="38"/>
        <v>2700</v>
      </c>
      <c r="I11" s="356">
        <f t="shared" ca="1" si="39"/>
        <v>4299</v>
      </c>
      <c r="J11" s="356">
        <f t="shared" ca="1" si="40"/>
        <v>0</v>
      </c>
      <c r="K11" s="357">
        <f t="shared" ca="1" si="6"/>
        <v>0.50138888888888888</v>
      </c>
      <c r="L11" s="358">
        <f t="shared" ca="1" si="41"/>
        <v>0.50138888888888888</v>
      </c>
      <c r="M11" s="359" t="str">
        <f ca="1">IF(L11&lt;&gt;0,tpm(L11,K11),"")</f>
        <v/>
      </c>
      <c r="N11" s="358">
        <f ca="1">IF(L11&lt;&gt;0,tDiff(L11,K11), 0)</f>
        <v>0</v>
      </c>
      <c r="O11" s="360">
        <f ca="1">IF(L11&lt;&gt;0,IF(M11="+",MIN(tInt(N11)*опережениеКВ,пределКВ),tInt(N11)*опережениеКВ),"DNS")</f>
        <v>0</v>
      </c>
      <c r="P11" s="358">
        <f t="shared" si="8"/>
        <v>8.3333335816860199E-2</v>
      </c>
      <c r="Q11" s="358">
        <f t="shared" ca="1" si="42"/>
        <v>0</v>
      </c>
      <c r="R11" s="357">
        <f t="shared" ca="1" si="43"/>
        <v>0.58472222470574908</v>
      </c>
      <c r="S11" s="358">
        <f t="shared" ca="1" si="44"/>
        <v>0</v>
      </c>
      <c r="T11" s="359" t="str">
        <f ca="1">IF(S11&lt;&gt;0,tpm(S11,R11),"")</f>
        <v/>
      </c>
      <c r="U11" s="358">
        <f ca="1">IF(S11&lt;&gt;0,tDiff(S11,R11), 0)</f>
        <v>0</v>
      </c>
      <c r="V11" s="360">
        <f ca="1">IF(S11&lt;&gt;0,IF(T11="+",MIN(MAX(tInt(U11-Q11),0)*опережениеКВ,пределКВ),tInt(U11)*опережениеКВ),пропускКВ)</f>
        <v>900</v>
      </c>
      <c r="W11" s="358">
        <f t="shared" si="11"/>
        <v>8.3333335816860199E-2</v>
      </c>
      <c r="X11" s="358">
        <f t="shared" ca="1" si="45"/>
        <v>1.8749992052713993E-2</v>
      </c>
      <c r="Y11" s="358">
        <f t="shared" ca="1" si="46"/>
        <v>1.8749992052713993E-2</v>
      </c>
      <c r="Z11" s="357">
        <f t="shared" ca="1" si="47"/>
        <v>0.66805556052260928</v>
      </c>
      <c r="AA11" s="358">
        <f t="shared" ca="1" si="48"/>
        <v>0.66111111111111109</v>
      </c>
      <c r="AB11" s="359" t="str">
        <f ca="1">IF(AA11&lt;&gt;0,tpm(AA11,Z11),"")</f>
        <v>-</v>
      </c>
      <c r="AC11" s="358">
        <f ca="1">IF(AA11&lt;&gt;0,tDiff(AA11,Z11), 0)</f>
        <v>6.9444179534912109E-3</v>
      </c>
      <c r="AD11" s="360">
        <f ca="1">IF(AA11&lt;&gt;0,IF(AB11="+",MIN(MAX(tInt(AC11-Y11),0)*опережениеКВ,пределКВ),IF(tInt(AC11)&lt;=ROUNDUP(tInt(W11)*0.1,0),0,(tInt(AC11)-ROUNDUP(tInt(W11)*0.1,0))*опережениеКВ)),"DNF")</f>
        <v>0</v>
      </c>
      <c r="AE11" s="357">
        <f t="shared" ca="1" si="14"/>
        <v>0</v>
      </c>
      <c r="AF11" s="358">
        <f t="shared" ca="1" si="49"/>
        <v>0.52708333333333335</v>
      </c>
      <c r="AG11" s="358">
        <f ca="1">IF(OR(AE11=0,AF11=0),0,tDiff(AF11,AE11))</f>
        <v>0</v>
      </c>
      <c r="AH11" s="362">
        <f t="shared" ca="1" si="50"/>
        <v>0.53946759259259258</v>
      </c>
      <c r="AI11" s="362">
        <f t="shared" ca="1" si="17"/>
        <v>0</v>
      </c>
      <c r="AJ11" s="354" t="str">
        <f ca="1">IF(AI11&lt;&gt;0,tpm(AI11,AH11,"s"),"")</f>
        <v/>
      </c>
      <c r="AK11" s="362">
        <f ca="1">IF(AI11&lt;&gt;0,tDiff(AI11,AH11,"s"), 0)</f>
        <v>0</v>
      </c>
      <c r="AL11" s="363">
        <f ca="1">IF(AI11=0,пропускСФ,MIN(tInt(AK11,"s")*отклонениеРД,пределРД))</f>
        <v>1800</v>
      </c>
      <c r="AM11" s="364">
        <f t="shared" ca="1" si="51"/>
        <v>0</v>
      </c>
      <c r="AN11" s="362">
        <f t="shared" ca="1" si="18"/>
        <v>0.54322916666666665</v>
      </c>
      <c r="AO11" s="359" t="str">
        <f ca="1">IF(AND(AM11&lt;&gt;0,AN11&lt;&gt;0),tpm(AN11,AM11,"s"),"")</f>
        <v/>
      </c>
      <c r="AP11" s="362">
        <f ca="1">IF(AND(AM11&lt;&gt;0,AN11&lt;&gt;0),tDiff(AN11,AM11,"s"), 0)</f>
        <v>0</v>
      </c>
      <c r="AQ11" s="363">
        <f ca="1">IF(AM11=0,0,IF(AN11=0,пропускДС,MIN(tInt(AP11,"s")*отклонениеРД,пределРД)))</f>
        <v>0</v>
      </c>
      <c r="AR11" s="357">
        <f t="shared" ca="1" si="19"/>
        <v>0.58680555555555558</v>
      </c>
      <c r="AS11" s="358">
        <f t="shared" ca="1" si="52"/>
        <v>0.59722222222222221</v>
      </c>
      <c r="AT11" s="358">
        <f t="shared" ca="1" si="53"/>
        <v>1.041666666666663E-2</v>
      </c>
      <c r="AU11" s="365">
        <f t="shared" ca="1" si="54"/>
        <v>18</v>
      </c>
      <c r="AV11" s="365">
        <f t="shared" ca="1" si="55"/>
        <v>0</v>
      </c>
      <c r="AW11" s="365">
        <f t="shared" ca="1" si="56"/>
        <v>3</v>
      </c>
      <c r="AX11" s="359">
        <f t="shared" ca="1" si="57"/>
        <v>0</v>
      </c>
      <c r="AY11" s="359">
        <f t="shared" ca="1" si="58"/>
        <v>0</v>
      </c>
      <c r="AZ11" s="363">
        <f t="shared" ca="1" si="23"/>
        <v>99</v>
      </c>
      <c r="BA11" s="357">
        <f t="shared" ca="1" si="24"/>
        <v>0.60138888888888886</v>
      </c>
      <c r="BB11" s="358">
        <f t="shared" ca="1" si="59"/>
        <v>0.60972222222222217</v>
      </c>
      <c r="BC11" s="358">
        <f ca="1">IF(OR(BA11=0,BB11=0),0,tDiff(BB11,BA11))</f>
        <v>8.3333253860473633E-3</v>
      </c>
      <c r="BD11" s="362">
        <f t="shared" ca="1" si="60"/>
        <v>0.61826388888888884</v>
      </c>
      <c r="BE11" s="362">
        <f t="shared" ca="1" si="27"/>
        <v>0.62910879629629635</v>
      </c>
      <c r="BF11" s="354" t="str">
        <f ca="1">IF(BE11&lt;&gt;0,tpm(BE11,BD11,"s"),"")</f>
        <v>+</v>
      </c>
      <c r="BG11" s="362">
        <f ca="1">IF(BE11&lt;&gt;0,tDiff(BE11,BD11,"s"), 0)</f>
        <v>1.0844886302947998E-2</v>
      </c>
      <c r="BH11" s="363">
        <f ca="1">IF(BE11=0,пропускСФ,MIN(tInt(BG11,"s")*отклонениеРД,пределРД))</f>
        <v>600</v>
      </c>
      <c r="BI11" s="364">
        <f t="shared" ca="1" si="61"/>
        <v>0.64027777777777783</v>
      </c>
      <c r="BJ11" s="362">
        <f t="shared" ca="1" si="28"/>
        <v>0</v>
      </c>
      <c r="BK11" s="359" t="str">
        <f ca="1">IF(BJ11&lt;&gt;0,tpm(BJ11,BI11,"s"),"")</f>
        <v/>
      </c>
      <c r="BL11" s="362">
        <f ca="1">IF(BJ11&lt;&gt;0,tDiff(BJ11,BI11,"s"), 0)</f>
        <v>0</v>
      </c>
      <c r="BM11" s="363">
        <f ca="1">IF(BJ11=0,пропускСФ,MIN(tInt(BL11,"s")*отклонениеРД,пределРД))</f>
        <v>1800</v>
      </c>
      <c r="BN11" s="364">
        <f t="shared" ca="1" si="62"/>
        <v>0</v>
      </c>
      <c r="BO11" s="362">
        <f t="shared" ca="1" si="29"/>
        <v>0.64628472222222222</v>
      </c>
      <c r="BP11" s="359" t="str">
        <f ca="1">IF(AND(BO11&lt;&gt;0,BN11&lt;&gt;0),tpm(BO11,BN11,"s"),"")</f>
        <v/>
      </c>
      <c r="BQ11" s="362">
        <f ca="1">IF(AND(BO11&lt;&gt;0,BN11&lt;&gt;0),tDiff(BO11,BN11,"s"), 0)</f>
        <v>0</v>
      </c>
      <c r="BR11" s="363">
        <f ca="1">IF(BN11=0,0,IF(BO11=0,пропускДС,MIN(tInt(BQ11,"s")*отклонениеРД,пределРД)))</f>
        <v>0</v>
      </c>
      <c r="BS11" s="366">
        <f t="shared" ca="1" si="30"/>
        <v>0</v>
      </c>
      <c r="BT11" s="363">
        <f t="shared" ca="1" si="63"/>
        <v>0</v>
      </c>
      <c r="BU11" s="357">
        <f t="shared" ca="1" si="32"/>
        <v>0.51527777777777783</v>
      </c>
      <c r="BV11" s="361">
        <f t="shared" ca="1" si="64"/>
        <v>0</v>
      </c>
      <c r="BW11" s="357">
        <f t="shared" ca="1" si="34"/>
        <v>0</v>
      </c>
      <c r="BX11" s="361">
        <f t="shared" ca="1" si="65"/>
        <v>900</v>
      </c>
      <c r="BY11" s="357">
        <f t="shared" ca="1" si="34"/>
        <v>0</v>
      </c>
      <c r="BZ11" s="361">
        <f t="shared" ca="1" si="66"/>
        <v>900</v>
      </c>
      <c r="CA11" s="357">
        <f ca="1">IF(L11&lt;&gt;0,tTrunc(L11+_ВКВ1/_КВ2Скорость/24),tTrunc(K11+_ВКВ1/_КВ2Скорость/24))</f>
        <v>0.58263885974884033</v>
      </c>
      <c r="CB11" s="358">
        <f t="shared" ca="1" si="67"/>
        <v>0.5756944444444444</v>
      </c>
      <c r="CC11" s="358">
        <f>ROUNDUP(tInt(_ВКВ1/_КВ2Скорость/24)/10,0)/1440</f>
        <v>8.3333333333333332E-3</v>
      </c>
      <c r="CD11" s="359" t="str">
        <f ca="1">IF(AND(CB11&lt;&gt;0,CA11&lt;&gt;0),tpm(CB11,CA11),"")</f>
        <v>-</v>
      </c>
      <c r="CE11" s="358">
        <f ca="1">IF(CB11&lt;&gt;0,tDiff(CB11,CA11), 0)</f>
        <v>6.9444179534912109E-3</v>
      </c>
      <c r="CF11" s="361">
        <f ca="1">IF(CB11&lt;&gt;0,IF(CD11="+",0,IF(CE11&gt;CC11,tInt(CE11-CC11)*опережениеКВ,0)),пропускКВ)</f>
        <v>0</v>
      </c>
    </row>
    <row r="12" spans="1:84" s="22" customFormat="1" x14ac:dyDescent="0.25">
      <c r="A12" s="587">
        <f>стартоваяВедомость!B13</f>
        <v>3</v>
      </c>
      <c r="B12" s="381" t="str">
        <f t="shared" ca="1" si="0"/>
        <v>Москвич 2140</v>
      </c>
      <c r="C12" s="381" t="str">
        <f t="shared" ca="1" si="1"/>
        <v>Гайлит Сергей</v>
      </c>
      <c r="D12" s="381" t="str">
        <f t="shared" ca="1" si="2"/>
        <v>Ивахненко Алексей</v>
      </c>
      <c r="E12" s="381" t="str">
        <f t="shared" ca="1" si="3"/>
        <v>Ярцево / Смоленск</v>
      </c>
      <c r="F12" s="381" t="str">
        <f t="shared" ca="1" si="4"/>
        <v>Ретро-ПРО</v>
      </c>
      <c r="G12" s="382">
        <f t="shared" ca="1" si="37"/>
        <v>3986.8</v>
      </c>
      <c r="H12" s="382">
        <f t="shared" ca="1" si="38"/>
        <v>2700</v>
      </c>
      <c r="I12" s="382">
        <f t="shared" ca="1" si="39"/>
        <v>986.8</v>
      </c>
      <c r="J12" s="382">
        <f t="shared" ca="1" si="40"/>
        <v>300</v>
      </c>
      <c r="K12" s="383">
        <f t="shared" ca="1" si="6"/>
        <v>0.50208333333333333</v>
      </c>
      <c r="L12" s="152">
        <f t="shared" ca="1" si="41"/>
        <v>0.50208333333333333</v>
      </c>
      <c r="M12" s="384" t="str">
        <f ca="1">IF(L12&lt;&gt;0,tpm(L12,K12),"")</f>
        <v/>
      </c>
      <c r="N12" s="152">
        <f ca="1">IF(L12&lt;&gt;0,tDiff(L12,K12), 0)</f>
        <v>0</v>
      </c>
      <c r="O12" s="385">
        <f ca="1">IF(L12&lt;&gt;0,IF(M12="+",MIN(tInt(N12)*опережениеКВ,пределКВ),tInt(N12)*опережениеКВ),"DNS")</f>
        <v>0</v>
      </c>
      <c r="P12" s="152">
        <f t="shared" si="8"/>
        <v>8.3333335816860199E-2</v>
      </c>
      <c r="Q12" s="152">
        <f t="shared" ca="1" si="42"/>
        <v>0</v>
      </c>
      <c r="R12" s="383">
        <f t="shared" ca="1" si="43"/>
        <v>0.58541666915019352</v>
      </c>
      <c r="S12" s="152">
        <f t="shared" ca="1" si="44"/>
        <v>0</v>
      </c>
      <c r="T12" s="384" t="str">
        <f ca="1">IF(S12&lt;&gt;0,tpm(S12,R12),"")</f>
        <v/>
      </c>
      <c r="U12" s="152">
        <f ca="1">IF(S12&lt;&gt;0,tDiff(S12,R12), 0)</f>
        <v>0</v>
      </c>
      <c r="V12" s="385">
        <f ca="1">IF(S12&lt;&gt;0,IF(T12="+",MIN(MAX(tInt(U12-Q12),0)*опережениеКВ,пределКВ),tInt(U12)*опережениеКВ),пропускКВ)</f>
        <v>900</v>
      </c>
      <c r="W12" s="152">
        <f t="shared" si="11"/>
        <v>8.3333335816860199E-2</v>
      </c>
      <c r="X12" s="152">
        <f t="shared" ca="1" si="45"/>
        <v>6.2499642372131348E-3</v>
      </c>
      <c r="Y12" s="152">
        <f t="shared" ca="1" si="46"/>
        <v>6.2499642372131348E-3</v>
      </c>
      <c r="Z12" s="383">
        <f t="shared" ca="1" si="47"/>
        <v>0.66875000496705372</v>
      </c>
      <c r="AA12" s="152">
        <f t="shared" ca="1" si="48"/>
        <v>0.66736111111111107</v>
      </c>
      <c r="AB12" s="384" t="str">
        <f ca="1">IF(AA12&lt;&gt;0,tpm(AA12,Z12),"")</f>
        <v>-</v>
      </c>
      <c r="AC12" s="152">
        <f ca="1">IF(AA12&lt;&gt;0,tDiff(AA12,Z12), 0)</f>
        <v>1.388847827911377E-3</v>
      </c>
      <c r="AD12" s="385">
        <f ca="1">IF(AA12&lt;&gt;0,IF(AB12="+",MIN(MAX(tInt(AC12-Y12),0)*опережениеКВ,пределКВ),IF(tInt(AC12)&lt;=ROUNDUP(tInt(W12)*0.1,0),0,(tInt(AC12)-ROUNDUP(tInt(W12)*0.1,0))*опережениеКВ)),"DNF")</f>
        <v>0</v>
      </c>
      <c r="AE12" s="383">
        <f t="shared" ca="1" si="14"/>
        <v>0</v>
      </c>
      <c r="AF12" s="152">
        <f t="shared" ca="1" si="49"/>
        <v>0.52777777777777779</v>
      </c>
      <c r="AG12" s="152">
        <f ca="1">IF(OR(AE12=0,AF12=0),0,tDiff(AF12,AE12))</f>
        <v>0</v>
      </c>
      <c r="AH12" s="386">
        <f t="shared" ca="1" si="50"/>
        <v>0.54016203703703702</v>
      </c>
      <c r="AI12" s="386">
        <f t="shared" ca="1" si="17"/>
        <v>0.54026620370370371</v>
      </c>
      <c r="AJ12" s="380" t="str">
        <f ca="1">IF(AI12&lt;&gt;0,tpm(AI12,AH12,"s"),"")</f>
        <v>+</v>
      </c>
      <c r="AK12" s="386">
        <f ca="1">IF(AI12&lt;&gt;0,tDiff(AI12,AH12,"s"), 0)</f>
        <v>1.0418891906738281E-4</v>
      </c>
      <c r="AL12" s="387">
        <f ca="1">IF(AI12=0,пропускСФ,MIN(tInt(AK12,"s")*отклонениеРД,пределРД))</f>
        <v>9</v>
      </c>
      <c r="AM12" s="388">
        <f t="shared" ca="1" si="51"/>
        <v>0.5438425925925926</v>
      </c>
      <c r="AN12" s="386">
        <f t="shared" ca="1" si="18"/>
        <v>0.54553240740740738</v>
      </c>
      <c r="AO12" s="384" t="str">
        <f ca="1">IF(AND(AM12&lt;&gt;0,AN12&lt;&gt;0),tpm(AN12,AM12,"s"),"")</f>
        <v>+</v>
      </c>
      <c r="AP12" s="386">
        <f ca="1">IF(AND(AM12&lt;&gt;0,AN12&lt;&gt;0),tDiff(AN12,AM12,"s"), 0)</f>
        <v>1.6897916793823242E-3</v>
      </c>
      <c r="AQ12" s="387">
        <f ca="1">IF(AM12=0,0,IF(AN12=0,пропускДС,MIN(tInt(AP12,"s")*отклонениеРД,пределРД)))</f>
        <v>146</v>
      </c>
      <c r="AR12" s="383">
        <f t="shared" ca="1" si="19"/>
        <v>0</v>
      </c>
      <c r="AS12" s="152">
        <f t="shared" ca="1" si="52"/>
        <v>0.59930555555555554</v>
      </c>
      <c r="AT12" s="152">
        <f t="shared" ca="1" si="53"/>
        <v>0</v>
      </c>
      <c r="AU12" s="389">
        <f t="shared" ca="1" si="54"/>
        <v>31.6</v>
      </c>
      <c r="AV12" s="389">
        <f t="shared" ca="1" si="55"/>
        <v>0</v>
      </c>
      <c r="AW12" s="389">
        <f t="shared" ca="1" si="56"/>
        <v>2</v>
      </c>
      <c r="AX12" s="384">
        <f t="shared" ca="1" si="57"/>
        <v>0</v>
      </c>
      <c r="AY12" s="384">
        <f t="shared" ca="1" si="58"/>
        <v>0</v>
      </c>
      <c r="AZ12" s="387">
        <f t="shared" ca="1" si="23"/>
        <v>124.80000000000001</v>
      </c>
      <c r="BA12" s="383">
        <f t="shared" ca="1" si="24"/>
        <v>0.60416666666666663</v>
      </c>
      <c r="BB12" s="152">
        <f t="shared" ca="1" si="59"/>
        <v>0.61041666666666672</v>
      </c>
      <c r="BC12" s="152">
        <f ca="1">IF(OR(BA12=0,BB12=0),0,tDiff(BB12,BA12))</f>
        <v>6.2499642372131348E-3</v>
      </c>
      <c r="BD12" s="386">
        <f t="shared" ca="1" si="60"/>
        <v>0.61895833333333339</v>
      </c>
      <c r="BE12" s="386">
        <f t="shared" ca="1" si="27"/>
        <v>0.61908564814814815</v>
      </c>
      <c r="BF12" s="380" t="str">
        <f ca="1">IF(BE12&lt;&gt;0,tpm(BE12,BD12,"s"),"")</f>
        <v>+</v>
      </c>
      <c r="BG12" s="386">
        <f ca="1">IF(BE12&lt;&gt;0,tDiff(BE12,BD12,"s"), 0)</f>
        <v>1.2731552124023438E-4</v>
      </c>
      <c r="BH12" s="387">
        <f ca="1">IF(BE12=0,пропускСФ,MIN(tInt(BG12,"s")*отклонениеРД,пределРД))</f>
        <v>11</v>
      </c>
      <c r="BI12" s="388">
        <f t="shared" ca="1" si="61"/>
        <v>0.63025462962962964</v>
      </c>
      <c r="BJ12" s="386">
        <f t="shared" ca="1" si="28"/>
        <v>0.64131944444444444</v>
      </c>
      <c r="BK12" s="384" t="str">
        <f ca="1">IF(BJ12&lt;&gt;0,tpm(BJ12,BI12,"s"),"")</f>
        <v>+</v>
      </c>
      <c r="BL12" s="386">
        <f ca="1">IF(BJ12&lt;&gt;0,tDiff(BJ12,BI12,"s"), 0)</f>
        <v>1.1064827442169189E-2</v>
      </c>
      <c r="BM12" s="387">
        <f ca="1">IF(BJ12=0,пропускСФ,MIN(tInt(BL12,"s")*отклонениеРД,пределРД))</f>
        <v>600</v>
      </c>
      <c r="BN12" s="388">
        <f t="shared" ca="1" si="62"/>
        <v>0.65267361111111111</v>
      </c>
      <c r="BO12" s="386">
        <f t="shared" ca="1" si="29"/>
        <v>0.65156249999999993</v>
      </c>
      <c r="BP12" s="384" t="str">
        <f ca="1">IF(AND(BO12&lt;&gt;0,BN12&lt;&gt;0),tpm(BO12,BN12,"s"),"")</f>
        <v>-</v>
      </c>
      <c r="BQ12" s="386">
        <f ca="1">IF(AND(BO12&lt;&gt;0,BN12&lt;&gt;0),tDiff(BO12,BN12,"s"), 0)</f>
        <v>1.1110901832580566E-3</v>
      </c>
      <c r="BR12" s="387">
        <f ca="1">IF(BN12=0,0,IF(BO12=0,пропускДС,MIN(tInt(BQ12,"s")*отклонениеРД,пределРД)))</f>
        <v>96</v>
      </c>
      <c r="BS12" s="390" t="str">
        <f t="shared" ca="1" si="30"/>
        <v>ДС-3 СФ остановка в зоне действия судейского пункта</v>
      </c>
      <c r="BT12" s="387">
        <f t="shared" ca="1" si="63"/>
        <v>300</v>
      </c>
      <c r="BU12" s="383">
        <f t="shared" ca="1" si="32"/>
        <v>0</v>
      </c>
      <c r="BV12" s="391">
        <f t="shared" ca="1" si="64"/>
        <v>900</v>
      </c>
      <c r="BW12" s="383">
        <f t="shared" ca="1" si="34"/>
        <v>0</v>
      </c>
      <c r="BX12" s="391">
        <f t="shared" ca="1" si="65"/>
        <v>900</v>
      </c>
      <c r="BY12" s="383">
        <f t="shared" ca="1" si="34"/>
        <v>0.56874999999999998</v>
      </c>
      <c r="BZ12" s="391">
        <f t="shared" ca="1" si="66"/>
        <v>0</v>
      </c>
      <c r="CA12" s="383">
        <f ca="1">IF(L12&lt;&gt;0,tTrunc(L12+_ВКВ1/_КВ2Скорость/24),tTrunc(K12+_ВКВ1/_КВ2Скорость/24))</f>
        <v>0.58333331346511841</v>
      </c>
      <c r="CB12" s="152">
        <f t="shared" ca="1" si="67"/>
        <v>0.58402777777777781</v>
      </c>
      <c r="CC12" s="152">
        <f>ROUNDUP(tInt(_ВКВ1/_КВ2Скорость/24)/10,0)/1440</f>
        <v>8.3333333333333332E-3</v>
      </c>
      <c r="CD12" s="384" t="str">
        <f ca="1">IF(AND(CB12&lt;&gt;0,CA12&lt;&gt;0),tpm(CB12,CA12),"")</f>
        <v>+</v>
      </c>
      <c r="CE12" s="152">
        <f ca="1">IF(CB12&lt;&gt;0,tDiff(CB12,CA12), 0)</f>
        <v>6.9445371627807617E-4</v>
      </c>
      <c r="CF12" s="391">
        <f ca="1">IF(CB12&lt;&gt;0,IF(CD12="+",0,IF(CE12&gt;CC12,tInt(CE12-CC12)*опережениеКВ,0)),пропускКВ)</f>
        <v>0</v>
      </c>
    </row>
    <row r="13" spans="1:84" s="367" customFormat="1" x14ac:dyDescent="0.25">
      <c r="A13" s="586">
        <f>стартоваяВедомость!B14</f>
        <v>4</v>
      </c>
      <c r="B13" s="355" t="str">
        <f t="shared" ca="1" si="0"/>
        <v>Lancia Beta Coupe</v>
      </c>
      <c r="C13" s="355" t="str">
        <f t="shared" ca="1" si="1"/>
        <v>Лекае Александр</v>
      </c>
      <c r="D13" s="355" t="str">
        <f t="shared" ca="1" si="2"/>
        <v>Шарапова Ирина</v>
      </c>
      <c r="E13" s="355" t="str">
        <f t="shared" ca="1" si="3"/>
        <v>Москва</v>
      </c>
      <c r="F13" s="355" t="str">
        <f t="shared" ca="1" si="4"/>
        <v>Ретро-ПРО</v>
      </c>
      <c r="G13" s="356">
        <f t="shared" ca="1" si="37"/>
        <v>2549.1</v>
      </c>
      <c r="H13" s="356">
        <f t="shared" ca="1" si="38"/>
        <v>0</v>
      </c>
      <c r="I13" s="356">
        <f t="shared" ca="1" si="39"/>
        <v>2549.1</v>
      </c>
      <c r="J13" s="356">
        <f t="shared" ca="1" si="40"/>
        <v>0</v>
      </c>
      <c r="K13" s="357">
        <f t="shared" ca="1" si="6"/>
        <v>0.50277777777777777</v>
      </c>
      <c r="L13" s="358">
        <f t="shared" ca="1" si="41"/>
        <v>0.50277777777777777</v>
      </c>
      <c r="M13" s="359" t="str">
        <f ca="1">IF(L13&lt;&gt;0,tpm(L13,K13),"")</f>
        <v/>
      </c>
      <c r="N13" s="358">
        <f ca="1">IF(L13&lt;&gt;0,tDiff(L13,K13), 0)</f>
        <v>0</v>
      </c>
      <c r="O13" s="360">
        <f ca="1">IF(L13&lt;&gt;0,IF(M13="+",MIN(tInt(N13)*опережениеКВ,пределКВ),tInt(N13)*опережениеКВ),"DNS")</f>
        <v>0</v>
      </c>
      <c r="P13" s="358">
        <f t="shared" si="8"/>
        <v>8.3333335816860199E-2</v>
      </c>
      <c r="Q13" s="358">
        <f t="shared" ca="1" si="42"/>
        <v>1.3889074325561523E-3</v>
      </c>
      <c r="R13" s="357">
        <f t="shared" ca="1" si="43"/>
        <v>0.58611111359463797</v>
      </c>
      <c r="S13" s="358">
        <f t="shared" ca="1" si="44"/>
        <v>0.58611111111111114</v>
      </c>
      <c r="T13" s="359" t="str">
        <f ca="1">IF(S13&lt;&gt;0,tpm(S13,R13),"")</f>
        <v/>
      </c>
      <c r="U13" s="358">
        <f ca="1">IF(S13&lt;&gt;0,tDiff(S13,R13), 0)</f>
        <v>0</v>
      </c>
      <c r="V13" s="360">
        <f ca="1">IF(S13&lt;&gt;0,IF(T13="+",MIN(MAX(tInt(U13-Q13),0)*опережениеКВ,пределКВ),tInt(U13)*опережениеКВ),пропускКВ)</f>
        <v>0</v>
      </c>
      <c r="W13" s="358">
        <f t="shared" si="11"/>
        <v>8.3333335816860199E-2</v>
      </c>
      <c r="X13" s="358">
        <f t="shared" ca="1" si="45"/>
        <v>5.555570125579834E-3</v>
      </c>
      <c r="Y13" s="358">
        <f t="shared" ca="1" si="46"/>
        <v>5.555570125579834E-3</v>
      </c>
      <c r="Z13" s="357">
        <f t="shared" ca="1" si="47"/>
        <v>0.66944444692797134</v>
      </c>
      <c r="AA13" s="358">
        <f t="shared" ca="1" si="48"/>
        <v>0.66249999999999998</v>
      </c>
      <c r="AB13" s="359" t="str">
        <f ca="1">IF(AA13&lt;&gt;0,tpm(AA13,Z13),"")</f>
        <v>-</v>
      </c>
      <c r="AC13" s="358">
        <f ca="1">IF(AA13&lt;&gt;0,tDiff(AA13,Z13), 0)</f>
        <v>6.9444179534912109E-3</v>
      </c>
      <c r="AD13" s="360">
        <f ca="1">IF(AA13&lt;&gt;0,IF(AB13="+",MIN(MAX(tInt(AC13-Y13),0)*опережениеКВ,пределКВ),IF(tInt(AC13)&lt;=ROUNDUP(tInt(W13)*0.1,0),0,(tInt(AC13)-ROUNDUP(tInt(W13)*0.1,0))*опережениеКВ)),"DNF")</f>
        <v>0</v>
      </c>
      <c r="AE13" s="357">
        <f t="shared" ca="1" si="14"/>
        <v>0.53194444444444444</v>
      </c>
      <c r="AF13" s="358">
        <f t="shared" ca="1" si="49"/>
        <v>0.53333333333333333</v>
      </c>
      <c r="AG13" s="358">
        <f ca="1">IF(OR(AE13=0,AF13=0),0,tDiff(AF13,AE13))</f>
        <v>1.3889074325561523E-3</v>
      </c>
      <c r="AH13" s="362">
        <f t="shared" ca="1" si="50"/>
        <v>0.54571759259259256</v>
      </c>
      <c r="AI13" s="362">
        <f t="shared" ca="1" si="17"/>
        <v>0.54592592592592593</v>
      </c>
      <c r="AJ13" s="354" t="str">
        <f ca="1">IF(AI13&lt;&gt;0,tpm(AI13,AH13,"s"),"")</f>
        <v>+</v>
      </c>
      <c r="AK13" s="362">
        <f ca="1">IF(AI13&lt;&gt;0,tDiff(AI13,AH13,"s"), 0)</f>
        <v>2.0831823348999023E-4</v>
      </c>
      <c r="AL13" s="363">
        <f ca="1">IF(AI13=0,пропускСФ,MIN(tInt(AK13,"s")*отклонениеРД,пределРД))</f>
        <v>18</v>
      </c>
      <c r="AM13" s="364">
        <f t="shared" ca="1" si="51"/>
        <v>0.54950231481481482</v>
      </c>
      <c r="AN13" s="362">
        <f t="shared" ca="1" si="18"/>
        <v>0.54953703703703705</v>
      </c>
      <c r="AO13" s="359" t="str">
        <f ca="1">IF(AND(AM13&lt;&gt;0,AN13&lt;&gt;0),tpm(AN13,AM13,"s"),"")</f>
        <v>+</v>
      </c>
      <c r="AP13" s="362">
        <f ca="1">IF(AND(AM13&lt;&gt;0,AN13&lt;&gt;0),tDiff(AN13,AM13,"s"), 0)</f>
        <v>3.4749507904052734E-5</v>
      </c>
      <c r="AQ13" s="363">
        <f ca="1">IF(AM13=0,0,IF(AN13=0,пропускДС,MIN(tInt(AP13,"s")*отклонениеРД,пределРД)))</f>
        <v>3</v>
      </c>
      <c r="AR13" s="357">
        <f t="shared" ca="1" si="19"/>
        <v>0</v>
      </c>
      <c r="AS13" s="358">
        <f t="shared" ca="1" si="52"/>
        <v>0.60069444444444442</v>
      </c>
      <c r="AT13" s="358">
        <f t="shared" ca="1" si="53"/>
        <v>0</v>
      </c>
      <c r="AU13" s="365">
        <f t="shared" ca="1" si="54"/>
        <v>7.7</v>
      </c>
      <c r="AV13" s="365">
        <f t="shared" ca="1" si="55"/>
        <v>0</v>
      </c>
      <c r="AW13" s="365">
        <f t="shared" ca="1" si="56"/>
        <v>3</v>
      </c>
      <c r="AX13" s="359">
        <f t="shared" ca="1" si="57"/>
        <v>0</v>
      </c>
      <c r="AY13" s="359" t="str">
        <f t="shared" ca="1" si="58"/>
        <v>да</v>
      </c>
      <c r="AZ13" s="363">
        <f t="shared" ca="1" si="23"/>
        <v>128.1</v>
      </c>
      <c r="BA13" s="357">
        <f t="shared" ca="1" si="24"/>
        <v>0.60555555555555551</v>
      </c>
      <c r="BB13" s="358">
        <f t="shared" ca="1" si="59"/>
        <v>0.61111111111111105</v>
      </c>
      <c r="BC13" s="358">
        <f ca="1">IF(OR(BA13=0,BB13=0),0,tDiff(BB13,BA13))</f>
        <v>5.555570125579834E-3</v>
      </c>
      <c r="BD13" s="362">
        <f t="shared" ca="1" si="60"/>
        <v>0.61965277777777772</v>
      </c>
      <c r="BE13" s="362">
        <f t="shared" ca="1" si="27"/>
        <v>0.62883101851851853</v>
      </c>
      <c r="BF13" s="354" t="str">
        <f ca="1">IF(BE13&lt;&gt;0,tpm(BE13,BD13,"s"),"")</f>
        <v>+</v>
      </c>
      <c r="BG13" s="362">
        <f ca="1">IF(BE13&lt;&gt;0,tDiff(BE13,BD13,"s"), 0)</f>
        <v>9.1782808303833008E-3</v>
      </c>
      <c r="BH13" s="363">
        <f ca="1">IF(BE13=0,пропускСФ,MIN(tInt(BG13,"s")*отклонениеРД,пределРД))</f>
        <v>600</v>
      </c>
      <c r="BI13" s="364">
        <f t="shared" ca="1" si="61"/>
        <v>0.64</v>
      </c>
      <c r="BJ13" s="362">
        <f t="shared" ca="1" si="28"/>
        <v>0</v>
      </c>
      <c r="BK13" s="359" t="str">
        <f ca="1">IF(BJ13&lt;&gt;0,tpm(BJ13,BI13,"s"),"")</f>
        <v/>
      </c>
      <c r="BL13" s="362">
        <f ca="1">IF(BJ13&lt;&gt;0,tDiff(BJ13,BI13,"s"), 0)</f>
        <v>0</v>
      </c>
      <c r="BM13" s="363">
        <f ca="1">IF(BJ13=0,пропускСФ,MIN(tInt(BL13,"s")*отклонениеРД,пределРД))</f>
        <v>1800</v>
      </c>
      <c r="BN13" s="364">
        <f t="shared" ca="1" si="62"/>
        <v>0</v>
      </c>
      <c r="BO13" s="362">
        <f t="shared" ca="1" si="29"/>
        <v>0.64020833333333338</v>
      </c>
      <c r="BP13" s="359" t="str">
        <f ca="1">IF(AND(BO13&lt;&gt;0,BN13&lt;&gt;0),tpm(BO13,BN13,"s"),"")</f>
        <v/>
      </c>
      <c r="BQ13" s="362">
        <f ca="1">IF(AND(BO13&lt;&gt;0,BN13&lt;&gt;0),tDiff(BO13,BN13,"s"), 0)</f>
        <v>0</v>
      </c>
      <c r="BR13" s="363">
        <f ca="1">IF(BN13=0,0,IF(BO13=0,пропускДС,MIN(tInt(BQ13,"s")*отклонениеРД,пределРД)))</f>
        <v>0</v>
      </c>
      <c r="BS13" s="366">
        <f t="shared" ca="1" si="30"/>
        <v>0</v>
      </c>
      <c r="BT13" s="363">
        <f t="shared" ca="1" si="63"/>
        <v>0</v>
      </c>
      <c r="BU13" s="357">
        <f t="shared" ca="1" si="32"/>
        <v>0.51944444444444449</v>
      </c>
      <c r="BV13" s="361">
        <f t="shared" ca="1" si="64"/>
        <v>0</v>
      </c>
      <c r="BW13" s="357">
        <f t="shared" ca="1" si="34"/>
        <v>0.5229166666666667</v>
      </c>
      <c r="BX13" s="361">
        <f t="shared" ca="1" si="65"/>
        <v>0</v>
      </c>
      <c r="BY13" s="357">
        <f t="shared" ca="1" si="34"/>
        <v>0.57222222222222219</v>
      </c>
      <c r="BZ13" s="361">
        <f t="shared" ca="1" si="66"/>
        <v>0</v>
      </c>
      <c r="CA13" s="357">
        <f ca="1">IF(L13&lt;&gt;0,tTrunc(L13+_ВКВ1/_КВ2Скорость/24),tTrunc(K13+_ВКВ1/_КВ2Скорость/24))</f>
        <v>0.58402776718139648</v>
      </c>
      <c r="CB13" s="358">
        <f t="shared" ca="1" si="67"/>
        <v>0.57986111111111105</v>
      </c>
      <c r="CC13" s="358">
        <f>ROUNDUP(tInt(_ВКВ1/_КВ2Скорость/24)/10,0)/1440</f>
        <v>8.3333333333333332E-3</v>
      </c>
      <c r="CD13" s="359" t="str">
        <f ca="1">IF(AND(CB13&lt;&gt;0,CA13&lt;&gt;0),tpm(CB13,CA13),"")</f>
        <v>-</v>
      </c>
      <c r="CE13" s="358">
        <f ca="1">IF(CB13&lt;&gt;0,tDiff(CB13,CA13), 0)</f>
        <v>4.1666626930236816E-3</v>
      </c>
      <c r="CF13" s="361">
        <f ca="1">IF(CB13&lt;&gt;0,IF(CD13="+",0,IF(CE13&gt;CC13,tInt(CE13-CC13)*опережениеКВ,0)),пропускКВ)</f>
        <v>0</v>
      </c>
    </row>
    <row r="14" spans="1:84" s="22" customFormat="1" x14ac:dyDescent="0.25">
      <c r="A14" s="587">
        <f>стартоваяВедомость!B15</f>
        <v>5</v>
      </c>
      <c r="B14" s="381" t="str">
        <f t="shared" ca="1" si="0"/>
        <v>ГАЗ 24</v>
      </c>
      <c r="C14" s="381" t="str">
        <f t="shared" ca="1" si="1"/>
        <v>Патока Дмитрий</v>
      </c>
      <c r="D14" s="381" t="str">
        <f t="shared" ca="1" si="2"/>
        <v>Патока Вероника</v>
      </c>
      <c r="E14" s="381" t="str">
        <f t="shared" ca="1" si="3"/>
        <v>Елец / Москва</v>
      </c>
      <c r="F14" s="381" t="str">
        <f t="shared" ca="1" si="4"/>
        <v>Ретро-ПРО</v>
      </c>
      <c r="G14" s="382">
        <f t="shared" ca="1" si="37"/>
        <v>124.5</v>
      </c>
      <c r="H14" s="382">
        <f t="shared" ca="1" si="38"/>
        <v>0</v>
      </c>
      <c r="I14" s="382">
        <f t="shared" ca="1" si="39"/>
        <v>124.5</v>
      </c>
      <c r="J14" s="382">
        <f t="shared" ca="1" si="40"/>
        <v>0</v>
      </c>
      <c r="K14" s="383">
        <f t="shared" ca="1" si="6"/>
        <v>0.50347222222222221</v>
      </c>
      <c r="L14" s="152">
        <f t="shared" ca="1" si="41"/>
        <v>0.50347222222222221</v>
      </c>
      <c r="M14" s="384" t="str">
        <f ca="1">IF(L14&lt;&gt;0,tpm(L14,K14),"")</f>
        <v/>
      </c>
      <c r="N14" s="152">
        <f ca="1">IF(L14&lt;&gt;0,tDiff(L14,K14), 0)</f>
        <v>0</v>
      </c>
      <c r="O14" s="385">
        <f ca="1">IF(L14&lt;&gt;0,IF(M14="+",MIN(tInt(N14)*опережениеКВ,пределКВ),tInt(N14)*опережениеКВ),"DNS")</f>
        <v>0</v>
      </c>
      <c r="P14" s="152">
        <f t="shared" si="8"/>
        <v>8.3333335816860199E-2</v>
      </c>
      <c r="Q14" s="152">
        <f t="shared" ca="1" si="42"/>
        <v>0</v>
      </c>
      <c r="R14" s="383">
        <f t="shared" ca="1" si="43"/>
        <v>0.58680555803908241</v>
      </c>
      <c r="S14" s="152">
        <f t="shared" ca="1" si="44"/>
        <v>0.58680555555555558</v>
      </c>
      <c r="T14" s="384" t="str">
        <f ca="1">IF(S14&lt;&gt;0,tpm(S14,R14),"")</f>
        <v/>
      </c>
      <c r="U14" s="152">
        <f ca="1">IF(S14&lt;&gt;0,tDiff(S14,R14), 0)</f>
        <v>0</v>
      </c>
      <c r="V14" s="385">
        <f ca="1">IF(S14&lt;&gt;0,IF(T14="+",MIN(MAX(tInt(U14-Q14),0)*опережениеКВ,пределКВ),tInt(U14)*опережениеКВ),пропускКВ)</f>
        <v>0</v>
      </c>
      <c r="W14" s="152">
        <f t="shared" si="11"/>
        <v>8.3333335816860199E-2</v>
      </c>
      <c r="X14" s="152">
        <f t="shared" ca="1" si="45"/>
        <v>4.1666626930236816E-3</v>
      </c>
      <c r="Y14" s="152">
        <f t="shared" ca="1" si="46"/>
        <v>4.1666626930236816E-3</v>
      </c>
      <c r="Z14" s="383">
        <f t="shared" ca="1" si="47"/>
        <v>0.67013889137241578</v>
      </c>
      <c r="AA14" s="152">
        <f t="shared" ca="1" si="48"/>
        <v>0.6645833333333333</v>
      </c>
      <c r="AB14" s="384" t="str">
        <f ca="1">IF(AA14&lt;&gt;0,tpm(AA14,Z14),"")</f>
        <v>-</v>
      </c>
      <c r="AC14" s="152">
        <f ca="1">IF(AA14&lt;&gt;0,tDiff(AA14,Z14), 0)</f>
        <v>5.555570125579834E-3</v>
      </c>
      <c r="AD14" s="385">
        <f ca="1">IF(AA14&lt;&gt;0,IF(AB14="+",MIN(MAX(tInt(AC14-Y14),0)*опережениеКВ,пределКВ),IF(tInt(AC14)&lt;=ROUNDUP(tInt(W14)*0.1,0),0,(tInt(AC14)-ROUNDUP(tInt(W14)*0.1,0))*опережениеКВ)),"DNF")</f>
        <v>0</v>
      </c>
      <c r="AE14" s="383">
        <f t="shared" ca="1" si="14"/>
        <v>0</v>
      </c>
      <c r="AF14" s="152">
        <f t="shared" ca="1" si="49"/>
        <v>0.52986111111111112</v>
      </c>
      <c r="AG14" s="152">
        <f ca="1">IF(OR(AE14=0,AF14=0),0,tDiff(AF14,AE14))</f>
        <v>0</v>
      </c>
      <c r="AH14" s="386">
        <f t="shared" ca="1" si="50"/>
        <v>0.54224537037037035</v>
      </c>
      <c r="AI14" s="386">
        <f t="shared" ca="1" si="17"/>
        <v>0.54224537037037035</v>
      </c>
      <c r="AJ14" s="380" t="str">
        <f ca="1">IF(AI14&lt;&gt;0,tpm(AI14,AH14,"s"),"")</f>
        <v/>
      </c>
      <c r="AK14" s="386">
        <f ca="1">IF(AI14&lt;&gt;0,tDiff(AI14,AH14,"s"), 0)</f>
        <v>0</v>
      </c>
      <c r="AL14" s="387">
        <f ca="1">IF(AI14=0,пропускСФ,MIN(tInt(AK14,"s")*отклонениеРД,пределРД))</f>
        <v>0</v>
      </c>
      <c r="AM14" s="388">
        <f t="shared" ca="1" si="51"/>
        <v>0.54582175925925924</v>
      </c>
      <c r="AN14" s="386">
        <f t="shared" ca="1" si="18"/>
        <v>0.54583333333333328</v>
      </c>
      <c r="AO14" s="384" t="str">
        <f ca="1">IF(AND(AM14&lt;&gt;0,AN14&lt;&gt;0),tpm(AN14,AM14,"s"),"")</f>
        <v>+</v>
      </c>
      <c r="AP14" s="386">
        <f ca="1">IF(AND(AM14&lt;&gt;0,AN14&lt;&gt;0),tDiff(AN14,AM14,"s"), 0)</f>
        <v>1.1563301086425781E-5</v>
      </c>
      <c r="AQ14" s="387">
        <f ca="1">IF(AM14=0,0,IF(AN14=0,пропускДС,MIN(tInt(AP14,"s")*отклонениеРД,пределРД)))</f>
        <v>1</v>
      </c>
      <c r="AR14" s="383">
        <f t="shared" ca="1" si="19"/>
        <v>0</v>
      </c>
      <c r="AS14" s="152">
        <f t="shared" ca="1" si="52"/>
        <v>0</v>
      </c>
      <c r="AT14" s="152">
        <f t="shared" ca="1" si="53"/>
        <v>0</v>
      </c>
      <c r="AU14" s="389">
        <f t="shared" ca="1" si="54"/>
        <v>28.5</v>
      </c>
      <c r="AV14" s="389">
        <f t="shared" ca="1" si="55"/>
        <v>0</v>
      </c>
      <c r="AW14" s="389">
        <f t="shared" ca="1" si="56"/>
        <v>2</v>
      </c>
      <c r="AX14" s="384">
        <f t="shared" ca="1" si="57"/>
        <v>0</v>
      </c>
      <c r="AY14" s="384">
        <f t="shared" ca="1" si="58"/>
        <v>0</v>
      </c>
      <c r="AZ14" s="387">
        <f t="shared" ca="1" si="23"/>
        <v>115.5</v>
      </c>
      <c r="BA14" s="383">
        <f t="shared" ca="1" si="24"/>
        <v>0.60763888888888895</v>
      </c>
      <c r="BB14" s="152">
        <f t="shared" ca="1" si="59"/>
        <v>0.6118055555555556</v>
      </c>
      <c r="BC14" s="152">
        <f ca="1">IF(OR(BA14=0,BB14=0),0,tDiff(BB14,BA14))</f>
        <v>4.1666626930236816E-3</v>
      </c>
      <c r="BD14" s="386">
        <f t="shared" ca="1" si="60"/>
        <v>0.62034722222222227</v>
      </c>
      <c r="BE14" s="386">
        <f t="shared" ca="1" si="27"/>
        <v>0.62040509259259258</v>
      </c>
      <c r="BF14" s="380" t="str">
        <f ca="1">IF(BE14&lt;&gt;0,tpm(BE14,BD14,"s"),"")</f>
        <v>+</v>
      </c>
      <c r="BG14" s="386">
        <f ca="1">IF(BE14&lt;&gt;0,tDiff(BE14,BD14,"s"), 0)</f>
        <v>5.7876110076904297E-5</v>
      </c>
      <c r="BH14" s="387">
        <f ca="1">IF(BE14=0,пропускСФ,MIN(tInt(BG14,"s")*отклонениеРД,пределРД))</f>
        <v>5</v>
      </c>
      <c r="BI14" s="388">
        <f t="shared" ca="1" si="61"/>
        <v>0.63157407407407407</v>
      </c>
      <c r="BJ14" s="386">
        <f t="shared" ca="1" si="28"/>
        <v>0.63156250000000003</v>
      </c>
      <c r="BK14" s="384" t="str">
        <f ca="1">IF(BJ14&lt;&gt;0,tpm(BJ14,BI14,"s"),"")</f>
        <v>-</v>
      </c>
      <c r="BL14" s="386">
        <f ca="1">IF(BJ14&lt;&gt;0,tDiff(BJ14,BI14,"s"), 0)</f>
        <v>1.1622905731201172E-5</v>
      </c>
      <c r="BM14" s="387">
        <f ca="1">IF(BJ14=0,пропускСФ,MIN(tInt(BL14,"s")*отклонениеРД,пределРД))</f>
        <v>1</v>
      </c>
      <c r="BN14" s="388">
        <f t="shared" ca="1" si="62"/>
        <v>0.64291666666666669</v>
      </c>
      <c r="BO14" s="386">
        <f t="shared" ca="1" si="29"/>
        <v>0.6428935185185185</v>
      </c>
      <c r="BP14" s="384" t="str">
        <f ca="1">IF(AND(BO14&lt;&gt;0,BN14&lt;&gt;0),tpm(BO14,BN14,"s"),"")</f>
        <v>-</v>
      </c>
      <c r="BQ14" s="386">
        <f ca="1">IF(AND(BO14&lt;&gt;0,BN14&lt;&gt;0),tDiff(BO14,BN14,"s"), 0)</f>
        <v>2.3186206817626953E-5</v>
      </c>
      <c r="BR14" s="387">
        <f ca="1">IF(BN14=0,0,IF(BO14=0,пропускДС,MIN(tInt(BQ14,"s")*отклонениеРД,пределРД)))</f>
        <v>2</v>
      </c>
      <c r="BS14" s="390">
        <f t="shared" ca="1" si="30"/>
        <v>0</v>
      </c>
      <c r="BT14" s="387">
        <f t="shared" ca="1" si="63"/>
        <v>0</v>
      </c>
      <c r="BU14" s="383">
        <f t="shared" ca="1" si="32"/>
        <v>0.51736111111111105</v>
      </c>
      <c r="BV14" s="391">
        <f t="shared" ca="1" si="64"/>
        <v>0</v>
      </c>
      <c r="BW14" s="383">
        <f t="shared" ca="1" si="34"/>
        <v>0.52083333333333337</v>
      </c>
      <c r="BX14" s="391">
        <f t="shared" ca="1" si="65"/>
        <v>0</v>
      </c>
      <c r="BY14" s="383">
        <f t="shared" ca="1" si="34"/>
        <v>0.56736111111111109</v>
      </c>
      <c r="BZ14" s="391">
        <f t="shared" ca="1" si="66"/>
        <v>0</v>
      </c>
      <c r="CA14" s="383">
        <f ca="1">IF(L14&lt;&gt;0,tTrunc(L14+_ВКВ1/_КВ2Скорость/24),tTrunc(K14+_ВКВ1/_КВ2Скорость/24))</f>
        <v>0.58472222089767456</v>
      </c>
      <c r="CB14" s="152">
        <f t="shared" ca="1" si="67"/>
        <v>0.57986111111111105</v>
      </c>
      <c r="CC14" s="152">
        <f>ROUNDUP(tInt(_ВКВ1/_КВ2Скорость/24)/10,0)/1440</f>
        <v>8.3333333333333332E-3</v>
      </c>
      <c r="CD14" s="384" t="str">
        <f ca="1">IF(AND(CB14&lt;&gt;0,CA14&lt;&gt;0),tpm(CB14,CA14),"")</f>
        <v>-</v>
      </c>
      <c r="CE14" s="152">
        <f ca="1">IF(CB14&lt;&gt;0,tDiff(CB14,CA14), 0)</f>
        <v>4.8611164093017578E-3</v>
      </c>
      <c r="CF14" s="391">
        <f ca="1">IF(CB14&lt;&gt;0,IF(CD14="+",0,IF(CE14&gt;CC14,tInt(CE14-CC14)*опережениеКВ,0)),пропускКВ)</f>
        <v>0</v>
      </c>
    </row>
    <row r="15" spans="1:84" s="367" customFormat="1" x14ac:dyDescent="0.25">
      <c r="A15" s="586">
        <f>стартоваяВедомость!B16</f>
        <v>6</v>
      </c>
      <c r="B15" s="355" t="str">
        <f t="shared" ca="1" si="0"/>
        <v>Opel Manta</v>
      </c>
      <c r="C15" s="355" t="str">
        <f t="shared" ca="1" si="1"/>
        <v>Ушаков Павел</v>
      </c>
      <c r="D15" s="355" t="str">
        <f t="shared" ca="1" si="2"/>
        <v>Кареева Елена</v>
      </c>
      <c r="E15" s="355" t="str">
        <f t="shared" ca="1" si="3"/>
        <v>Москва</v>
      </c>
      <c r="F15" s="355" t="str">
        <f t="shared" ca="1" si="4"/>
        <v>Ретро-ПРО</v>
      </c>
      <c r="G15" s="356">
        <f t="shared" ca="1" si="37"/>
        <v>2525.1</v>
      </c>
      <c r="H15" s="356">
        <f t="shared" ca="1" si="38"/>
        <v>0</v>
      </c>
      <c r="I15" s="356">
        <f t="shared" ca="1" si="39"/>
        <v>2525.1</v>
      </c>
      <c r="J15" s="356">
        <f t="shared" ca="1" si="40"/>
        <v>0</v>
      </c>
      <c r="K15" s="357">
        <f t="shared" ca="1" si="6"/>
        <v>0.50416666666666665</v>
      </c>
      <c r="L15" s="358">
        <f t="shared" ca="1" si="41"/>
        <v>0.50416666666666665</v>
      </c>
      <c r="M15" s="359" t="str">
        <f ca="1">IF(L15&lt;&gt;0,tpm(L15,K15),"")</f>
        <v/>
      </c>
      <c r="N15" s="358">
        <f ca="1">IF(L15&lt;&gt;0,tDiff(L15,K15), 0)</f>
        <v>0</v>
      </c>
      <c r="O15" s="360">
        <f ca="1">IF(L15&lt;&gt;0,IF(M15="+",MIN(tInt(N15)*опережениеКВ,пределКВ),tInt(N15)*опережениеКВ),"DNS")</f>
        <v>0</v>
      </c>
      <c r="P15" s="358">
        <f t="shared" si="8"/>
        <v>8.3333335816860199E-2</v>
      </c>
      <c r="Q15" s="358">
        <f t="shared" ca="1" si="42"/>
        <v>0</v>
      </c>
      <c r="R15" s="357">
        <f t="shared" ca="1" si="43"/>
        <v>0.58750000248352685</v>
      </c>
      <c r="S15" s="358">
        <f t="shared" ca="1" si="44"/>
        <v>0.58750000000000002</v>
      </c>
      <c r="T15" s="359" t="str">
        <f ca="1">IF(S15&lt;&gt;0,tpm(S15,R15),"")</f>
        <v/>
      </c>
      <c r="U15" s="358">
        <f ca="1">IF(S15&lt;&gt;0,tDiff(S15,R15), 0)</f>
        <v>0</v>
      </c>
      <c r="V15" s="360">
        <f ca="1">IF(S15&lt;&gt;0,IF(T15="+",MIN(MAX(tInt(U15-Q15),0)*опережениеКВ,пределКВ),tInt(U15)*опережениеКВ),пропускКВ)</f>
        <v>0</v>
      </c>
      <c r="W15" s="358">
        <f t="shared" si="11"/>
        <v>8.3333335816860199E-2</v>
      </c>
      <c r="X15" s="358">
        <f t="shared" ca="1" si="45"/>
        <v>0</v>
      </c>
      <c r="Y15" s="358">
        <f t="shared" ca="1" si="46"/>
        <v>0</v>
      </c>
      <c r="Z15" s="357">
        <f t="shared" ca="1" si="47"/>
        <v>0.67083333581686022</v>
      </c>
      <c r="AA15" s="358">
        <f t="shared" ca="1" si="48"/>
        <v>0.66388888888888886</v>
      </c>
      <c r="AB15" s="359" t="str">
        <f ca="1">IF(AA15&lt;&gt;0,tpm(AA15,Z15),"")</f>
        <v>-</v>
      </c>
      <c r="AC15" s="358">
        <f ca="1">IF(AA15&lt;&gt;0,tDiff(AA15,Z15), 0)</f>
        <v>6.9444775581359863E-3</v>
      </c>
      <c r="AD15" s="360">
        <f ca="1">IF(AA15&lt;&gt;0,IF(AB15="+",MIN(MAX(tInt(AC15-Y15),0)*опережениеКВ,пределКВ),IF(tInt(AC15)&lt;=ROUNDUP(tInt(W15)*0.1,0),0,(tInt(AC15)-ROUNDUP(tInt(W15)*0.1,0))*опережениеКВ)),"DNF")</f>
        <v>0</v>
      </c>
      <c r="AE15" s="357">
        <f t="shared" ca="1" si="14"/>
        <v>0</v>
      </c>
      <c r="AF15" s="358">
        <f t="shared" ca="1" si="49"/>
        <v>0.53680555555555554</v>
      </c>
      <c r="AG15" s="358">
        <f ca="1">IF(OR(AE15=0,AF15=0),0,tDiff(AF15,AE15))</f>
        <v>0</v>
      </c>
      <c r="AH15" s="362">
        <f t="shared" ca="1" si="50"/>
        <v>0.54918981481481477</v>
      </c>
      <c r="AI15" s="362">
        <f t="shared" ca="1" si="17"/>
        <v>0.54951388888888886</v>
      </c>
      <c r="AJ15" s="354" t="str">
        <f ca="1">IF(AI15&lt;&gt;0,tpm(AI15,AH15,"s"),"")</f>
        <v>+</v>
      </c>
      <c r="AK15" s="362">
        <f ca="1">IF(AI15&lt;&gt;0,tDiff(AI15,AH15,"s"), 0)</f>
        <v>3.2407045364379883E-4</v>
      </c>
      <c r="AL15" s="363">
        <f ca="1">IF(AI15=0,пропускСФ,MIN(tInt(AK15,"s")*отклонениеРД,пределРД))</f>
        <v>28</v>
      </c>
      <c r="AM15" s="364">
        <f t="shared" ca="1" si="51"/>
        <v>0.55309027777777775</v>
      </c>
      <c r="AN15" s="362">
        <f t="shared" ca="1" si="18"/>
        <v>0.55306712962962956</v>
      </c>
      <c r="AO15" s="359" t="str">
        <f ca="1">IF(AND(AM15&lt;&gt;0,AN15&lt;&gt;0),tpm(AN15,AM15,"s"),"")</f>
        <v>-</v>
      </c>
      <c r="AP15" s="362">
        <f ca="1">IF(AND(AM15&lt;&gt;0,AN15&lt;&gt;0),tDiff(AN15,AM15,"s"), 0)</f>
        <v>2.3126602172851563E-5</v>
      </c>
      <c r="AQ15" s="363">
        <f ca="1">IF(AM15=0,0,IF(AN15=0,пропускДС,MIN(tInt(AP15,"s")*отклонениеРД,пределРД)))</f>
        <v>2</v>
      </c>
      <c r="AR15" s="357">
        <f t="shared" ca="1" si="19"/>
        <v>0</v>
      </c>
      <c r="AS15" s="358">
        <f t="shared" ca="1" si="52"/>
        <v>0</v>
      </c>
      <c r="AT15" s="358">
        <f t="shared" ca="1" si="53"/>
        <v>0</v>
      </c>
      <c r="AU15" s="365">
        <f t="shared" ca="1" si="54"/>
        <v>21.7</v>
      </c>
      <c r="AV15" s="365">
        <f t="shared" ca="1" si="55"/>
        <v>0</v>
      </c>
      <c r="AW15" s="365">
        <f t="shared" ca="1" si="56"/>
        <v>2</v>
      </c>
      <c r="AX15" s="359">
        <f t="shared" ca="1" si="57"/>
        <v>0</v>
      </c>
      <c r="AY15" s="359">
        <f t="shared" ca="1" si="58"/>
        <v>0</v>
      </c>
      <c r="AZ15" s="363">
        <f t="shared" ca="1" si="23"/>
        <v>95.1</v>
      </c>
      <c r="BA15" s="357">
        <f t="shared" ca="1" si="24"/>
        <v>0</v>
      </c>
      <c r="BB15" s="358">
        <f t="shared" ca="1" si="59"/>
        <v>0.61319444444444449</v>
      </c>
      <c r="BC15" s="358">
        <f ca="1">IF(OR(BA15=0,BB15=0),0,tDiff(BB15,BA15))</f>
        <v>0</v>
      </c>
      <c r="BD15" s="362">
        <f t="shared" ca="1" si="60"/>
        <v>0.62173611111111116</v>
      </c>
      <c r="BE15" s="362">
        <f t="shared" ca="1" si="27"/>
        <v>0.63062499999999999</v>
      </c>
      <c r="BF15" s="354" t="str">
        <f ca="1">IF(BE15&lt;&gt;0,tpm(BE15,BD15,"s"),"")</f>
        <v>+</v>
      </c>
      <c r="BG15" s="362">
        <f ca="1">IF(BE15&lt;&gt;0,tDiff(BE15,BD15,"s"), 0)</f>
        <v>8.8889002799987793E-3</v>
      </c>
      <c r="BH15" s="363">
        <f ca="1">IF(BE15=0,пропускСФ,MIN(tInt(BG15,"s")*отклонениеРД,пределРД))</f>
        <v>600</v>
      </c>
      <c r="BI15" s="364">
        <f t="shared" ca="1" si="61"/>
        <v>0.64179398148148148</v>
      </c>
      <c r="BJ15" s="362">
        <f t="shared" ca="1" si="28"/>
        <v>0</v>
      </c>
      <c r="BK15" s="359" t="str">
        <f ca="1">IF(BJ15&lt;&gt;0,tpm(BJ15,BI15,"s"),"")</f>
        <v/>
      </c>
      <c r="BL15" s="362">
        <f ca="1">IF(BJ15&lt;&gt;0,tDiff(BJ15,BI15,"s"), 0)</f>
        <v>0</v>
      </c>
      <c r="BM15" s="363">
        <f ca="1">IF(BJ15=0,пропускСФ,MIN(tInt(BL15,"s")*отклонениеРД,пределРД))</f>
        <v>1800</v>
      </c>
      <c r="BN15" s="364">
        <f t="shared" ca="1" si="62"/>
        <v>0</v>
      </c>
      <c r="BO15" s="362">
        <f t="shared" ca="1" si="29"/>
        <v>0.64148148148148143</v>
      </c>
      <c r="BP15" s="359" t="str">
        <f ca="1">IF(AND(BO15&lt;&gt;0,BN15&lt;&gt;0),tpm(BO15,BN15,"s"),"")</f>
        <v/>
      </c>
      <c r="BQ15" s="362">
        <f ca="1">IF(AND(BO15&lt;&gt;0,BN15&lt;&gt;0),tDiff(BO15,BN15,"s"), 0)</f>
        <v>0</v>
      </c>
      <c r="BR15" s="363">
        <f ca="1">IF(BN15=0,0,IF(BO15=0,пропускДС,MIN(tInt(BQ15,"s")*отклонениеРД,пределРД)))</f>
        <v>0</v>
      </c>
      <c r="BS15" s="366">
        <f t="shared" ca="1" si="30"/>
        <v>0</v>
      </c>
      <c r="BT15" s="363">
        <f t="shared" ca="1" si="63"/>
        <v>0</v>
      </c>
      <c r="BU15" s="357">
        <f t="shared" ca="1" si="32"/>
        <v>0.52083333333333337</v>
      </c>
      <c r="BV15" s="361">
        <f t="shared" ca="1" si="64"/>
        <v>0</v>
      </c>
      <c r="BW15" s="357">
        <f t="shared" ca="1" si="34"/>
        <v>0.52569444444444446</v>
      </c>
      <c r="BX15" s="361">
        <f t="shared" ca="1" si="65"/>
        <v>0</v>
      </c>
      <c r="BY15" s="357">
        <f t="shared" ca="1" si="34"/>
        <v>0.57430555555555551</v>
      </c>
      <c r="BZ15" s="361">
        <f t="shared" ca="1" si="66"/>
        <v>0</v>
      </c>
      <c r="CA15" s="357">
        <f ca="1">IF(L15&lt;&gt;0,tTrunc(L15+_ВКВ1/_КВ2Скорость/24),tTrunc(K15+_ВКВ1/_КВ2Скорость/24))</f>
        <v>0.58541667461395264</v>
      </c>
      <c r="CB15" s="358">
        <f t="shared" ca="1" si="67"/>
        <v>0.58333333333333337</v>
      </c>
      <c r="CC15" s="358">
        <f>ROUNDUP(tInt(_ВКВ1/_КВ2Скорость/24)/10,0)/1440</f>
        <v>8.3333333333333332E-3</v>
      </c>
      <c r="CD15" s="359" t="str">
        <f ca="1">IF(AND(CB15&lt;&gt;0,CA15&lt;&gt;0),tpm(CB15,CA15),"")</f>
        <v>-</v>
      </c>
      <c r="CE15" s="358">
        <f ca="1">IF(CB15&lt;&gt;0,tDiff(CB15,CA15), 0)</f>
        <v>2.0833611488342285E-3</v>
      </c>
      <c r="CF15" s="361">
        <f ca="1">IF(CB15&lt;&gt;0,IF(CD15="+",0,IF(CE15&gt;CC15,tInt(CE15-CC15)*опережениеКВ,0)),пропускКВ)</f>
        <v>0</v>
      </c>
    </row>
    <row r="16" spans="1:84" s="22" customFormat="1" x14ac:dyDescent="0.25">
      <c r="A16" s="587">
        <f>стартоваяВедомость!B17</f>
        <v>7</v>
      </c>
      <c r="B16" s="381" t="str">
        <f t="shared" ca="1" si="0"/>
        <v>ВАЗ2101</v>
      </c>
      <c r="C16" s="381" t="str">
        <f t="shared" ca="1" si="1"/>
        <v>Шеянов Олег</v>
      </c>
      <c r="D16" s="381" t="str">
        <f t="shared" ca="1" si="2"/>
        <v>Перельман Георгий</v>
      </c>
      <c r="E16" s="381" t="str">
        <f t="shared" ca="1" si="3"/>
        <v>Москва / Нижний Новгород</v>
      </c>
      <c r="F16" s="381" t="str">
        <f t="shared" ca="1" si="4"/>
        <v>Ретро-ПРО</v>
      </c>
      <c r="G16" s="382">
        <f t="shared" ca="1" si="37"/>
        <v>862.3</v>
      </c>
      <c r="H16" s="382">
        <f t="shared" ca="1" si="38"/>
        <v>0</v>
      </c>
      <c r="I16" s="382">
        <f t="shared" ca="1" si="39"/>
        <v>862.3</v>
      </c>
      <c r="J16" s="382">
        <f t="shared" ca="1" si="40"/>
        <v>0</v>
      </c>
      <c r="K16" s="383">
        <f t="shared" ca="1" si="6"/>
        <v>0.50486111111111109</v>
      </c>
      <c r="L16" s="152">
        <f t="shared" ca="1" si="41"/>
        <v>0.50486111111111109</v>
      </c>
      <c r="M16" s="384" t="str">
        <f ca="1">IF(L16&lt;&gt;0,tpm(L16,K16),"")</f>
        <v/>
      </c>
      <c r="N16" s="152">
        <f ca="1">IF(L16&lt;&gt;0,tDiff(L16,K16), 0)</f>
        <v>0</v>
      </c>
      <c r="O16" s="385">
        <f ca="1">IF(L16&lt;&gt;0,IF(M16="+",MIN(tInt(N16)*опережениеКВ,пределКВ),tInt(N16)*опережениеКВ),"DNS")</f>
        <v>0</v>
      </c>
      <c r="P16" s="152">
        <f t="shared" si="8"/>
        <v>8.3333335816860199E-2</v>
      </c>
      <c r="Q16" s="152">
        <f t="shared" ca="1" si="42"/>
        <v>0</v>
      </c>
      <c r="R16" s="383">
        <f t="shared" ca="1" si="43"/>
        <v>0.58819444692797129</v>
      </c>
      <c r="S16" s="152">
        <f t="shared" ca="1" si="44"/>
        <v>0.58819444444444446</v>
      </c>
      <c r="T16" s="384" t="str">
        <f ca="1">IF(S16&lt;&gt;0,tpm(S16,R16),"")</f>
        <v/>
      </c>
      <c r="U16" s="152">
        <f ca="1">IF(S16&lt;&gt;0,tDiff(S16,R16), 0)</f>
        <v>0</v>
      </c>
      <c r="V16" s="385">
        <f ca="1">IF(S16&lt;&gt;0,IF(T16="+",MIN(MAX(tInt(U16-Q16),0)*опережениеКВ,пределКВ),tInt(U16)*опережениеКВ),пропускКВ)</f>
        <v>0</v>
      </c>
      <c r="W16" s="152">
        <f t="shared" si="11"/>
        <v>8.3333335816860199E-2</v>
      </c>
      <c r="X16" s="152">
        <f t="shared" ca="1" si="45"/>
        <v>0</v>
      </c>
      <c r="Y16" s="152">
        <f t="shared" ca="1" si="46"/>
        <v>0</v>
      </c>
      <c r="Z16" s="383">
        <f t="shared" ca="1" si="47"/>
        <v>0.67152778026130466</v>
      </c>
      <c r="AA16" s="152">
        <f t="shared" ca="1" si="48"/>
        <v>0.66736111111111107</v>
      </c>
      <c r="AB16" s="384" t="str">
        <f ca="1">IF(AA16&lt;&gt;0,tpm(AA16,Z16),"")</f>
        <v>-</v>
      </c>
      <c r="AC16" s="152">
        <f ca="1">IF(AA16&lt;&gt;0,tDiff(AA16,Z16), 0)</f>
        <v>4.1666626930236816E-3</v>
      </c>
      <c r="AD16" s="385">
        <f ca="1">IF(AA16&lt;&gt;0,IF(AB16="+",MIN(MAX(tInt(AC16-Y16),0)*опережениеКВ,пределКВ),IF(tInt(AC16)&lt;=ROUNDUP(tInt(W16)*0.1,0),0,(tInt(AC16)-ROUNDUP(tInt(W16)*0.1,0))*опережениеКВ)),"DNF")</f>
        <v>0</v>
      </c>
      <c r="AE16" s="383">
        <f t="shared" ca="1" si="14"/>
        <v>0</v>
      </c>
      <c r="AF16" s="152">
        <f t="shared" ca="1" si="49"/>
        <v>0.53402777777777777</v>
      </c>
      <c r="AG16" s="152">
        <f ca="1">IF(OR(AE16=0,AF16=0),0,tDiff(AF16,AE16))</f>
        <v>0</v>
      </c>
      <c r="AH16" s="386">
        <f t="shared" ca="1" si="50"/>
        <v>0.546412037037037</v>
      </c>
      <c r="AI16" s="386">
        <f t="shared" ca="1" si="17"/>
        <v>0.54736111111111108</v>
      </c>
      <c r="AJ16" s="380" t="str">
        <f ca="1">IF(AI16&lt;&gt;0,tpm(AI16,AH16,"s"),"")</f>
        <v>+</v>
      </c>
      <c r="AK16" s="386">
        <f ca="1">IF(AI16&lt;&gt;0,tDiff(AI16,AH16,"s"), 0)</f>
        <v>9.4908475875854492E-4</v>
      </c>
      <c r="AL16" s="387">
        <f ca="1">IF(AI16=0,пропускСФ,MIN(tInt(AK16,"s")*отклонениеРД,пределРД))</f>
        <v>82</v>
      </c>
      <c r="AM16" s="388">
        <f t="shared" ca="1" si="51"/>
        <v>0.55093749999999997</v>
      </c>
      <c r="AN16" s="386">
        <f t="shared" ca="1" si="18"/>
        <v>0.55094907407407401</v>
      </c>
      <c r="AO16" s="384" t="str">
        <f ca="1">IF(AND(AM16&lt;&gt;0,AN16&lt;&gt;0),tpm(AN16,AM16,"s"),"")</f>
        <v>+</v>
      </c>
      <c r="AP16" s="386">
        <f ca="1">IF(AND(AM16&lt;&gt;0,AN16&lt;&gt;0),tDiff(AN16,AM16,"s"), 0)</f>
        <v>1.1622905731201172E-5</v>
      </c>
      <c r="AQ16" s="387">
        <f ca="1">IF(AM16=0,0,IF(AN16=0,пропускДС,MIN(tInt(AP16,"s")*отклонениеРД,пределРД)))</f>
        <v>1</v>
      </c>
      <c r="AR16" s="383">
        <f t="shared" ca="1" si="19"/>
        <v>0</v>
      </c>
      <c r="AS16" s="152">
        <f t="shared" ca="1" si="52"/>
        <v>0.60833333333333328</v>
      </c>
      <c r="AT16" s="152">
        <f t="shared" ca="1" si="53"/>
        <v>0</v>
      </c>
      <c r="AU16" s="389">
        <f t="shared" ca="1" si="54"/>
        <v>30.1</v>
      </c>
      <c r="AV16" s="389">
        <f t="shared" ca="1" si="55"/>
        <v>0</v>
      </c>
      <c r="AW16" s="389">
        <f t="shared" ca="1" si="56"/>
        <v>0</v>
      </c>
      <c r="AX16" s="384">
        <f t="shared" ca="1" si="57"/>
        <v>0</v>
      </c>
      <c r="AY16" s="384" t="str">
        <f t="shared" ca="1" si="58"/>
        <v>да</v>
      </c>
      <c r="AZ16" s="387">
        <f t="shared" ca="1" si="23"/>
        <v>150.30000000000001</v>
      </c>
      <c r="BA16" s="383">
        <f t="shared" ca="1" si="24"/>
        <v>0</v>
      </c>
      <c r="BB16" s="152">
        <f t="shared" ca="1" si="59"/>
        <v>0.61527777777777781</v>
      </c>
      <c r="BC16" s="152">
        <f ca="1">IF(OR(BA16=0,BB16=0),0,tDiff(BB16,BA16))</f>
        <v>0</v>
      </c>
      <c r="BD16" s="386">
        <f t="shared" ca="1" si="60"/>
        <v>0.62381944444444448</v>
      </c>
      <c r="BE16" s="386">
        <f t="shared" ca="1" si="27"/>
        <v>0.62988425925925928</v>
      </c>
      <c r="BF16" s="380" t="str">
        <f ca="1">IF(BE16&lt;&gt;0,tpm(BE16,BD16,"s"),"")</f>
        <v>+</v>
      </c>
      <c r="BG16" s="386">
        <f ca="1">IF(BE16&lt;&gt;0,tDiff(BE16,BD16,"s"), 0)</f>
        <v>6.0647726058959961E-3</v>
      </c>
      <c r="BH16" s="387">
        <f ca="1">IF(BE16=0,пропускСФ,MIN(tInt(BG16,"s")*отклонениеРД,пределРД))</f>
        <v>524</v>
      </c>
      <c r="BI16" s="388">
        <f t="shared" ca="1" si="61"/>
        <v>0.64105324074074077</v>
      </c>
      <c r="BJ16" s="386">
        <f t="shared" ca="1" si="28"/>
        <v>0.64143518518518516</v>
      </c>
      <c r="BK16" s="384" t="str">
        <f ca="1">IF(BJ16&lt;&gt;0,tpm(BJ16,BI16,"s"),"")</f>
        <v>+</v>
      </c>
      <c r="BL16" s="386">
        <f ca="1">IF(BJ16&lt;&gt;0,tDiff(BJ16,BI16,"s"), 0)</f>
        <v>3.8194656372070313E-4</v>
      </c>
      <c r="BM16" s="387">
        <f ca="1">IF(BJ16=0,пропускСФ,MIN(tInt(BL16,"s")*отклонениеРД,пределРД))</f>
        <v>33</v>
      </c>
      <c r="BN16" s="388">
        <f t="shared" ca="1" si="62"/>
        <v>0.65278935185185183</v>
      </c>
      <c r="BO16" s="386">
        <f t="shared" ca="1" si="29"/>
        <v>0.65362268518518518</v>
      </c>
      <c r="BP16" s="384" t="str">
        <f ca="1">IF(AND(BO16&lt;&gt;0,BN16&lt;&gt;0),tpm(BO16,BN16,"s"),"")</f>
        <v>+</v>
      </c>
      <c r="BQ16" s="386">
        <f ca="1">IF(AND(BO16&lt;&gt;0,BN16&lt;&gt;0),tDiff(BO16,BN16,"s"), 0)</f>
        <v>8.3333253860473633E-4</v>
      </c>
      <c r="BR16" s="387">
        <f ca="1">IF(BN16=0,0,IF(BO16=0,пропускДС,MIN(tInt(BQ16,"s")*отклонениеРД,пределРД)))</f>
        <v>72</v>
      </c>
      <c r="BS16" s="390">
        <f t="shared" ca="1" si="30"/>
        <v>0</v>
      </c>
      <c r="BT16" s="387">
        <f t="shared" ca="1" si="63"/>
        <v>0</v>
      </c>
      <c r="BU16" s="383">
        <f t="shared" ca="1" si="32"/>
        <v>0.52083333333333337</v>
      </c>
      <c r="BV16" s="391">
        <f t="shared" ca="1" si="64"/>
        <v>0</v>
      </c>
      <c r="BW16" s="383">
        <f t="shared" ca="1" si="34"/>
        <v>0.52430555555555558</v>
      </c>
      <c r="BX16" s="391">
        <f t="shared" ca="1" si="65"/>
        <v>0</v>
      </c>
      <c r="BY16" s="383">
        <f t="shared" ca="1" si="34"/>
        <v>0.57430555555555551</v>
      </c>
      <c r="BZ16" s="391">
        <f t="shared" ca="1" si="66"/>
        <v>0</v>
      </c>
      <c r="CA16" s="383">
        <f ca="1">IF(L16&lt;&gt;0,tTrunc(L16+_ВКВ1/_КВ2Скорость/24),tTrunc(K16+_ВКВ1/_КВ2Скорость/24))</f>
        <v>0.58611112833023071</v>
      </c>
      <c r="CB16" s="152">
        <f t="shared" ca="1" si="67"/>
        <v>0.58124999999999993</v>
      </c>
      <c r="CC16" s="152">
        <f>ROUNDUP(tInt(_ВКВ1/_КВ2Скорость/24)/10,0)/1440</f>
        <v>8.3333333333333332E-3</v>
      </c>
      <c r="CD16" s="384" t="str">
        <f ca="1">IF(AND(CB16&lt;&gt;0,CA16&lt;&gt;0),tpm(CB16,CA16),"")</f>
        <v>-</v>
      </c>
      <c r="CE16" s="152">
        <f ca="1">IF(CB16&lt;&gt;0,tDiff(CB16,CA16), 0)</f>
        <v>4.8611164093017578E-3</v>
      </c>
      <c r="CF16" s="391">
        <f ca="1">IF(CB16&lt;&gt;0,IF(CD16="+",0,IF(CE16&gt;CC16,tInt(CE16-CC16)*опережениеКВ,0)),пропускКВ)</f>
        <v>0</v>
      </c>
    </row>
    <row r="17" spans="1:84" s="367" customFormat="1" x14ac:dyDescent="0.25">
      <c r="A17" s="586">
        <f>стартоваяВедомость!B18</f>
        <v>8</v>
      </c>
      <c r="B17" s="355" t="str">
        <f t="shared" ca="1" si="0"/>
        <v>Westfield Sport</v>
      </c>
      <c r="C17" s="355" t="str">
        <f t="shared" ca="1" si="1"/>
        <v>Самиев Эдуард</v>
      </c>
      <c r="D17" s="355" t="str">
        <f t="shared" ca="1" si="2"/>
        <v>Комардин Евгений</v>
      </c>
      <c r="E17" s="355" t="str">
        <f t="shared" ca="1" si="3"/>
        <v>Смоленск</v>
      </c>
      <c r="F17" s="355" t="str">
        <f t="shared" ca="1" si="4"/>
        <v>Pro</v>
      </c>
      <c r="G17" s="356">
        <f t="shared" ca="1" si="37"/>
        <v>1542.2</v>
      </c>
      <c r="H17" s="356">
        <f t="shared" ca="1" si="38"/>
        <v>900</v>
      </c>
      <c r="I17" s="356">
        <f t="shared" ca="1" si="39"/>
        <v>642.20000000000005</v>
      </c>
      <c r="J17" s="356">
        <f t="shared" ca="1" si="40"/>
        <v>0</v>
      </c>
      <c r="K17" s="357">
        <f t="shared" ca="1" si="6"/>
        <v>0.50555555555555554</v>
      </c>
      <c r="L17" s="358">
        <f t="shared" ca="1" si="41"/>
        <v>0.50555555555555554</v>
      </c>
      <c r="M17" s="359" t="str">
        <f ca="1">IF(L17&lt;&gt;0,tpm(L17,K17),"")</f>
        <v/>
      </c>
      <c r="N17" s="358">
        <f ca="1">IF(L17&lt;&gt;0,tDiff(L17,K17), 0)</f>
        <v>0</v>
      </c>
      <c r="O17" s="360">
        <f ca="1">IF(L17&lt;&gt;0,IF(M17="+",MIN(tInt(N17)*опережениеКВ,пределКВ),tInt(N17)*опережениеКВ),"DNS")</f>
        <v>0</v>
      </c>
      <c r="P17" s="358">
        <f t="shared" si="8"/>
        <v>8.3333335816860199E-2</v>
      </c>
      <c r="Q17" s="358">
        <f t="shared" ca="1" si="42"/>
        <v>0</v>
      </c>
      <c r="R17" s="357">
        <f t="shared" ca="1" si="43"/>
        <v>0.58888889137241573</v>
      </c>
      <c r="S17" s="358">
        <f t="shared" ca="1" si="44"/>
        <v>0</v>
      </c>
      <c r="T17" s="359" t="str">
        <f ca="1">IF(S17&lt;&gt;0,tpm(S17,R17),"")</f>
        <v/>
      </c>
      <c r="U17" s="358">
        <f ca="1">IF(S17&lt;&gt;0,tDiff(S17,R17), 0)</f>
        <v>0</v>
      </c>
      <c r="V17" s="360">
        <f ca="1">IF(S17&lt;&gt;0,IF(T17="+",MIN(MAX(tInt(U17-Q17),0)*опережениеКВ,пределКВ),tInt(U17)*опережениеКВ),пропускКВ)</f>
        <v>900</v>
      </c>
      <c r="W17" s="358">
        <f t="shared" si="11"/>
        <v>8.3333335816860199E-2</v>
      </c>
      <c r="X17" s="358">
        <f t="shared" ca="1" si="45"/>
        <v>0</v>
      </c>
      <c r="Y17" s="358">
        <f t="shared" ca="1" si="46"/>
        <v>0</v>
      </c>
      <c r="Z17" s="357">
        <f t="shared" ca="1" si="47"/>
        <v>0.67222222718927593</v>
      </c>
      <c r="AA17" s="358">
        <f t="shared" ca="1" si="48"/>
        <v>0.66875000000000007</v>
      </c>
      <c r="AB17" s="359" t="str">
        <f ca="1">IF(AA17&lt;&gt;0,tpm(AA17,Z17),"")</f>
        <v>-</v>
      </c>
      <c r="AC17" s="358">
        <f ca="1">IF(AA17&lt;&gt;0,tDiff(AA17,Z17), 0)</f>
        <v>3.4722089767456055E-3</v>
      </c>
      <c r="AD17" s="360">
        <f ca="1">IF(AA17&lt;&gt;0,IF(AB17="+",MIN(MAX(tInt(AC17-Y17),0)*опережениеКВ,пределКВ),IF(tInt(AC17)&lt;=ROUNDUP(tInt(W17)*0.1,0),0,(tInt(AC17)-ROUNDUP(tInt(W17)*0.1,0))*опережениеКВ)),"DNF")</f>
        <v>0</v>
      </c>
      <c r="AE17" s="357">
        <f t="shared" ca="1" si="14"/>
        <v>0</v>
      </c>
      <c r="AF17" s="358">
        <f t="shared" ca="1" si="49"/>
        <v>0.53472222222222221</v>
      </c>
      <c r="AG17" s="358">
        <f ca="1">IF(OR(AE17=0,AF17=0),0,tDiff(AF17,AE17))</f>
        <v>0</v>
      </c>
      <c r="AH17" s="362">
        <f t="shared" ca="1" si="50"/>
        <v>0.54710648148148144</v>
      </c>
      <c r="AI17" s="362">
        <f t="shared" ca="1" si="17"/>
        <v>0.54734953703703704</v>
      </c>
      <c r="AJ17" s="354" t="str">
        <f ca="1">IF(AI17&lt;&gt;0,tpm(AI17,AH17,"s"),"")</f>
        <v>+</v>
      </c>
      <c r="AK17" s="362">
        <f ca="1">IF(AI17&lt;&gt;0,tDiff(AI17,AH17,"s"), 0)</f>
        <v>2.4300813674926758E-4</v>
      </c>
      <c r="AL17" s="363">
        <f ca="1">IF(AI17=0,пропускСФ,MIN(tInt(AK17,"s")*отклонениеРД,пределРД))</f>
        <v>21</v>
      </c>
      <c r="AM17" s="364">
        <f t="shared" ca="1" si="51"/>
        <v>0.55092592592592593</v>
      </c>
      <c r="AN17" s="362">
        <f t="shared" ca="1" si="18"/>
        <v>0.55156250000000007</v>
      </c>
      <c r="AO17" s="359" t="str">
        <f ca="1">IF(AND(AM17&lt;&gt;0,AN17&lt;&gt;0),tpm(AN17,AM17,"s"),"")</f>
        <v>+</v>
      </c>
      <c r="AP17" s="362">
        <f ca="1">IF(AND(AM17&lt;&gt;0,AN17&lt;&gt;0),tDiff(AN17,AM17,"s"), 0)</f>
        <v>6.3657760620117188E-4</v>
      </c>
      <c r="AQ17" s="363">
        <f ca="1">IF(AM17=0,0,IF(AN17=0,пропускДС,MIN(tInt(AP17,"s")*отклонениеРД,пределРД)))</f>
        <v>55</v>
      </c>
      <c r="AR17" s="357">
        <f t="shared" ca="1" si="19"/>
        <v>0</v>
      </c>
      <c r="AS17" s="358">
        <f t="shared" ca="1" si="52"/>
        <v>0</v>
      </c>
      <c r="AT17" s="358">
        <f t="shared" ca="1" si="53"/>
        <v>0</v>
      </c>
      <c r="AU17" s="365">
        <f t="shared" ca="1" si="54"/>
        <v>14.4</v>
      </c>
      <c r="AV17" s="365">
        <f t="shared" ca="1" si="55"/>
        <v>0</v>
      </c>
      <c r="AW17" s="365">
        <f t="shared" ca="1" si="56"/>
        <v>0</v>
      </c>
      <c r="AX17" s="359">
        <f t="shared" ca="1" si="57"/>
        <v>0</v>
      </c>
      <c r="AY17" s="359">
        <f t="shared" ca="1" si="58"/>
        <v>0</v>
      </c>
      <c r="AZ17" s="363">
        <f t="shared" ca="1" si="23"/>
        <v>43.2</v>
      </c>
      <c r="BA17" s="357">
        <f t="shared" ca="1" si="24"/>
        <v>0</v>
      </c>
      <c r="BB17" s="358">
        <f t="shared" ca="1" si="59"/>
        <v>0.61458333333333337</v>
      </c>
      <c r="BC17" s="358">
        <f ca="1">IF(OR(BA17=0,BB17=0),0,tDiff(BB17,BA17))</f>
        <v>0</v>
      </c>
      <c r="BD17" s="362">
        <f t="shared" ca="1" si="60"/>
        <v>0.62312500000000004</v>
      </c>
      <c r="BE17" s="362">
        <f t="shared" ca="1" si="27"/>
        <v>0.62391203703703701</v>
      </c>
      <c r="BF17" s="354" t="str">
        <f ca="1">IF(BE17&lt;&gt;0,tpm(BE17,BD17,"s"),"")</f>
        <v>+</v>
      </c>
      <c r="BG17" s="362">
        <f ca="1">IF(BE17&lt;&gt;0,tDiff(BE17,BD17,"s"), 0)</f>
        <v>7.8701972961425781E-4</v>
      </c>
      <c r="BH17" s="363">
        <f ca="1">IF(BE17=0,пропускСФ,MIN(tInt(BG17,"s")*отклонениеРД,пределРД))</f>
        <v>68</v>
      </c>
      <c r="BI17" s="364">
        <f t="shared" ca="1" si="61"/>
        <v>0.6350810185185185</v>
      </c>
      <c r="BJ17" s="362">
        <f t="shared" ca="1" si="28"/>
        <v>0.63378472222222226</v>
      </c>
      <c r="BK17" s="359" t="str">
        <f ca="1">IF(BJ17&lt;&gt;0,tpm(BJ17,BI17,"s"),"")</f>
        <v>-</v>
      </c>
      <c r="BL17" s="362">
        <f ca="1">IF(BJ17&lt;&gt;0,tDiff(BJ17,BI17,"s"), 0)</f>
        <v>1.2962818145751953E-3</v>
      </c>
      <c r="BM17" s="363">
        <f ca="1">IF(BJ17=0,пропускСФ,MIN(tInt(BL17,"s")*отклонениеРД,пределРД))</f>
        <v>112</v>
      </c>
      <c r="BN17" s="364">
        <f t="shared" ca="1" si="62"/>
        <v>0.64513888888888893</v>
      </c>
      <c r="BO17" s="362">
        <f t="shared" ca="1" si="29"/>
        <v>0.64910879629629636</v>
      </c>
      <c r="BP17" s="359" t="str">
        <f ca="1">IF(AND(BO17&lt;&gt;0,BN17&lt;&gt;0),tpm(BO17,BN17,"s"),"")</f>
        <v>+</v>
      </c>
      <c r="BQ17" s="362">
        <f ca="1">IF(AND(BO17&lt;&gt;0,BN17&lt;&gt;0),tDiff(BO17,BN17,"s"), 0)</f>
        <v>3.9699077606201172E-3</v>
      </c>
      <c r="BR17" s="363">
        <f ca="1">IF(BN17=0,0,IF(BO17=0,пропускДС,MIN(tInt(BQ17,"s")*отклонениеРД,пределРД)))</f>
        <v>343</v>
      </c>
      <c r="BS17" s="366">
        <f t="shared" ca="1" si="30"/>
        <v>0</v>
      </c>
      <c r="BT17" s="363">
        <f t="shared" ca="1" si="63"/>
        <v>0</v>
      </c>
      <c r="BU17" s="357">
        <f t="shared" ca="1" si="32"/>
        <v>0.51944444444444449</v>
      </c>
      <c r="BV17" s="361">
        <f t="shared" ca="1" si="64"/>
        <v>0</v>
      </c>
      <c r="BW17" s="357">
        <f t="shared" ca="1" si="34"/>
        <v>0.52361111111111114</v>
      </c>
      <c r="BX17" s="361">
        <f t="shared" ca="1" si="65"/>
        <v>0</v>
      </c>
      <c r="BY17" s="357">
        <f t="shared" ca="1" si="34"/>
        <v>0.57222222222222219</v>
      </c>
      <c r="BZ17" s="361">
        <f t="shared" ca="1" si="66"/>
        <v>0</v>
      </c>
      <c r="CA17" s="357">
        <f ca="1">IF(L17&lt;&gt;0,tTrunc(L17+_ВКВ1/_КВ2Скорость/24),tTrunc(K17+_ВКВ1/_КВ2Скорость/24))</f>
        <v>0.58680558204650879</v>
      </c>
      <c r="CB17" s="358">
        <f t="shared" ca="1" si="67"/>
        <v>0.58888888888888891</v>
      </c>
      <c r="CC17" s="358">
        <f>ROUNDUP(tInt(_ВКВ1/_КВ2Скорость/24)/10,0)/1440</f>
        <v>8.3333333333333332E-3</v>
      </c>
      <c r="CD17" s="359" t="str">
        <f ca="1">IF(AND(CB17&lt;&gt;0,CA17&lt;&gt;0),tpm(CB17,CA17),"")</f>
        <v>+</v>
      </c>
      <c r="CE17" s="358">
        <f ca="1">IF(CB17&lt;&gt;0,tDiff(CB17,CA17), 0)</f>
        <v>2.0833015441894531E-3</v>
      </c>
      <c r="CF17" s="361">
        <f ca="1">IF(CB17&lt;&gt;0,IF(CD17="+",0,IF(CE17&gt;CC17,tInt(CE17-CC17)*опережениеКВ,0)),пропускКВ)</f>
        <v>0</v>
      </c>
    </row>
    <row r="18" spans="1:84" s="22" customFormat="1" x14ac:dyDescent="0.25">
      <c r="A18" s="587">
        <f>стартоваяВедомость!B19</f>
        <v>9</v>
      </c>
      <c r="B18" s="381" t="str">
        <f t="shared" ca="1" si="0"/>
        <v>Гольф</v>
      </c>
      <c r="C18" s="381" t="str">
        <f t="shared" ca="1" si="1"/>
        <v>Родин Клим</v>
      </c>
      <c r="D18" s="381" t="str">
        <f t="shared" ca="1" si="2"/>
        <v>Работин Антон</v>
      </c>
      <c r="E18" s="381" t="str">
        <f t="shared" ca="1" si="3"/>
        <v>Смоленск</v>
      </c>
      <c r="F18" s="381" t="str">
        <f t="shared" ca="1" si="4"/>
        <v>Light</v>
      </c>
      <c r="G18" s="382">
        <f t="shared" ca="1" si="37"/>
        <v>1922.9</v>
      </c>
      <c r="H18" s="382">
        <f t="shared" ca="1" si="38"/>
        <v>900</v>
      </c>
      <c r="I18" s="382">
        <f t="shared" ca="1" si="39"/>
        <v>1022.9</v>
      </c>
      <c r="J18" s="382">
        <f t="shared" ca="1" si="40"/>
        <v>0</v>
      </c>
      <c r="K18" s="383">
        <f t="shared" ca="1" si="6"/>
        <v>0.50624999999999998</v>
      </c>
      <c r="L18" s="152">
        <f t="shared" ca="1" si="41"/>
        <v>0.50624999999999998</v>
      </c>
      <c r="M18" s="384" t="str">
        <f ca="1">IF(L18&lt;&gt;0,tpm(L18,K18),"")</f>
        <v/>
      </c>
      <c r="N18" s="152">
        <f ca="1">IF(L18&lt;&gt;0,tDiff(L18,K18), 0)</f>
        <v>0</v>
      </c>
      <c r="O18" s="385">
        <f ca="1">IF(L18&lt;&gt;0,IF(M18="+",MIN(tInt(N18)*опережениеКВ,пределКВ),tInt(N18)*опережениеКВ),"DNS")</f>
        <v>0</v>
      </c>
      <c r="P18" s="152">
        <f t="shared" si="8"/>
        <v>8.3333335816860199E-2</v>
      </c>
      <c r="Q18" s="152">
        <f t="shared" ca="1" si="42"/>
        <v>0</v>
      </c>
      <c r="R18" s="383">
        <f t="shared" ca="1" si="43"/>
        <v>0.58958333581686018</v>
      </c>
      <c r="S18" s="152">
        <f t="shared" ca="1" si="44"/>
        <v>0</v>
      </c>
      <c r="T18" s="384" t="str">
        <f ca="1">IF(S18&lt;&gt;0,tpm(S18,R18),"")</f>
        <v/>
      </c>
      <c r="U18" s="152">
        <f ca="1">IF(S18&lt;&gt;0,tDiff(S18,R18), 0)</f>
        <v>0</v>
      </c>
      <c r="V18" s="385">
        <f ca="1">IF(S18&lt;&gt;0,IF(T18="+",MIN(MAX(tInt(U18-Q18),0)*опережениеКВ,пределКВ),tInt(U18)*опережениеКВ),пропускКВ)</f>
        <v>900</v>
      </c>
      <c r="W18" s="152">
        <f t="shared" si="11"/>
        <v>8.3333335816860199E-2</v>
      </c>
      <c r="X18" s="152">
        <f t="shared" ca="1" si="45"/>
        <v>6.9445371627807617E-4</v>
      </c>
      <c r="Y18" s="152">
        <f t="shared" ca="1" si="46"/>
        <v>6.9445371627807617E-4</v>
      </c>
      <c r="Z18" s="383">
        <f t="shared" ca="1" si="47"/>
        <v>0.67291667163372038</v>
      </c>
      <c r="AA18" s="152">
        <f t="shared" ca="1" si="48"/>
        <v>0.67152777777777783</v>
      </c>
      <c r="AB18" s="384" t="str">
        <f ca="1">IF(AA18&lt;&gt;0,tpm(AA18,Z18),"")</f>
        <v>-</v>
      </c>
      <c r="AC18" s="152">
        <f ca="1">IF(AA18&lt;&gt;0,tDiff(AA18,Z18), 0)</f>
        <v>1.388847827911377E-3</v>
      </c>
      <c r="AD18" s="385">
        <f ca="1">IF(AA18&lt;&gt;0,IF(AB18="+",MIN(MAX(tInt(AC18-Y18),0)*опережениеКВ,пределКВ),IF(tInt(AC18)&lt;=ROUNDUP(tInt(W18)*0.1,0),0,(tInt(AC18)-ROUNDUP(tInt(W18)*0.1,0))*опережениеКВ)),"DNF")</f>
        <v>0</v>
      </c>
      <c r="AE18" s="383">
        <f t="shared" ca="1" si="14"/>
        <v>0</v>
      </c>
      <c r="AF18" s="152">
        <f t="shared" ca="1" si="49"/>
        <v>0.54027777777777775</v>
      </c>
      <c r="AG18" s="152">
        <f ca="1">IF(OR(AE18=0,AF18=0),0,tDiff(AF18,AE18))</f>
        <v>0</v>
      </c>
      <c r="AH18" s="386">
        <f t="shared" ca="1" si="50"/>
        <v>0.55266203703703698</v>
      </c>
      <c r="AI18" s="386">
        <f t="shared" ca="1" si="17"/>
        <v>0.55342592592592588</v>
      </c>
      <c r="AJ18" s="380" t="str">
        <f ca="1">IF(AI18&lt;&gt;0,tpm(AI18,AH18,"s"),"")</f>
        <v>+</v>
      </c>
      <c r="AK18" s="386">
        <f ca="1">IF(AI18&lt;&gt;0,tDiff(AI18,AH18,"s"), 0)</f>
        <v>7.6389312744140625E-4</v>
      </c>
      <c r="AL18" s="387">
        <f ca="1">IF(AI18=0,пропускСФ,MIN(tInt(AK18,"s")*отклонениеРД,пределРД))</f>
        <v>66</v>
      </c>
      <c r="AM18" s="388">
        <f t="shared" ca="1" si="51"/>
        <v>0.55700231481481477</v>
      </c>
      <c r="AN18" s="386">
        <f t="shared" ca="1" si="18"/>
        <v>0.55716435185185187</v>
      </c>
      <c r="AO18" s="384" t="str">
        <f ca="1">IF(AND(AM18&lt;&gt;0,AN18&lt;&gt;0),tpm(AN18,AM18,"s"),"")</f>
        <v>+</v>
      </c>
      <c r="AP18" s="386">
        <f ca="1">IF(AND(AM18&lt;&gt;0,AN18&lt;&gt;0),tDiff(AN18,AM18,"s"), 0)</f>
        <v>1.6206502914428711E-4</v>
      </c>
      <c r="AQ18" s="387">
        <f ca="1">IF(AM18=0,0,IF(AN18=0,пропускДС,MIN(tInt(AP18,"s")*отклонениеРД,пределРД)))</f>
        <v>14</v>
      </c>
      <c r="AR18" s="383">
        <f t="shared" ca="1" si="19"/>
        <v>0</v>
      </c>
      <c r="AS18" s="152">
        <f t="shared" ca="1" si="52"/>
        <v>0</v>
      </c>
      <c r="AT18" s="152">
        <f t="shared" ca="1" si="53"/>
        <v>0</v>
      </c>
      <c r="AU18" s="389">
        <f t="shared" ca="1" si="54"/>
        <v>32.299999999999997</v>
      </c>
      <c r="AV18" s="389">
        <f t="shared" ca="1" si="55"/>
        <v>0</v>
      </c>
      <c r="AW18" s="389">
        <f t="shared" ca="1" si="56"/>
        <v>0</v>
      </c>
      <c r="AX18" s="384">
        <f t="shared" ca="1" si="57"/>
        <v>0</v>
      </c>
      <c r="AY18" s="384" t="str">
        <f t="shared" ca="1" si="58"/>
        <v>да</v>
      </c>
      <c r="AZ18" s="387">
        <f t="shared" ca="1" si="23"/>
        <v>156.89999999999998</v>
      </c>
      <c r="BA18" s="383">
        <f t="shared" ca="1" si="24"/>
        <v>0.6118055555555556</v>
      </c>
      <c r="BB18" s="152">
        <f t="shared" ca="1" si="59"/>
        <v>0.61249999999999993</v>
      </c>
      <c r="BC18" s="152">
        <f ca="1">IF(OR(BA18=0,BB18=0),0,tDiff(BB18,BA18))</f>
        <v>6.9445371627807617E-4</v>
      </c>
      <c r="BD18" s="386">
        <f t="shared" ca="1" si="60"/>
        <v>0.6210416666666666</v>
      </c>
      <c r="BE18" s="386">
        <f t="shared" ca="1" si="27"/>
        <v>0.62108796296296298</v>
      </c>
      <c r="BF18" s="380" t="str">
        <f ca="1">IF(BE18&lt;&gt;0,tpm(BE18,BD18,"s"),"")</f>
        <v>+</v>
      </c>
      <c r="BG18" s="386">
        <f ca="1">IF(BE18&lt;&gt;0,tDiff(BE18,BD18,"s"), 0)</f>
        <v>4.6312808990478516E-5</v>
      </c>
      <c r="BH18" s="387">
        <f ca="1">IF(BE18=0,пропускСФ,MIN(tInt(BG18,"s")*отклонениеРД,пределРД))</f>
        <v>4</v>
      </c>
      <c r="BI18" s="388">
        <f t="shared" ca="1" si="61"/>
        <v>0.63225694444444447</v>
      </c>
      <c r="BJ18" s="386">
        <f t="shared" ca="1" si="28"/>
        <v>0.63472222222222219</v>
      </c>
      <c r="BK18" s="384" t="str">
        <f ca="1">IF(BJ18&lt;&gt;0,tpm(BJ18,BI18,"s"),"")</f>
        <v>+</v>
      </c>
      <c r="BL18" s="386">
        <f ca="1">IF(BJ18&lt;&gt;0,tDiff(BJ18,BI18,"s"), 0)</f>
        <v>2.4653077125549316E-3</v>
      </c>
      <c r="BM18" s="387">
        <f ca="1">IF(BJ18=0,пропускСФ,MIN(tInt(BL18,"s")*отклонениеРД,пределРД))</f>
        <v>213</v>
      </c>
      <c r="BN18" s="388">
        <f t="shared" ca="1" si="62"/>
        <v>0.64607638888888885</v>
      </c>
      <c r="BO18" s="386">
        <f t="shared" ca="1" si="29"/>
        <v>0.65266203703703707</v>
      </c>
      <c r="BP18" s="384" t="str">
        <f ca="1">IF(AND(BO18&lt;&gt;0,BN18&lt;&gt;0),tpm(BO18,BN18,"s"),"")</f>
        <v>+</v>
      </c>
      <c r="BQ18" s="386">
        <f ca="1">IF(AND(BO18&lt;&gt;0,BN18&lt;&gt;0),tDiff(BO18,BN18,"s"), 0)</f>
        <v>6.5856575965881348E-3</v>
      </c>
      <c r="BR18" s="387">
        <f ca="1">IF(BN18=0,0,IF(BO18=0,пропускДС,MIN(tInt(BQ18,"s")*отклонениеРД,пределРД)))</f>
        <v>569</v>
      </c>
      <c r="BS18" s="390">
        <f t="shared" ca="1" si="30"/>
        <v>0</v>
      </c>
      <c r="BT18" s="387">
        <f t="shared" ca="1" si="63"/>
        <v>0</v>
      </c>
      <c r="BU18" s="383">
        <f t="shared" ca="1" si="32"/>
        <v>0.52430555555555558</v>
      </c>
      <c r="BV18" s="391">
        <f t="shared" ca="1" si="64"/>
        <v>0</v>
      </c>
      <c r="BW18" s="383">
        <f t="shared" ca="1" si="34"/>
        <v>0.52777777777777779</v>
      </c>
      <c r="BX18" s="391">
        <f t="shared" ca="1" si="65"/>
        <v>0</v>
      </c>
      <c r="BY18" s="383">
        <f t="shared" ca="1" si="34"/>
        <v>0.57847222222222217</v>
      </c>
      <c r="BZ18" s="391">
        <f t="shared" ca="1" si="66"/>
        <v>0</v>
      </c>
      <c r="CA18" s="383">
        <f ca="1">IF(L18&lt;&gt;0,tTrunc(L18+_ВКВ1/_КВ2Скорость/24),tTrunc(K18+_ВКВ1/_КВ2Скорость/24))</f>
        <v>0.58749997615814209</v>
      </c>
      <c r="CB18" s="152">
        <f t="shared" ca="1" si="67"/>
        <v>0.58819444444444446</v>
      </c>
      <c r="CC18" s="152">
        <f>ROUNDUP(tInt(_ВКВ1/_КВ2Скорость/24)/10,0)/1440</f>
        <v>8.3333333333333332E-3</v>
      </c>
      <c r="CD18" s="384" t="str">
        <f ca="1">IF(AND(CB18&lt;&gt;0,CA18&lt;&gt;0),tpm(CB18,CA18),"")</f>
        <v>+</v>
      </c>
      <c r="CE18" s="152">
        <f ca="1">IF(CB18&lt;&gt;0,tDiff(CB18,CA18), 0)</f>
        <v>6.9445371627807617E-4</v>
      </c>
      <c r="CF18" s="391">
        <f ca="1">IF(CB18&lt;&gt;0,IF(CD18="+",0,IF(CE18&gt;CC18,tInt(CE18-CC18)*опережениеКВ,0)),пропускКВ)</f>
        <v>0</v>
      </c>
    </row>
    <row r="19" spans="1:84" s="367" customFormat="1" x14ac:dyDescent="0.25">
      <c r="A19" s="586">
        <f>стартоваяВедомость!B20</f>
        <v>10</v>
      </c>
      <c r="B19" s="355" t="str">
        <f t="shared" ca="1" si="0"/>
        <v>Opel Corsa</v>
      </c>
      <c r="C19" s="355" t="str">
        <f t="shared" ca="1" si="1"/>
        <v>Дубасова Анжелика</v>
      </c>
      <c r="D19" s="355" t="str">
        <f t="shared" ca="1" si="2"/>
        <v>Моисеева Ирина</v>
      </c>
      <c r="E19" s="355" t="str">
        <f t="shared" ca="1" si="3"/>
        <v>Минск</v>
      </c>
      <c r="F19" s="355" t="str">
        <f t="shared" ca="1" si="4"/>
        <v>Light</v>
      </c>
      <c r="G19" s="356">
        <f t="shared" ca="1" si="37"/>
        <v>5027.8999999999996</v>
      </c>
      <c r="H19" s="356">
        <f t="shared" ca="1" si="38"/>
        <v>1500</v>
      </c>
      <c r="I19" s="356">
        <f t="shared" ca="1" si="39"/>
        <v>3527.9</v>
      </c>
      <c r="J19" s="356">
        <f t="shared" ca="1" si="40"/>
        <v>0</v>
      </c>
      <c r="K19" s="357">
        <f t="shared" ca="1" si="6"/>
        <v>0.50694444444444442</v>
      </c>
      <c r="L19" s="358">
        <f t="shared" ca="1" si="41"/>
        <v>0.50694444444444442</v>
      </c>
      <c r="M19" s="359" t="str">
        <f ca="1">IF(L19&lt;&gt;0,tpm(L19,K19),"")</f>
        <v/>
      </c>
      <c r="N19" s="358">
        <f ca="1">IF(L19&lt;&gt;0,tDiff(L19,K19), 0)</f>
        <v>0</v>
      </c>
      <c r="O19" s="360">
        <f ca="1">IF(L19&lt;&gt;0,IF(M19="+",MIN(tInt(N19)*опережениеКВ,пределКВ),tInt(N19)*опережениеКВ),"DNS")</f>
        <v>0</v>
      </c>
      <c r="P19" s="358">
        <f t="shared" si="8"/>
        <v>8.3333335816860199E-2</v>
      </c>
      <c r="Q19" s="358">
        <f t="shared" ca="1" si="42"/>
        <v>2.0833015441894531E-3</v>
      </c>
      <c r="R19" s="357">
        <f t="shared" ca="1" si="43"/>
        <v>0.59027778026130462</v>
      </c>
      <c r="S19" s="358">
        <f t="shared" ca="1" si="44"/>
        <v>0.62430555555555556</v>
      </c>
      <c r="T19" s="359" t="str">
        <f ca="1">IF(S19&lt;&gt;0,tpm(S19,R19),"")</f>
        <v>+</v>
      </c>
      <c r="U19" s="358">
        <f ca="1">IF(S19&lt;&gt;0,tDiff(S19,R19), 0)</f>
        <v>3.4027755260467529E-2</v>
      </c>
      <c r="V19" s="360">
        <f ca="1">IF(S19&lt;&gt;0,IF(T19="+",MIN(MAX(tInt(U19-Q19),0)*опережениеКВ,пределКВ),tInt(U19)*опережениеКВ),пропускКВ)</f>
        <v>600</v>
      </c>
      <c r="W19" s="358">
        <f t="shared" si="11"/>
        <v>8.3333335816860199E-2</v>
      </c>
      <c r="X19" s="358">
        <f t="shared" ca="1" si="45"/>
        <v>0</v>
      </c>
      <c r="Y19" s="358">
        <f t="shared" ca="1" si="46"/>
        <v>0</v>
      </c>
      <c r="Z19" s="357">
        <f t="shared" ca="1" si="47"/>
        <v>0.70763889137241576</v>
      </c>
      <c r="AA19" s="358">
        <f t="shared" ca="1" si="48"/>
        <v>0.69930555555555562</v>
      </c>
      <c r="AB19" s="359" t="str">
        <f ca="1">IF(AA19&lt;&gt;0,tpm(AA19,Z19),"")</f>
        <v>-</v>
      </c>
      <c r="AC19" s="358">
        <f ca="1">IF(AA19&lt;&gt;0,tDiff(AA19,Z19), 0)</f>
        <v>8.3333253860473633E-3</v>
      </c>
      <c r="AD19" s="360">
        <f ca="1">IF(AA19&lt;&gt;0,IF(AB19="+",MIN(MAX(tInt(AC19-Y19),0)*опережениеКВ,пределКВ),IF(tInt(AC19)&lt;=ROUNDUP(tInt(W19)*0.1,0),0,(tInt(AC19)-ROUNDUP(tInt(W19)*0.1,0))*опережениеКВ)),"DNF")</f>
        <v>0</v>
      </c>
      <c r="AE19" s="357">
        <f t="shared" ca="1" si="14"/>
        <v>0.53611111111111109</v>
      </c>
      <c r="AF19" s="358">
        <f t="shared" ca="1" si="49"/>
        <v>0.53819444444444442</v>
      </c>
      <c r="AG19" s="358">
        <f ca="1">IF(OR(AE19=0,AF19=0),0,tDiff(AF19,AE19))</f>
        <v>2.0833015441894531E-3</v>
      </c>
      <c r="AH19" s="362">
        <f t="shared" ca="1" si="50"/>
        <v>0.55057870370370365</v>
      </c>
      <c r="AI19" s="362">
        <f t="shared" ca="1" si="17"/>
        <v>0.55511574074074077</v>
      </c>
      <c r="AJ19" s="354" t="str">
        <f ca="1">IF(AI19&lt;&gt;0,tpm(AI19,AH19,"s"),"")</f>
        <v>+</v>
      </c>
      <c r="AK19" s="362">
        <f ca="1">IF(AI19&lt;&gt;0,tDiff(AI19,AH19,"s"), 0)</f>
        <v>4.537045955657959E-3</v>
      </c>
      <c r="AL19" s="363">
        <f ca="1">IF(AI19=0,пропускСФ,MIN(tInt(AK19,"s")*отклонениеРД,пределРД))</f>
        <v>392</v>
      </c>
      <c r="AM19" s="364">
        <f t="shared" ca="1" si="51"/>
        <v>0.55869212962962966</v>
      </c>
      <c r="AN19" s="362">
        <f t="shared" ca="1" si="18"/>
        <v>0.57511574074074068</v>
      </c>
      <c r="AO19" s="359" t="str">
        <f ca="1">IF(AND(AM19&lt;&gt;0,AN19&lt;&gt;0),tpm(AN19,AM19,"s"),"")</f>
        <v>+</v>
      </c>
      <c r="AP19" s="362">
        <f ca="1">IF(AND(AM19&lt;&gt;0,AN19&lt;&gt;0),tDiff(AN19,AM19,"s"), 0)</f>
        <v>1.6423583030700684E-2</v>
      </c>
      <c r="AQ19" s="363">
        <f ca="1">IF(AM19=0,0,IF(AN19=0,пропускДС,MIN(tInt(AP19,"s")*отклонениеРД,пределРД)))</f>
        <v>600</v>
      </c>
      <c r="AR19" s="357">
        <f t="shared" ca="1" si="19"/>
        <v>0</v>
      </c>
      <c r="AS19" s="358">
        <f t="shared" ca="1" si="52"/>
        <v>0</v>
      </c>
      <c r="AT19" s="358">
        <f t="shared" ca="1" si="53"/>
        <v>0</v>
      </c>
      <c r="AU19" s="365">
        <f t="shared" ca="1" si="54"/>
        <v>35.299999999999997</v>
      </c>
      <c r="AV19" s="365">
        <f t="shared" ca="1" si="55"/>
        <v>0</v>
      </c>
      <c r="AW19" s="365">
        <f t="shared" ca="1" si="56"/>
        <v>2</v>
      </c>
      <c r="AX19" s="359">
        <f t="shared" ca="1" si="57"/>
        <v>0</v>
      </c>
      <c r="AY19" s="359">
        <f t="shared" ca="1" si="58"/>
        <v>0</v>
      </c>
      <c r="AZ19" s="363">
        <f t="shared" ca="1" si="23"/>
        <v>135.89999999999998</v>
      </c>
      <c r="BA19" s="357">
        <f t="shared" ca="1" si="24"/>
        <v>0</v>
      </c>
      <c r="BB19" s="358">
        <f t="shared" ca="1" si="59"/>
        <v>0.65069444444444446</v>
      </c>
      <c r="BC19" s="358">
        <f ca="1">IF(OR(BA19=0,BB19=0),0,tDiff(BB19,BA19))</f>
        <v>0</v>
      </c>
      <c r="BD19" s="362">
        <f t="shared" ca="1" si="60"/>
        <v>0.65923611111111113</v>
      </c>
      <c r="BE19" s="362">
        <f t="shared" ca="1" si="27"/>
        <v>0.66901620370370374</v>
      </c>
      <c r="BF19" s="354" t="str">
        <f ca="1">IF(BE19&lt;&gt;0,tpm(BE19,BD19,"s"),"")</f>
        <v>+</v>
      </c>
      <c r="BG19" s="362">
        <f ca="1">IF(BE19&lt;&gt;0,tDiff(BE19,BD19,"s"), 0)</f>
        <v>9.7800493240356445E-3</v>
      </c>
      <c r="BH19" s="363">
        <f ca="1">IF(BE19=0,пропускСФ,MIN(tInt(BG19,"s")*отклонениеРД,пределРД))</f>
        <v>600</v>
      </c>
      <c r="BI19" s="364">
        <f t="shared" ca="1" si="61"/>
        <v>0.68018518518518523</v>
      </c>
      <c r="BJ19" s="362">
        <f t="shared" ca="1" si="28"/>
        <v>0</v>
      </c>
      <c r="BK19" s="359" t="str">
        <f ca="1">IF(BJ19&lt;&gt;0,tpm(BJ19,BI19,"s"),"")</f>
        <v/>
      </c>
      <c r="BL19" s="362">
        <f ca="1">IF(BJ19&lt;&gt;0,tDiff(BJ19,BI19,"s"), 0)</f>
        <v>0</v>
      </c>
      <c r="BM19" s="363">
        <f ca="1">IF(BJ19=0,пропускСФ,MIN(tInt(BL19,"s")*отклонениеРД,пределРД))</f>
        <v>1800</v>
      </c>
      <c r="BN19" s="364">
        <f t="shared" ca="1" si="62"/>
        <v>0</v>
      </c>
      <c r="BO19" s="362">
        <f t="shared" ca="1" si="29"/>
        <v>0.68333333333333324</v>
      </c>
      <c r="BP19" s="359" t="str">
        <f ca="1">IF(AND(BO19&lt;&gt;0,BN19&lt;&gt;0),tpm(BO19,BN19,"s"),"")</f>
        <v/>
      </c>
      <c r="BQ19" s="362">
        <f ca="1">IF(AND(BO19&lt;&gt;0,BN19&lt;&gt;0),tDiff(BO19,BN19,"s"), 0)</f>
        <v>0</v>
      </c>
      <c r="BR19" s="363">
        <f ca="1">IF(BN19=0,0,IF(BO19=0,пропускДС,MIN(tInt(BQ19,"s")*отклонениеРД,пределРД)))</f>
        <v>0</v>
      </c>
      <c r="BS19" s="366">
        <f t="shared" ca="1" si="30"/>
        <v>0</v>
      </c>
      <c r="BT19" s="363">
        <f t="shared" ca="1" si="63"/>
        <v>0</v>
      </c>
      <c r="BU19" s="357">
        <f t="shared" ca="1" si="32"/>
        <v>0.52152777777777781</v>
      </c>
      <c r="BV19" s="361">
        <f t="shared" ca="1" si="64"/>
        <v>0</v>
      </c>
      <c r="BW19" s="357">
        <f t="shared" ca="1" si="34"/>
        <v>0.52638888888888891</v>
      </c>
      <c r="BX19" s="361">
        <f t="shared" ca="1" si="65"/>
        <v>0</v>
      </c>
      <c r="BY19" s="357">
        <f t="shared" ca="1" si="34"/>
        <v>0</v>
      </c>
      <c r="BZ19" s="361">
        <f t="shared" ca="1" si="66"/>
        <v>900</v>
      </c>
      <c r="CA19" s="357">
        <f ca="1">IF(L19&lt;&gt;0,tTrunc(L19+_ВКВ1/_КВ2Скорость/24),tTrunc(K19+_ВКВ1/_КВ2Скорость/24))</f>
        <v>0.58819442987442017</v>
      </c>
      <c r="CB19" s="358">
        <f t="shared" ca="1" si="67"/>
        <v>0.62361111111111112</v>
      </c>
      <c r="CC19" s="358">
        <f>ROUNDUP(tInt(_ВКВ1/_КВ2Скорость/24)/10,0)/1440</f>
        <v>8.3333333333333332E-3</v>
      </c>
      <c r="CD19" s="359" t="str">
        <f ca="1">IF(AND(CB19&lt;&gt;0,CA19&lt;&gt;0),tpm(CB19,CA19),"")</f>
        <v>+</v>
      </c>
      <c r="CE19" s="358">
        <f ca="1">IF(CB19&lt;&gt;0,tDiff(CB19,CA19), 0)</f>
        <v>3.5416662693023682E-2</v>
      </c>
      <c r="CF19" s="361">
        <f ca="1">IF(CB19&lt;&gt;0,IF(CD19="+",0,IF(CE19&gt;CC19,tInt(CE19-CC19)*опережениеКВ,0)),пропускКВ)</f>
        <v>0</v>
      </c>
    </row>
    <row r="20" spans="1:84" s="22" customFormat="1" x14ac:dyDescent="0.25">
      <c r="A20" s="587">
        <f>стартоваяВедомость!B21</f>
        <v>11</v>
      </c>
      <c r="B20" s="381" t="str">
        <f t="shared" ca="1" si="0"/>
        <v>Мерседес-Бенц G300</v>
      </c>
      <c r="C20" s="381" t="str">
        <f t="shared" ca="1" si="1"/>
        <v>Свирчев Юрий Викторович</v>
      </c>
      <c r="D20" s="381" t="str">
        <f t="shared" ca="1" si="2"/>
        <v>Свирчева Елена Тимофеевна</v>
      </c>
      <c r="E20" s="381" t="str">
        <f t="shared" ca="1" si="3"/>
        <v>Москва</v>
      </c>
      <c r="F20" s="381" t="str">
        <f t="shared" ca="1" si="4"/>
        <v>Light</v>
      </c>
      <c r="G20" s="382">
        <f t="shared" ca="1" si="37"/>
        <v>3459.9</v>
      </c>
      <c r="H20" s="382">
        <f t="shared" ca="1" si="38"/>
        <v>900</v>
      </c>
      <c r="I20" s="382">
        <f t="shared" ca="1" si="39"/>
        <v>2559.9</v>
      </c>
      <c r="J20" s="382">
        <f t="shared" ca="1" si="40"/>
        <v>0</v>
      </c>
      <c r="K20" s="383">
        <f t="shared" ca="1" si="6"/>
        <v>0.50763888888888886</v>
      </c>
      <c r="L20" s="152">
        <f t="shared" ca="1" si="41"/>
        <v>0.50763888888888886</v>
      </c>
      <c r="M20" s="384" t="str">
        <f ca="1">IF(L20&lt;&gt;0,tpm(L20,K20),"")</f>
        <v/>
      </c>
      <c r="N20" s="152">
        <f ca="1">IF(L20&lt;&gt;0,tDiff(L20,K20), 0)</f>
        <v>0</v>
      </c>
      <c r="O20" s="385">
        <f ca="1">IF(L20&lt;&gt;0,IF(M20="+",MIN(tInt(N20)*опережениеКВ,пределКВ),tInt(N20)*опережениеКВ),"DNS")</f>
        <v>0</v>
      </c>
      <c r="P20" s="152">
        <f t="shared" si="8"/>
        <v>8.3333335816860199E-2</v>
      </c>
      <c r="Q20" s="152">
        <f t="shared" ca="1" si="42"/>
        <v>0</v>
      </c>
      <c r="R20" s="383">
        <f t="shared" ca="1" si="43"/>
        <v>0.59097222470574906</v>
      </c>
      <c r="S20" s="152">
        <f t="shared" ca="1" si="44"/>
        <v>0</v>
      </c>
      <c r="T20" s="384" t="str">
        <f ca="1">IF(S20&lt;&gt;0,tpm(S20,R20),"")</f>
        <v/>
      </c>
      <c r="U20" s="152">
        <f ca="1">IF(S20&lt;&gt;0,tDiff(S20,R20), 0)</f>
        <v>0</v>
      </c>
      <c r="V20" s="385">
        <f ca="1">IF(S20&lt;&gt;0,IF(T20="+",MIN(MAX(tInt(U20-Q20),0)*опережениеКВ,пределКВ),tInt(U20)*опережениеКВ),пропускКВ)</f>
        <v>900</v>
      </c>
      <c r="W20" s="152">
        <f t="shared" si="11"/>
        <v>8.3333335816860199E-2</v>
      </c>
      <c r="X20" s="152">
        <f t="shared" ca="1" si="45"/>
        <v>1.3889074325561523E-3</v>
      </c>
      <c r="Y20" s="152">
        <f t="shared" ca="1" si="46"/>
        <v>1.3889074325561523E-3</v>
      </c>
      <c r="Z20" s="383">
        <f t="shared" ca="1" si="47"/>
        <v>0.67430556052260926</v>
      </c>
      <c r="AA20" s="152">
        <f t="shared" ca="1" si="48"/>
        <v>0.6743055555555556</v>
      </c>
      <c r="AB20" s="384" t="str">
        <f ca="1">IF(AA20&lt;&gt;0,tpm(AA20,Z20),"")</f>
        <v/>
      </c>
      <c r="AC20" s="152">
        <f ca="1">IF(AA20&lt;&gt;0,tDiff(AA20,Z20), 0)</f>
        <v>0</v>
      </c>
      <c r="AD20" s="385">
        <f ca="1">IF(AA20&lt;&gt;0,IF(AB20="+",MIN(MAX(tInt(AC20-Y20),0)*опережениеКВ,пределКВ),IF(tInt(AC20)&lt;=ROUNDUP(tInt(W20)*0.1,0),0,(tInt(AC20)-ROUNDUP(tInt(W20)*0.1,0))*опережениеКВ)),"DNF")</f>
        <v>0</v>
      </c>
      <c r="AE20" s="383">
        <f t="shared" ca="1" si="14"/>
        <v>0</v>
      </c>
      <c r="AF20" s="152">
        <f t="shared" ca="1" si="49"/>
        <v>0.54513888888888895</v>
      </c>
      <c r="AG20" s="152">
        <f ca="1">IF(OR(AE20=0,AF20=0),0,tDiff(AF20,AE20))</f>
        <v>0</v>
      </c>
      <c r="AH20" s="386">
        <f t="shared" ca="1" si="50"/>
        <v>0.55752314814814818</v>
      </c>
      <c r="AI20" s="386">
        <f t="shared" ca="1" si="17"/>
        <v>0.55744212962962958</v>
      </c>
      <c r="AJ20" s="380" t="str">
        <f ca="1">IF(AI20&lt;&gt;0,tpm(AI20,AH20,"s"),"")</f>
        <v>-</v>
      </c>
      <c r="AK20" s="386">
        <f ca="1">IF(AI20&lt;&gt;0,tDiff(AI20,AH20,"s"), 0)</f>
        <v>8.1002712249755859E-5</v>
      </c>
      <c r="AL20" s="387">
        <f ca="1">IF(AI20=0,пропускСФ,MIN(tInt(AK20,"s")*отклонениеРД,пределРД))</f>
        <v>7</v>
      </c>
      <c r="AM20" s="388">
        <f t="shared" ca="1" si="51"/>
        <v>0.56101851851851847</v>
      </c>
      <c r="AN20" s="386">
        <f t="shared" ca="1" si="18"/>
        <v>0.56159722222222219</v>
      </c>
      <c r="AO20" s="384" t="str">
        <f ca="1">IF(AND(AM20&lt;&gt;0,AN20&lt;&gt;0),tpm(AN20,AM20,"s"),"")</f>
        <v>+</v>
      </c>
      <c r="AP20" s="386">
        <f ca="1">IF(AND(AM20&lt;&gt;0,AN20&lt;&gt;0),tDiff(AN20,AM20,"s"), 0)</f>
        <v>5.7870149612426758E-4</v>
      </c>
      <c r="AQ20" s="387">
        <f ca="1">IF(AM20=0,0,IF(AN20=0,пропускДС,MIN(tInt(AP20,"s")*отклонениеРД,пределРД)))</f>
        <v>50</v>
      </c>
      <c r="AR20" s="383">
        <f t="shared" ca="1" si="19"/>
        <v>0</v>
      </c>
      <c r="AS20" s="152">
        <f t="shared" ca="1" si="52"/>
        <v>0</v>
      </c>
      <c r="AT20" s="152">
        <f t="shared" ca="1" si="53"/>
        <v>0</v>
      </c>
      <c r="AU20" s="389">
        <f t="shared" ca="1" si="54"/>
        <v>24.3</v>
      </c>
      <c r="AV20" s="389">
        <f t="shared" ca="1" si="55"/>
        <v>0</v>
      </c>
      <c r="AW20" s="389">
        <f t="shared" ca="1" si="56"/>
        <v>2</v>
      </c>
      <c r="AX20" s="384">
        <f t="shared" ca="1" si="57"/>
        <v>0</v>
      </c>
      <c r="AY20" s="384">
        <f t="shared" ca="1" si="58"/>
        <v>0</v>
      </c>
      <c r="AZ20" s="387">
        <f t="shared" ca="1" si="23"/>
        <v>102.9</v>
      </c>
      <c r="BA20" s="383">
        <f t="shared" ca="1" si="24"/>
        <v>0.61597222222222225</v>
      </c>
      <c r="BB20" s="152">
        <f t="shared" ca="1" si="59"/>
        <v>0.61736111111111114</v>
      </c>
      <c r="BC20" s="152">
        <f ca="1">IF(OR(BA20=0,BB20=0),0,tDiff(BB20,BA20))</f>
        <v>1.3889074325561523E-3</v>
      </c>
      <c r="BD20" s="386">
        <f t="shared" ca="1" si="60"/>
        <v>0.62590277777777781</v>
      </c>
      <c r="BE20" s="386">
        <f t="shared" ca="1" si="27"/>
        <v>0.635625</v>
      </c>
      <c r="BF20" s="380" t="str">
        <f ca="1">IF(BE20&lt;&gt;0,tpm(BE20,BD20,"s"),"")</f>
        <v>+</v>
      </c>
      <c r="BG20" s="386">
        <f ca="1">IF(BE20&lt;&gt;0,tDiff(BE20,BD20,"s"), 0)</f>
        <v>9.7222328186035156E-3</v>
      </c>
      <c r="BH20" s="387">
        <f ca="1">IF(BE20=0,пропускСФ,MIN(tInt(BG20,"s")*отклонениеРД,пределРД))</f>
        <v>600</v>
      </c>
      <c r="BI20" s="388">
        <f t="shared" ca="1" si="61"/>
        <v>0.64679398148148148</v>
      </c>
      <c r="BJ20" s="386">
        <f t="shared" ca="1" si="28"/>
        <v>0</v>
      </c>
      <c r="BK20" s="384" t="str">
        <f ca="1">IF(BJ20&lt;&gt;0,tpm(BJ20,BI20,"s"),"")</f>
        <v/>
      </c>
      <c r="BL20" s="386">
        <f ca="1">IF(BJ20&lt;&gt;0,tDiff(BJ20,BI20,"s"), 0)</f>
        <v>0</v>
      </c>
      <c r="BM20" s="387">
        <f ca="1">IF(BJ20=0,пропускСФ,MIN(tInt(BL20,"s")*отклонениеРД,пределРД))</f>
        <v>1800</v>
      </c>
      <c r="BN20" s="388">
        <f t="shared" ca="1" si="62"/>
        <v>0</v>
      </c>
      <c r="BO20" s="386">
        <f t="shared" ca="1" si="29"/>
        <v>0.64811342592592591</v>
      </c>
      <c r="BP20" s="384" t="str">
        <f ca="1">IF(AND(BO20&lt;&gt;0,BN20&lt;&gt;0),tpm(BO20,BN20,"s"),"")</f>
        <v/>
      </c>
      <c r="BQ20" s="386">
        <f ca="1">IF(AND(BO20&lt;&gt;0,BN20&lt;&gt;0),tDiff(BO20,BN20,"s"), 0)</f>
        <v>0</v>
      </c>
      <c r="BR20" s="387">
        <f ca="1">IF(BN20=0,0,IF(BO20=0,пропускДС,MIN(tInt(BQ20,"s")*отклонениеРД,пределРД)))</f>
        <v>0</v>
      </c>
      <c r="BS20" s="390">
        <f t="shared" ca="1" si="30"/>
        <v>0</v>
      </c>
      <c r="BT20" s="387">
        <f t="shared" ca="1" si="63"/>
        <v>0</v>
      </c>
      <c r="BU20" s="383">
        <f t="shared" ca="1" si="32"/>
        <v>0.52222222222222225</v>
      </c>
      <c r="BV20" s="391">
        <f t="shared" ca="1" si="64"/>
        <v>0</v>
      </c>
      <c r="BW20" s="383">
        <f t="shared" ca="1" si="34"/>
        <v>0.52638888888888891</v>
      </c>
      <c r="BX20" s="391">
        <f t="shared" ca="1" si="65"/>
        <v>0</v>
      </c>
      <c r="BY20" s="383">
        <f t="shared" ca="1" si="34"/>
        <v>0.58194444444444449</v>
      </c>
      <c r="BZ20" s="391">
        <f t="shared" ca="1" si="66"/>
        <v>0</v>
      </c>
      <c r="CA20" s="383">
        <f ca="1">IF(L20&lt;&gt;0,tTrunc(L20+_ВКВ1/_КВ2Скорость/24),tTrunc(K20+_ВКВ1/_КВ2Скорость/24))</f>
        <v>0.58888888359069824</v>
      </c>
      <c r="CB20" s="152">
        <f t="shared" ca="1" si="67"/>
        <v>0.59097222222222223</v>
      </c>
      <c r="CC20" s="152">
        <f>ROUNDUP(tInt(_ВКВ1/_КВ2Скорость/24)/10,0)/1440</f>
        <v>8.3333333333333332E-3</v>
      </c>
      <c r="CD20" s="384" t="str">
        <f ca="1">IF(AND(CB20&lt;&gt;0,CA20&lt;&gt;0),tpm(CB20,CA20),"")</f>
        <v>+</v>
      </c>
      <c r="CE20" s="152">
        <f ca="1">IF(CB20&lt;&gt;0,tDiff(CB20,CA20), 0)</f>
        <v>2.0833611488342285E-3</v>
      </c>
      <c r="CF20" s="391">
        <f ca="1">IF(CB20&lt;&gt;0,IF(CD20="+",0,IF(CE20&gt;CC20,tInt(CE20-CC20)*опережениеКВ,0)),пропускКВ)</f>
        <v>0</v>
      </c>
    </row>
    <row r="21" spans="1:84" s="367" customFormat="1" x14ac:dyDescent="0.25">
      <c r="A21" s="586">
        <f>стартоваяВедомость!B22</f>
        <v>12</v>
      </c>
      <c r="B21" s="355" t="str">
        <f t="shared" ca="1" si="0"/>
        <v>Ford Focus</v>
      </c>
      <c r="C21" s="355" t="str">
        <f t="shared" ca="1" si="1"/>
        <v>Буцырин Николай</v>
      </c>
      <c r="D21" s="355" t="str">
        <f t="shared" ca="1" si="2"/>
        <v>Селиверстов Эдуард</v>
      </c>
      <c r="E21" s="355" t="str">
        <f t="shared" ca="1" si="3"/>
        <v>Смоленск</v>
      </c>
      <c r="F21" s="355" t="str">
        <f t="shared" ca="1" si="4"/>
        <v>Light</v>
      </c>
      <c r="G21" s="356" t="str">
        <f t="shared" ca="1" si="37"/>
        <v>DNS</v>
      </c>
      <c r="H21" s="356" t="str">
        <f t="shared" ca="1" si="38"/>
        <v>DNS</v>
      </c>
      <c r="I21" s="356">
        <f t="shared" ca="1" si="39"/>
        <v>7200</v>
      </c>
      <c r="J21" s="356">
        <f t="shared" ca="1" si="40"/>
        <v>0</v>
      </c>
      <c r="K21" s="357">
        <f t="shared" ca="1" si="6"/>
        <v>0.5083333333333333</v>
      </c>
      <c r="L21" s="358">
        <f t="shared" ca="1" si="41"/>
        <v>0</v>
      </c>
      <c r="M21" s="359" t="str">
        <f ca="1">IF(L21&lt;&gt;0,tpm(L21,K21),"")</f>
        <v/>
      </c>
      <c r="N21" s="358">
        <f ca="1">IF(L21&lt;&gt;0,tDiff(L21,K21), 0)</f>
        <v>0</v>
      </c>
      <c r="O21" s="360" t="str">
        <f ca="1">IF(L21&lt;&gt;0,IF(M21="+",MIN(tInt(N21)*опережениеКВ,пределКВ),tInt(N21)*опережениеКВ),"DNS")</f>
        <v>DNS</v>
      </c>
      <c r="P21" s="358">
        <f t="shared" si="8"/>
        <v>8.3333335816860199E-2</v>
      </c>
      <c r="Q21" s="358">
        <f t="shared" ca="1" si="42"/>
        <v>0</v>
      </c>
      <c r="R21" s="357">
        <f t="shared" ca="1" si="43"/>
        <v>0.5916666691501935</v>
      </c>
      <c r="S21" s="358">
        <f t="shared" ca="1" si="44"/>
        <v>0</v>
      </c>
      <c r="T21" s="359" t="str">
        <f ca="1">IF(S21&lt;&gt;0,tpm(S21,R21),"")</f>
        <v/>
      </c>
      <c r="U21" s="358">
        <f ca="1">IF(S21&lt;&gt;0,tDiff(S21,R21), 0)</f>
        <v>0</v>
      </c>
      <c r="V21" s="360">
        <f ca="1">IF(S21&lt;&gt;0,IF(T21="+",MIN(MAX(tInt(U21-Q21),0)*опережениеКВ,пределКВ),tInt(U21)*опережениеКВ),пропускКВ)</f>
        <v>900</v>
      </c>
      <c r="W21" s="358">
        <f t="shared" si="11"/>
        <v>8.3333335816860199E-2</v>
      </c>
      <c r="X21" s="358">
        <f t="shared" ca="1" si="45"/>
        <v>0</v>
      </c>
      <c r="Y21" s="358">
        <f t="shared" ca="1" si="46"/>
        <v>0</v>
      </c>
      <c r="Z21" s="357">
        <f t="shared" ca="1" si="47"/>
        <v>0.6750000049670537</v>
      </c>
      <c r="AA21" s="358">
        <f t="shared" ca="1" si="48"/>
        <v>0</v>
      </c>
      <c r="AB21" s="359" t="str">
        <f ca="1">IF(AA21&lt;&gt;0,tpm(AA21,Z21),"")</f>
        <v/>
      </c>
      <c r="AC21" s="358">
        <f ca="1">IF(AA21&lt;&gt;0,tDiff(AA21,Z21), 0)</f>
        <v>0</v>
      </c>
      <c r="AD21" s="360" t="str">
        <f ca="1">IF(AA21&lt;&gt;0,IF(AB21="+",MIN(MAX(tInt(AC21-Y21),0)*опережениеКВ,пределКВ),IF(tInt(AC21)&lt;=ROUNDUP(tInt(W21)*0.1,0),0,(tInt(AC21)-ROUNDUP(tInt(W21)*0.1,0))*опережениеКВ)),"DNF")</f>
        <v>DNF</v>
      </c>
      <c r="AE21" s="357">
        <f t="shared" ca="1" si="14"/>
        <v>0</v>
      </c>
      <c r="AF21" s="358">
        <f t="shared" ca="1" si="49"/>
        <v>0</v>
      </c>
      <c r="AG21" s="358">
        <f ca="1">IF(OR(AE21=0,AF21=0),0,tDiff(AF21,AE21))</f>
        <v>0</v>
      </c>
      <c r="AH21" s="362">
        <f t="shared" ca="1" si="50"/>
        <v>0</v>
      </c>
      <c r="AI21" s="362">
        <f t="shared" ca="1" si="17"/>
        <v>0</v>
      </c>
      <c r="AJ21" s="354" t="str">
        <f ca="1">IF(AI21&lt;&gt;0,tpm(AI21,AH21,"s"),"")</f>
        <v/>
      </c>
      <c r="AK21" s="362">
        <f ca="1">IF(AI21&lt;&gt;0,tDiff(AI21,AH21,"s"), 0)</f>
        <v>0</v>
      </c>
      <c r="AL21" s="363">
        <f ca="1">IF(AI21=0,пропускСФ,MIN(tInt(AK21,"s")*отклонениеРД,пределРД))</f>
        <v>1800</v>
      </c>
      <c r="AM21" s="364">
        <f t="shared" ca="1" si="51"/>
        <v>0</v>
      </c>
      <c r="AN21" s="362">
        <f t="shared" ca="1" si="18"/>
        <v>0</v>
      </c>
      <c r="AO21" s="359" t="str">
        <f ca="1">IF(AND(AM21&lt;&gt;0,AN21&lt;&gt;0),tpm(AN21,AM21,"s"),"")</f>
        <v/>
      </c>
      <c r="AP21" s="362">
        <f ca="1">IF(AND(AM21&lt;&gt;0,AN21&lt;&gt;0),tDiff(AN21,AM21,"s"), 0)</f>
        <v>0</v>
      </c>
      <c r="AQ21" s="363">
        <f ca="1">IF(AM21=0,0,IF(AN21=0,пропускДС,MIN(tInt(AP21,"s")*отклонениеРД,пределРД)))</f>
        <v>0</v>
      </c>
      <c r="AR21" s="357">
        <f t="shared" ca="1" si="19"/>
        <v>0</v>
      </c>
      <c r="AS21" s="358">
        <f t="shared" ca="1" si="52"/>
        <v>0</v>
      </c>
      <c r="AT21" s="358">
        <f t="shared" ca="1" si="53"/>
        <v>0</v>
      </c>
      <c r="AU21" s="365">
        <f t="shared" ca="1" si="54"/>
        <v>0</v>
      </c>
      <c r="AV21" s="365">
        <f t="shared" ca="1" si="55"/>
        <v>0</v>
      </c>
      <c r="AW21" s="365">
        <f t="shared" ca="1" si="56"/>
        <v>0</v>
      </c>
      <c r="AX21" s="359">
        <f t="shared" ca="1" si="57"/>
        <v>0</v>
      </c>
      <c r="AY21" s="359">
        <f t="shared" ca="1" si="58"/>
        <v>0</v>
      </c>
      <c r="AZ21" s="363">
        <f t="shared" ca="1" si="23"/>
        <v>1800</v>
      </c>
      <c r="BA21" s="357">
        <f t="shared" ca="1" si="24"/>
        <v>0</v>
      </c>
      <c r="BB21" s="358">
        <f t="shared" ca="1" si="59"/>
        <v>0</v>
      </c>
      <c r="BC21" s="358">
        <f ca="1">IF(OR(BA21=0,BB21=0),0,tDiff(BB21,BA21))</f>
        <v>0</v>
      </c>
      <c r="BD21" s="362">
        <f t="shared" ca="1" si="60"/>
        <v>0</v>
      </c>
      <c r="BE21" s="362">
        <f t="shared" ca="1" si="27"/>
        <v>0</v>
      </c>
      <c r="BF21" s="354" t="str">
        <f ca="1">IF(BE21&lt;&gt;0,tpm(BE21,BD21,"s"),"")</f>
        <v/>
      </c>
      <c r="BG21" s="362">
        <f ca="1">IF(BE21&lt;&gt;0,tDiff(BE21,BD21,"s"), 0)</f>
        <v>0</v>
      </c>
      <c r="BH21" s="363">
        <f ca="1">IF(BE21=0,пропускСФ,MIN(tInt(BG21,"s")*отклонениеРД,пределРД))</f>
        <v>1800</v>
      </c>
      <c r="BI21" s="364">
        <f t="shared" ca="1" si="61"/>
        <v>0</v>
      </c>
      <c r="BJ21" s="362">
        <f t="shared" ca="1" si="28"/>
        <v>0</v>
      </c>
      <c r="BK21" s="359" t="str">
        <f ca="1">IF(BJ21&lt;&gt;0,tpm(BJ21,BI21,"s"),"")</f>
        <v/>
      </c>
      <c r="BL21" s="362">
        <f ca="1">IF(BJ21&lt;&gt;0,tDiff(BJ21,BI21,"s"), 0)</f>
        <v>0</v>
      </c>
      <c r="BM21" s="363">
        <f ca="1">IF(BJ21=0,пропускСФ,MIN(tInt(BL21,"s")*отклонениеРД,пределРД))</f>
        <v>1800</v>
      </c>
      <c r="BN21" s="364">
        <f t="shared" ca="1" si="62"/>
        <v>0</v>
      </c>
      <c r="BO21" s="362">
        <f t="shared" ca="1" si="29"/>
        <v>0</v>
      </c>
      <c r="BP21" s="359" t="str">
        <f ca="1">IF(AND(BO21&lt;&gt;0,BN21&lt;&gt;0),tpm(BO21,BN21,"s"),"")</f>
        <v/>
      </c>
      <c r="BQ21" s="362">
        <f ca="1">IF(AND(BO21&lt;&gt;0,BN21&lt;&gt;0),tDiff(BO21,BN21,"s"), 0)</f>
        <v>0</v>
      </c>
      <c r="BR21" s="363">
        <f ca="1">IF(BN21=0,0,IF(BO21=0,пропускДС,MIN(tInt(BQ21,"s")*отклонениеРД,пределРД)))</f>
        <v>0</v>
      </c>
      <c r="BS21" s="366">
        <f t="shared" ca="1" si="30"/>
        <v>0</v>
      </c>
      <c r="BT21" s="363">
        <f t="shared" ca="1" si="63"/>
        <v>0</v>
      </c>
      <c r="BU21" s="357">
        <f t="shared" ca="1" si="32"/>
        <v>0</v>
      </c>
      <c r="BV21" s="361">
        <f t="shared" ca="1" si="64"/>
        <v>900</v>
      </c>
      <c r="BW21" s="357">
        <f t="shared" ca="1" si="34"/>
        <v>0</v>
      </c>
      <c r="BX21" s="361">
        <f t="shared" ca="1" si="65"/>
        <v>900</v>
      </c>
      <c r="BY21" s="357">
        <f t="shared" ca="1" si="34"/>
        <v>0</v>
      </c>
      <c r="BZ21" s="361">
        <f t="shared" ca="1" si="66"/>
        <v>900</v>
      </c>
      <c r="CA21" s="357">
        <f ca="1">IF(L21&lt;&gt;0,tTrunc(L21+_ВКВ1/_КВ2Скорость/24),tTrunc(K21+_ВКВ1/_КВ2Скорость/24))</f>
        <v>0.58958333730697632</v>
      </c>
      <c r="CB21" s="358">
        <f t="shared" ca="1" si="67"/>
        <v>0</v>
      </c>
      <c r="CC21" s="358">
        <f>ROUNDUP(tInt(_ВКВ1/_КВ2Скорость/24)/10,0)/1440</f>
        <v>8.3333333333333332E-3</v>
      </c>
      <c r="CD21" s="359" t="str">
        <f ca="1">IF(AND(CB21&lt;&gt;0,CA21&lt;&gt;0),tpm(CB21,CA21),"")</f>
        <v/>
      </c>
      <c r="CE21" s="358">
        <f ca="1">IF(CB21&lt;&gt;0,tDiff(CB21,CA21), 0)</f>
        <v>0</v>
      </c>
      <c r="CF21" s="361">
        <f ca="1">IF(CB21&lt;&gt;0,IF(CD21="+",0,IF(CE21&gt;CC21,tInt(CE21-CC21)*опережениеКВ,0)),пропускКВ)</f>
        <v>900</v>
      </c>
    </row>
    <row r="22" spans="1:84" s="22" customFormat="1" x14ac:dyDescent="0.25">
      <c r="A22" s="587">
        <f>стартоваяВедомость!B23</f>
        <v>13</v>
      </c>
      <c r="B22" s="381" t="str">
        <f t="shared" ca="1" si="0"/>
        <v>Ford focus</v>
      </c>
      <c r="C22" s="381" t="str">
        <f t="shared" ca="1" si="1"/>
        <v>Косарев Денис</v>
      </c>
      <c r="D22" s="381" t="str">
        <f t="shared" ca="1" si="2"/>
        <v>Косарев Сергей</v>
      </c>
      <c r="E22" s="381" t="str">
        <f t="shared" ca="1" si="3"/>
        <v>Дорогобуж</v>
      </c>
      <c r="F22" s="381" t="str">
        <f t="shared" ca="1" si="4"/>
        <v>Light</v>
      </c>
      <c r="G22" s="382">
        <f t="shared" ca="1" si="37"/>
        <v>2388.3000000000002</v>
      </c>
      <c r="H22" s="382">
        <f t="shared" ca="1" si="38"/>
        <v>900</v>
      </c>
      <c r="I22" s="382">
        <f t="shared" ca="1" si="39"/>
        <v>1188.3</v>
      </c>
      <c r="J22" s="382">
        <f t="shared" ca="1" si="40"/>
        <v>300</v>
      </c>
      <c r="K22" s="383">
        <f t="shared" ca="1" si="6"/>
        <v>0.50902777777777775</v>
      </c>
      <c r="L22" s="152">
        <f t="shared" ca="1" si="41"/>
        <v>0.50902777777777775</v>
      </c>
      <c r="M22" s="384" t="str">
        <f ca="1">IF(L22&lt;&gt;0,tpm(L22,K22),"")</f>
        <v/>
      </c>
      <c r="N22" s="152">
        <f ca="1">IF(L22&lt;&gt;0,tDiff(L22,K22), 0)</f>
        <v>0</v>
      </c>
      <c r="O22" s="385">
        <f ca="1">IF(L22&lt;&gt;0,IF(M22="+",MIN(tInt(N22)*опережениеКВ,пределКВ),tInt(N22)*опережениеКВ),"DNS")</f>
        <v>0</v>
      </c>
      <c r="P22" s="152">
        <f t="shared" si="8"/>
        <v>8.3333335816860199E-2</v>
      </c>
      <c r="Q22" s="152">
        <f t="shared" ca="1" si="42"/>
        <v>2.0833611488342285E-3</v>
      </c>
      <c r="R22" s="383">
        <f t="shared" ca="1" si="43"/>
        <v>0.59236111359463794</v>
      </c>
      <c r="S22" s="152">
        <f t="shared" ca="1" si="44"/>
        <v>0</v>
      </c>
      <c r="T22" s="384" t="str">
        <f ca="1">IF(S22&lt;&gt;0,tpm(S22,R22),"")</f>
        <v/>
      </c>
      <c r="U22" s="152">
        <f ca="1">IF(S22&lt;&gt;0,tDiff(S22,R22), 0)</f>
        <v>0</v>
      </c>
      <c r="V22" s="385">
        <f ca="1">IF(S22&lt;&gt;0,IF(T22="+",MIN(MAX(tInt(U22-Q22),0)*опережениеКВ,пределКВ),tInt(U22)*опережениеКВ),пропускКВ)</f>
        <v>900</v>
      </c>
      <c r="W22" s="152">
        <f t="shared" si="11"/>
        <v>8.3333335816860199E-2</v>
      </c>
      <c r="X22" s="152">
        <f t="shared" ca="1" si="45"/>
        <v>4.1666666666666519E-3</v>
      </c>
      <c r="Y22" s="152">
        <f t="shared" ca="1" si="46"/>
        <v>6.2500278155008804E-3</v>
      </c>
      <c r="Z22" s="383">
        <f t="shared" ca="1" si="47"/>
        <v>0.67569444941149814</v>
      </c>
      <c r="AA22" s="152">
        <f t="shared" ca="1" si="48"/>
        <v>0.67986111111111114</v>
      </c>
      <c r="AB22" s="384" t="str">
        <f ca="1">IF(AA22&lt;&gt;0,tpm(AA22,Z22),"")</f>
        <v>+</v>
      </c>
      <c r="AC22" s="152">
        <f ca="1">IF(AA22&lt;&gt;0,tDiff(AA22,Z22), 0)</f>
        <v>4.1666626930236816E-3</v>
      </c>
      <c r="AD22" s="385">
        <f ca="1">IF(AA22&lt;&gt;0,IF(AB22="+",MIN(MAX(tInt(AC22-Y22),0)*опережениеКВ,пределКВ),IF(tInt(AC22)&lt;=ROUNDUP(tInt(W22)*0.1,0),0,(tInt(AC22)-ROUNDUP(tInt(W22)*0.1,0))*опережениеКВ)),"DNF")</f>
        <v>0</v>
      </c>
      <c r="AE22" s="383">
        <f t="shared" ca="1" si="14"/>
        <v>0.53541666666666665</v>
      </c>
      <c r="AF22" s="152">
        <f t="shared" ca="1" si="49"/>
        <v>0.53749999999999998</v>
      </c>
      <c r="AG22" s="152">
        <f ca="1">IF(OR(AE22=0,AF22=0),0,tDiff(AF22,AE22))</f>
        <v>2.0833611488342285E-3</v>
      </c>
      <c r="AH22" s="386">
        <f t="shared" ca="1" si="50"/>
        <v>0.54988425925925921</v>
      </c>
      <c r="AI22" s="386">
        <f t="shared" ca="1" si="17"/>
        <v>0.55159722222222218</v>
      </c>
      <c r="AJ22" s="380" t="str">
        <f ca="1">IF(AI22&lt;&gt;0,tpm(AI22,AH22,"s"),"")</f>
        <v>+</v>
      </c>
      <c r="AK22" s="386">
        <f ca="1">IF(AI22&lt;&gt;0,tDiff(AI22,AH22,"s"), 0)</f>
        <v>1.7129778861999512E-3</v>
      </c>
      <c r="AL22" s="387">
        <f ca="1">IF(AI22=0,пропускСФ,MIN(tInt(AK22,"s")*отклонениеРД,пределРД))</f>
        <v>148</v>
      </c>
      <c r="AM22" s="388">
        <f t="shared" ca="1" si="51"/>
        <v>0.55517361111111108</v>
      </c>
      <c r="AN22" s="386">
        <f t="shared" ca="1" si="18"/>
        <v>0.55568287037037034</v>
      </c>
      <c r="AO22" s="384" t="str">
        <f ca="1">IF(AND(AM22&lt;&gt;0,AN22&lt;&gt;0),tpm(AN22,AM22,"s"),"")</f>
        <v>+</v>
      </c>
      <c r="AP22" s="386">
        <f ca="1">IF(AND(AM22&lt;&gt;0,AN22&lt;&gt;0),tDiff(AN22,AM22,"s"), 0)</f>
        <v>5.092620849609375E-4</v>
      </c>
      <c r="AQ22" s="387">
        <f ca="1">IF(AM22=0,0,IF(AN22=0,пропускДС,MIN(tInt(AP22,"s")*отклонениеРД,пределРД)))</f>
        <v>44</v>
      </c>
      <c r="AR22" s="383">
        <f t="shared" ca="1" si="19"/>
        <v>0.60486111111111118</v>
      </c>
      <c r="AS22" s="152">
        <f t="shared" ca="1" si="52"/>
        <v>0.60902777777777783</v>
      </c>
      <c r="AT22" s="152">
        <f t="shared" ca="1" si="53"/>
        <v>4.1666666666666519E-3</v>
      </c>
      <c r="AU22" s="389">
        <f t="shared" ca="1" si="54"/>
        <v>26.1</v>
      </c>
      <c r="AV22" s="389">
        <f t="shared" ca="1" si="55"/>
        <v>0</v>
      </c>
      <c r="AW22" s="389">
        <f t="shared" ca="1" si="56"/>
        <v>1</v>
      </c>
      <c r="AX22" s="384">
        <f t="shared" ca="1" si="57"/>
        <v>0</v>
      </c>
      <c r="AY22" s="384">
        <f t="shared" ca="1" si="58"/>
        <v>0</v>
      </c>
      <c r="AZ22" s="387">
        <f t="shared" ca="1" si="23"/>
        <v>93.300000000000011</v>
      </c>
      <c r="BA22" s="383">
        <f t="shared" ca="1" si="24"/>
        <v>0</v>
      </c>
      <c r="BB22" s="152">
        <f t="shared" ca="1" si="59"/>
        <v>0.62291666666666667</v>
      </c>
      <c r="BC22" s="152">
        <f ca="1">IF(OR(BA22=0,BB22=0),0,tDiff(BB22,BA22))</f>
        <v>0</v>
      </c>
      <c r="BD22" s="386">
        <f t="shared" ca="1" si="60"/>
        <v>0.63145833333333334</v>
      </c>
      <c r="BE22" s="386">
        <f t="shared" ca="1" si="27"/>
        <v>0.63879629629629631</v>
      </c>
      <c r="BF22" s="380" t="str">
        <f ca="1">IF(BE22&lt;&gt;0,tpm(BE22,BD22,"s"),"")</f>
        <v>+</v>
      </c>
      <c r="BG22" s="386">
        <f ca="1">IF(BE22&lt;&gt;0,tDiff(BE22,BD22,"s"), 0)</f>
        <v>7.3379278182983398E-3</v>
      </c>
      <c r="BH22" s="387">
        <f ca="1">IF(BE22=0,пропускСФ,MIN(tInt(BG22,"s")*отклонениеРД,пределРД))</f>
        <v>600</v>
      </c>
      <c r="BI22" s="388">
        <f t="shared" ca="1" si="61"/>
        <v>0.64996527777777779</v>
      </c>
      <c r="BJ22" s="386">
        <f t="shared" ca="1" si="28"/>
        <v>0.65260416666666665</v>
      </c>
      <c r="BK22" s="384" t="str">
        <f ca="1">IF(BJ22&lt;&gt;0,tpm(BJ22,BI22,"s"),"")</f>
        <v>+</v>
      </c>
      <c r="BL22" s="386">
        <f ca="1">IF(BJ22&lt;&gt;0,tDiff(BJ22,BI22,"s"), 0)</f>
        <v>2.6388764381408691E-3</v>
      </c>
      <c r="BM22" s="387">
        <f ca="1">IF(BJ22=0,пропускСФ,MIN(tInt(BL22,"s")*отклонениеРД,пределРД))</f>
        <v>228</v>
      </c>
      <c r="BN22" s="388">
        <f t="shared" ca="1" si="62"/>
        <v>0.66395833333333332</v>
      </c>
      <c r="BO22" s="386">
        <f t="shared" ca="1" si="29"/>
        <v>0.6648263888888889</v>
      </c>
      <c r="BP22" s="384" t="str">
        <f ca="1">IF(AND(BO22&lt;&gt;0,BN22&lt;&gt;0),tpm(BO22,BN22,"s"),"")</f>
        <v>+</v>
      </c>
      <c r="BQ22" s="386">
        <f ca="1">IF(AND(BO22&lt;&gt;0,BN22&lt;&gt;0),tDiff(BO22,BN22,"s"), 0)</f>
        <v>8.6808204650878906E-4</v>
      </c>
      <c r="BR22" s="387">
        <f ca="1">IF(BN22=0,0,IF(BO22=0,пропускДС,MIN(tInt(BQ22,"s")*отклонениеРД,пределРД)))</f>
        <v>75</v>
      </c>
      <c r="BS22" s="390" t="str">
        <f t="shared" ca="1" si="30"/>
        <v>ДС-3 СФ, изменения направления движения, не предписанное ДК, в зоне действия судейского пункта</v>
      </c>
      <c r="BT22" s="387">
        <f t="shared" ca="1" si="63"/>
        <v>300</v>
      </c>
      <c r="BU22" s="383">
        <f t="shared" ca="1" si="32"/>
        <v>0.52222222222222225</v>
      </c>
      <c r="BV22" s="391">
        <f t="shared" ca="1" si="64"/>
        <v>0</v>
      </c>
      <c r="BW22" s="383">
        <f t="shared" ca="1" si="34"/>
        <v>0.52708333333333335</v>
      </c>
      <c r="BX22" s="391">
        <f t="shared" ca="1" si="65"/>
        <v>0</v>
      </c>
      <c r="BY22" s="383">
        <f t="shared" ca="1" si="34"/>
        <v>0.58263888888888882</v>
      </c>
      <c r="BZ22" s="391">
        <f t="shared" ca="1" si="66"/>
        <v>0</v>
      </c>
      <c r="CA22" s="383">
        <f ca="1">IF(L22&lt;&gt;0,tTrunc(L22+_ВКВ1/_КВ2Скорость/24),tTrunc(K22+_ВКВ1/_КВ2Скорость/24))</f>
        <v>0.59027779102325439</v>
      </c>
      <c r="CB22" s="152">
        <f t="shared" ca="1" si="67"/>
        <v>0.59236111111111112</v>
      </c>
      <c r="CC22" s="152">
        <f>ROUNDUP(tInt(_ВКВ1/_КВ2Скорость/24)/10,0)/1440</f>
        <v>8.3333333333333332E-3</v>
      </c>
      <c r="CD22" s="384" t="str">
        <f ca="1">IF(AND(CB22&lt;&gt;0,CA22&lt;&gt;0),tpm(CB22,CA22),"")</f>
        <v>+</v>
      </c>
      <c r="CE22" s="152">
        <f ca="1">IF(CB22&lt;&gt;0,tDiff(CB22,CA22), 0)</f>
        <v>2.0833015441894531E-3</v>
      </c>
      <c r="CF22" s="391">
        <f ca="1">IF(CB22&lt;&gt;0,IF(CD22="+",0,IF(CE22&gt;CC22,tInt(CE22-CC22)*опережениеКВ,0)),пропускКВ)</f>
        <v>0</v>
      </c>
    </row>
    <row r="23" spans="1:84" s="367" customFormat="1" x14ac:dyDescent="0.25">
      <c r="A23" s="586">
        <f>стартоваяВедомость!B24</f>
        <v>14</v>
      </c>
      <c r="B23" s="355" t="str">
        <f t="shared" ca="1" si="0"/>
        <v>Ford S-max</v>
      </c>
      <c r="C23" s="355" t="str">
        <f t="shared" ca="1" si="1"/>
        <v>Доценко Роман</v>
      </c>
      <c r="D23" s="355" t="str">
        <f t="shared" ca="1" si="2"/>
        <v>Доценко Ярослав</v>
      </c>
      <c r="E23" s="355" t="str">
        <f t="shared" ca="1" si="3"/>
        <v>Смоленск</v>
      </c>
      <c r="F23" s="355" t="str">
        <f t="shared" ca="1" si="4"/>
        <v>Light</v>
      </c>
      <c r="G23" s="356">
        <f t="shared" ca="1" si="37"/>
        <v>2596.5</v>
      </c>
      <c r="H23" s="356">
        <f t="shared" ca="1" si="38"/>
        <v>0</v>
      </c>
      <c r="I23" s="356">
        <f t="shared" ca="1" si="39"/>
        <v>2566.5</v>
      </c>
      <c r="J23" s="356">
        <f t="shared" ca="1" si="40"/>
        <v>30</v>
      </c>
      <c r="K23" s="357">
        <f t="shared" ca="1" si="6"/>
        <v>0.50972222222222219</v>
      </c>
      <c r="L23" s="358">
        <f t="shared" ca="1" si="41"/>
        <v>0.50972222222222219</v>
      </c>
      <c r="M23" s="359" t="str">
        <f ca="1">IF(L23&lt;&gt;0,tpm(L23,K23),"")</f>
        <v/>
      </c>
      <c r="N23" s="358">
        <f ca="1">IF(L23&lt;&gt;0,tDiff(L23,K23), 0)</f>
        <v>0</v>
      </c>
      <c r="O23" s="360">
        <f ca="1">IF(L23&lt;&gt;0,IF(M23="+",MIN(tInt(N23)*опережениеКВ,пределКВ),tInt(N23)*опережениеКВ),"DNS")</f>
        <v>0</v>
      </c>
      <c r="P23" s="358">
        <f t="shared" si="8"/>
        <v>8.3333335816860199E-2</v>
      </c>
      <c r="Q23" s="358">
        <f t="shared" ca="1" si="42"/>
        <v>0</v>
      </c>
      <c r="R23" s="357">
        <f t="shared" ca="1" si="43"/>
        <v>0.59305555803908239</v>
      </c>
      <c r="S23" s="358">
        <f t="shared" ca="1" si="44"/>
        <v>0.59305555555555556</v>
      </c>
      <c r="T23" s="359" t="str">
        <f ca="1">IF(S23&lt;&gt;0,tpm(S23,R23),"")</f>
        <v/>
      </c>
      <c r="U23" s="358">
        <f ca="1">IF(S23&lt;&gt;0,tDiff(S23,R23), 0)</f>
        <v>0</v>
      </c>
      <c r="V23" s="360">
        <f ca="1">IF(S23&lt;&gt;0,IF(T23="+",MIN(MAX(tInt(U23-Q23),0)*опережениеКВ,пределКВ),tInt(U23)*опережениеКВ),пропускКВ)</f>
        <v>0</v>
      </c>
      <c r="W23" s="358">
        <f t="shared" si="11"/>
        <v>8.3333335816860199E-2</v>
      </c>
      <c r="X23" s="358">
        <f t="shared" ca="1" si="45"/>
        <v>0</v>
      </c>
      <c r="Y23" s="358">
        <f t="shared" ca="1" si="46"/>
        <v>0</v>
      </c>
      <c r="Z23" s="357">
        <f t="shared" ca="1" si="47"/>
        <v>0.67638889137241576</v>
      </c>
      <c r="AA23" s="358">
        <f t="shared" ca="1" si="48"/>
        <v>0.67638888888888893</v>
      </c>
      <c r="AB23" s="359" t="str">
        <f ca="1">IF(AA23&lt;&gt;0,tpm(AA23,Z23),"")</f>
        <v>-</v>
      </c>
      <c r="AC23" s="358">
        <f ca="1">IF(AA23&lt;&gt;0,tDiff(AA23,Z23), 0)</f>
        <v>0</v>
      </c>
      <c r="AD23" s="360">
        <f ca="1">IF(AA23&lt;&gt;0,IF(AB23="+",MIN(MAX(tInt(AC23-Y23),0)*опережениеКВ,пределКВ),IF(tInt(AC23)&lt;=ROUNDUP(tInt(W23)*0.1,0),0,(tInt(AC23)-ROUNDUP(tInt(W23)*0.1,0))*опережениеКВ)),"DNF")</f>
        <v>0</v>
      </c>
      <c r="AE23" s="357">
        <f t="shared" ca="1" si="14"/>
        <v>0</v>
      </c>
      <c r="AF23" s="358">
        <f t="shared" ca="1" si="49"/>
        <v>0.5395833333333333</v>
      </c>
      <c r="AG23" s="358">
        <f ca="1">IF(OR(AE23=0,AF23=0),0,tDiff(AF23,AE23))</f>
        <v>0</v>
      </c>
      <c r="AH23" s="362">
        <f t="shared" ca="1" si="50"/>
        <v>0.55196759259259254</v>
      </c>
      <c r="AI23" s="362">
        <f t="shared" ca="1" si="17"/>
        <v>0.55207175925925933</v>
      </c>
      <c r="AJ23" s="354" t="str">
        <f ca="1">IF(AI23&lt;&gt;0,tpm(AI23,AH23,"s"),"")</f>
        <v>+</v>
      </c>
      <c r="AK23" s="362">
        <f ca="1">IF(AI23&lt;&gt;0,tDiff(AI23,AH23,"s"), 0)</f>
        <v>1.0412931442260742E-4</v>
      </c>
      <c r="AL23" s="363">
        <f ca="1">IF(AI23=0,пропускСФ,MIN(tInt(AK23,"s")*отклонениеРД,пределРД))</f>
        <v>9</v>
      </c>
      <c r="AM23" s="364">
        <f t="shared" ca="1" si="51"/>
        <v>0.55564814814814822</v>
      </c>
      <c r="AN23" s="362">
        <f t="shared" ca="1" si="18"/>
        <v>0.55613425925925919</v>
      </c>
      <c r="AO23" s="359" t="str">
        <f ca="1">IF(AND(AM23&lt;&gt;0,AN23&lt;&gt;0),tpm(AN23,AM23,"s"),"")</f>
        <v>+</v>
      </c>
      <c r="AP23" s="362">
        <f ca="1">IF(AND(AM23&lt;&gt;0,AN23&lt;&gt;0),tDiff(AN23,AM23,"s"), 0)</f>
        <v>4.8613548278808594E-4</v>
      </c>
      <c r="AQ23" s="363">
        <f ca="1">IF(AM23=0,0,IF(AN23=0,пропускДС,MIN(tInt(AP23,"s")*отклонениеРД,пределРД)))</f>
        <v>42</v>
      </c>
      <c r="AR23" s="357">
        <f t="shared" ca="1" si="19"/>
        <v>0</v>
      </c>
      <c r="AS23" s="358">
        <f t="shared" ca="1" si="52"/>
        <v>0</v>
      </c>
      <c r="AT23" s="358">
        <f t="shared" ca="1" si="53"/>
        <v>0</v>
      </c>
      <c r="AU23" s="365">
        <f t="shared" ca="1" si="54"/>
        <v>28.5</v>
      </c>
      <c r="AV23" s="365">
        <f t="shared" ca="1" si="55"/>
        <v>0</v>
      </c>
      <c r="AW23" s="365">
        <f t="shared" ca="1" si="56"/>
        <v>2</v>
      </c>
      <c r="AX23" s="359">
        <f t="shared" ca="1" si="57"/>
        <v>0</v>
      </c>
      <c r="AY23" s="359">
        <f t="shared" ca="1" si="58"/>
        <v>0</v>
      </c>
      <c r="AZ23" s="363">
        <f t="shared" ca="1" si="23"/>
        <v>115.5</v>
      </c>
      <c r="BA23" s="357">
        <f t="shared" ca="1" si="24"/>
        <v>0</v>
      </c>
      <c r="BB23" s="358">
        <f t="shared" ca="1" si="59"/>
        <v>0.62569444444444444</v>
      </c>
      <c r="BC23" s="358">
        <f ca="1">IF(OR(BA23=0,BB23=0),0,tDiff(BB23,BA23))</f>
        <v>0</v>
      </c>
      <c r="BD23" s="362">
        <f t="shared" ca="1" si="60"/>
        <v>0.63423611111111111</v>
      </c>
      <c r="BE23" s="362">
        <f t="shared" ca="1" si="27"/>
        <v>0.64290509259259265</v>
      </c>
      <c r="BF23" s="354" t="str">
        <f ca="1">IF(BE23&lt;&gt;0,tpm(BE23,BD23,"s"),"")</f>
        <v>+</v>
      </c>
      <c r="BG23" s="362">
        <f ca="1">IF(BE23&lt;&gt;0,tDiff(BE23,BD23,"s"), 0)</f>
        <v>8.6690187454223633E-3</v>
      </c>
      <c r="BH23" s="363">
        <f ca="1">IF(BE23=0,пропускСФ,MIN(tInt(BG23,"s")*отклонениеРД,пределРД))</f>
        <v>600</v>
      </c>
      <c r="BI23" s="364">
        <f t="shared" ca="1" si="61"/>
        <v>0.65407407407407414</v>
      </c>
      <c r="BJ23" s="362">
        <f t="shared" ca="1" si="28"/>
        <v>0</v>
      </c>
      <c r="BK23" s="359" t="str">
        <f ca="1">IF(BJ23&lt;&gt;0,tpm(BJ23,BI23,"s"),"")</f>
        <v/>
      </c>
      <c r="BL23" s="362">
        <f ca="1">IF(BJ23&lt;&gt;0,tDiff(BJ23,BI23,"s"), 0)</f>
        <v>0</v>
      </c>
      <c r="BM23" s="363">
        <f ca="1">IF(BJ23=0,пропускСФ,MIN(tInt(BL23,"s")*отклонениеРД,пределРД))</f>
        <v>1800</v>
      </c>
      <c r="BN23" s="364">
        <f t="shared" ca="1" si="62"/>
        <v>0</v>
      </c>
      <c r="BO23" s="362">
        <f t="shared" ca="1" si="29"/>
        <v>0.6580555555555555</v>
      </c>
      <c r="BP23" s="359" t="str">
        <f ca="1">IF(AND(BO23&lt;&gt;0,BN23&lt;&gt;0),tpm(BO23,BN23,"s"),"")</f>
        <v/>
      </c>
      <c r="BQ23" s="362">
        <f ca="1">IF(AND(BO23&lt;&gt;0,BN23&lt;&gt;0),tDiff(BO23,BN23,"s"), 0)</f>
        <v>0</v>
      </c>
      <c r="BR23" s="363">
        <f ca="1">IF(BN23=0,0,IF(BO23=0,пропускДС,MIN(tInt(BQ23,"s")*отклонениеРД,пределРД)))</f>
        <v>0</v>
      </c>
      <c r="BS23" s="366" t="str">
        <f t="shared" ca="1" si="30"/>
        <v>ДС-1 Фальстарт</v>
      </c>
      <c r="BT23" s="363">
        <f t="shared" ca="1" si="63"/>
        <v>30</v>
      </c>
      <c r="BU23" s="357">
        <f t="shared" ca="1" si="32"/>
        <v>0.52500000000000002</v>
      </c>
      <c r="BV23" s="361">
        <f t="shared" ca="1" si="64"/>
        <v>0</v>
      </c>
      <c r="BW23" s="357">
        <f t="shared" ca="1" si="34"/>
        <v>0.52986111111111112</v>
      </c>
      <c r="BX23" s="361">
        <f t="shared" ca="1" si="65"/>
        <v>0</v>
      </c>
      <c r="BY23" s="357">
        <f t="shared" ca="1" si="34"/>
        <v>0.57638888888888895</v>
      </c>
      <c r="BZ23" s="361">
        <f t="shared" ca="1" si="66"/>
        <v>0</v>
      </c>
      <c r="CA23" s="357">
        <f ca="1">IF(L23&lt;&gt;0,tTrunc(L23+_ВКВ1/_КВ2Скорость/24),tTrunc(K23+_ВКВ1/_КВ2Скорость/24))</f>
        <v>0.59097224473953247</v>
      </c>
      <c r="CB23" s="358">
        <f t="shared" ca="1" si="67"/>
        <v>0.58888888888888891</v>
      </c>
      <c r="CC23" s="358">
        <f>ROUNDUP(tInt(_ВКВ1/_КВ2Скорость/24)/10,0)/1440</f>
        <v>8.3333333333333332E-3</v>
      </c>
      <c r="CD23" s="359" t="str">
        <f ca="1">IF(AND(CB23&lt;&gt;0,CA23&lt;&gt;0),tpm(CB23,CA23),"")</f>
        <v>-</v>
      </c>
      <c r="CE23" s="358">
        <f ca="1">IF(CB23&lt;&gt;0,tDiff(CB23,CA23), 0)</f>
        <v>2.0833611488342285E-3</v>
      </c>
      <c r="CF23" s="361">
        <f ca="1">IF(CB23&lt;&gt;0,IF(CD23="+",0,IF(CE23&gt;CC23,tInt(CE23-CC23)*опережениеКВ,0)),пропускКВ)</f>
        <v>0</v>
      </c>
    </row>
    <row r="24" spans="1:84" s="22" customFormat="1" x14ac:dyDescent="0.25">
      <c r="A24" s="587">
        <f>стартоваяВедомость!B25</f>
        <v>15</v>
      </c>
      <c r="B24" s="381" t="str">
        <f t="shared" ca="1" si="0"/>
        <v>Chevrolet Aveo</v>
      </c>
      <c r="C24" s="381" t="str">
        <f t="shared" ca="1" si="1"/>
        <v>Шкредов Артём</v>
      </c>
      <c r="D24" s="381" t="str">
        <f t="shared" ca="1" si="2"/>
        <v>Шкапин Павел</v>
      </c>
      <c r="E24" s="381" t="str">
        <f t="shared" ca="1" si="3"/>
        <v>Смоленск</v>
      </c>
      <c r="F24" s="381" t="str">
        <f t="shared" ca="1" si="4"/>
        <v>Light</v>
      </c>
      <c r="G24" s="382">
        <f t="shared" ca="1" si="37"/>
        <v>6685.6</v>
      </c>
      <c r="H24" s="382">
        <f t="shared" ca="1" si="38"/>
        <v>3600</v>
      </c>
      <c r="I24" s="382">
        <f t="shared" ca="1" si="39"/>
        <v>2785.6</v>
      </c>
      <c r="J24" s="382">
        <f t="shared" ca="1" si="40"/>
        <v>300</v>
      </c>
      <c r="K24" s="383">
        <f t="shared" ca="1" si="6"/>
        <v>0.51041666666666663</v>
      </c>
      <c r="L24" s="152">
        <f t="shared" ca="1" si="41"/>
        <v>0.51041666666666663</v>
      </c>
      <c r="M24" s="384" t="str">
        <f ca="1">IF(L24&lt;&gt;0,tpm(L24,K24),"")</f>
        <v/>
      </c>
      <c r="N24" s="152">
        <f ca="1">IF(L24&lt;&gt;0,tDiff(L24,K24), 0)</f>
        <v>0</v>
      </c>
      <c r="O24" s="385">
        <f ca="1">IF(L24&lt;&gt;0,IF(M24="+",MIN(tInt(N24)*опережениеКВ,пределКВ),tInt(N24)*опережениеКВ),"DNS")</f>
        <v>0</v>
      </c>
      <c r="P24" s="152">
        <f t="shared" si="8"/>
        <v>8.3333335816860199E-2</v>
      </c>
      <c r="Q24" s="152">
        <f t="shared" ca="1" si="42"/>
        <v>0</v>
      </c>
      <c r="R24" s="383">
        <f t="shared" ca="1" si="43"/>
        <v>0.59375000248352683</v>
      </c>
      <c r="S24" s="152">
        <f t="shared" ca="1" si="44"/>
        <v>0</v>
      </c>
      <c r="T24" s="384" t="str">
        <f ca="1">IF(S24&lt;&gt;0,tpm(S24,R24),"")</f>
        <v/>
      </c>
      <c r="U24" s="152">
        <f ca="1">IF(S24&lt;&gt;0,tDiff(S24,R24), 0)</f>
        <v>0</v>
      </c>
      <c r="V24" s="385">
        <f ca="1">IF(S24&lt;&gt;0,IF(T24="+",MIN(MAX(tInt(U24-Q24),0)*опережениеКВ,пределКВ),tInt(U24)*опережениеКВ),пропускКВ)</f>
        <v>900</v>
      </c>
      <c r="W24" s="152">
        <f t="shared" si="11"/>
        <v>8.3333335816860199E-2</v>
      </c>
      <c r="X24" s="152">
        <f t="shared" ca="1" si="45"/>
        <v>0</v>
      </c>
      <c r="Y24" s="152">
        <f t="shared" ca="1" si="46"/>
        <v>0</v>
      </c>
      <c r="Z24" s="383">
        <f t="shared" ca="1" si="47"/>
        <v>0.67708333830038703</v>
      </c>
      <c r="AA24" s="152">
        <f t="shared" ca="1" si="48"/>
        <v>0.67499999999999993</v>
      </c>
      <c r="AB24" s="384" t="str">
        <f ca="1">IF(AA24&lt;&gt;0,tpm(AA24,Z24),"")</f>
        <v>-</v>
      </c>
      <c r="AC24" s="152">
        <f ca="1">IF(AA24&lt;&gt;0,tDiff(AA24,Z24), 0)</f>
        <v>2.0833015441894531E-3</v>
      </c>
      <c r="AD24" s="385">
        <f ca="1">IF(AA24&lt;&gt;0,IF(AB24="+",MIN(MAX(tInt(AC24-Y24),0)*опережениеКВ,пределКВ),IF(tInt(AC24)&lt;=ROUNDUP(tInt(W24)*0.1,0),0,(tInt(AC24)-ROUNDUP(tInt(W24)*0.1,0))*опережениеКВ)),"DNF")</f>
        <v>0</v>
      </c>
      <c r="AE24" s="383">
        <f t="shared" ca="1" si="14"/>
        <v>0</v>
      </c>
      <c r="AF24" s="152">
        <f t="shared" ca="1" si="49"/>
        <v>0.53541666666666665</v>
      </c>
      <c r="AG24" s="152">
        <f ca="1">IF(OR(AE24=0,AF24=0),0,tDiff(AF24,AE24))</f>
        <v>0</v>
      </c>
      <c r="AH24" s="386">
        <f t="shared" ca="1" si="50"/>
        <v>0.54780092592592589</v>
      </c>
      <c r="AI24" s="386">
        <f t="shared" ca="1" si="17"/>
        <v>0.54475694444444445</v>
      </c>
      <c r="AJ24" s="380" t="str">
        <f ca="1">IF(AI24&lt;&gt;0,tpm(AI24,AH24,"s"),"")</f>
        <v>-</v>
      </c>
      <c r="AK24" s="386">
        <f ca="1">IF(AI24&lt;&gt;0,tDiff(AI24,AH24,"s"), 0)</f>
        <v>3.0439496040344238E-3</v>
      </c>
      <c r="AL24" s="387">
        <f ca="1">IF(AI24=0,пропускСФ,MIN(tInt(AK24,"s")*отклонениеРД,пределРД))</f>
        <v>263</v>
      </c>
      <c r="AM24" s="388">
        <f t="shared" ca="1" si="51"/>
        <v>0.54833333333333334</v>
      </c>
      <c r="AN24" s="386">
        <f t="shared" ca="1" si="18"/>
        <v>0.54775462962962962</v>
      </c>
      <c r="AO24" s="384" t="str">
        <f ca="1">IF(AND(AM24&lt;&gt;0,AN24&lt;&gt;0),tpm(AN24,AM24,"s"),"")</f>
        <v>-</v>
      </c>
      <c r="AP24" s="386">
        <f ca="1">IF(AND(AM24&lt;&gt;0,AN24&lt;&gt;0),tDiff(AN24,AM24,"s"), 0)</f>
        <v>5.7870149612426758E-4</v>
      </c>
      <c r="AQ24" s="387">
        <f ca="1">IF(AM24=0,0,IF(AN24=0,пропускДС,MIN(tInt(AP24,"s")*отклонениеРД,пределРД)))</f>
        <v>50</v>
      </c>
      <c r="AR24" s="383">
        <f t="shared" ca="1" si="19"/>
        <v>0</v>
      </c>
      <c r="AS24" s="152">
        <f t="shared" ca="1" si="52"/>
        <v>0</v>
      </c>
      <c r="AT24" s="152">
        <f t="shared" ca="1" si="53"/>
        <v>0</v>
      </c>
      <c r="AU24" s="389">
        <f t="shared" ca="1" si="54"/>
        <v>19.2</v>
      </c>
      <c r="AV24" s="389">
        <f t="shared" ca="1" si="55"/>
        <v>0</v>
      </c>
      <c r="AW24" s="389">
        <f t="shared" ca="1" si="56"/>
        <v>1</v>
      </c>
      <c r="AX24" s="384">
        <f t="shared" ca="1" si="57"/>
        <v>0</v>
      </c>
      <c r="AY24" s="384">
        <f t="shared" ca="1" si="58"/>
        <v>0</v>
      </c>
      <c r="AZ24" s="387">
        <f t="shared" ca="1" si="23"/>
        <v>72.599999999999994</v>
      </c>
      <c r="BA24" s="383">
        <f t="shared" ca="1" si="24"/>
        <v>0</v>
      </c>
      <c r="BB24" s="152">
        <f t="shared" ca="1" si="59"/>
        <v>0.61875000000000002</v>
      </c>
      <c r="BC24" s="152">
        <f ca="1">IF(OR(BA24=0,BB24=0),0,tDiff(BB24,BA24))</f>
        <v>0</v>
      </c>
      <c r="BD24" s="386">
        <f t="shared" ca="1" si="60"/>
        <v>0.62729166666666669</v>
      </c>
      <c r="BE24" s="386">
        <f t="shared" ca="1" si="27"/>
        <v>0.63942129629629629</v>
      </c>
      <c r="BF24" s="380" t="str">
        <f ca="1">IF(BE24&lt;&gt;0,tpm(BE24,BD24,"s"),"")</f>
        <v>+</v>
      </c>
      <c r="BG24" s="386">
        <f ca="1">IF(BE24&lt;&gt;0,tDiff(BE24,BD24,"s"), 0)</f>
        <v>1.2129604816436768E-2</v>
      </c>
      <c r="BH24" s="387">
        <f ca="1">IF(BE24=0,пропускСФ,MIN(tInt(BG24,"s")*отклонениеРД,пределРД))</f>
        <v>600</v>
      </c>
      <c r="BI24" s="388">
        <f t="shared" ca="1" si="61"/>
        <v>0.65059027777777778</v>
      </c>
      <c r="BJ24" s="386">
        <f t="shared" ca="1" si="28"/>
        <v>0</v>
      </c>
      <c r="BK24" s="384" t="str">
        <f ca="1">IF(BJ24&lt;&gt;0,tpm(BJ24,BI24,"s"),"")</f>
        <v/>
      </c>
      <c r="BL24" s="386">
        <f ca="1">IF(BJ24&lt;&gt;0,tDiff(BJ24,BI24,"s"), 0)</f>
        <v>0</v>
      </c>
      <c r="BM24" s="387">
        <f ca="1">IF(BJ24=0,пропускСФ,MIN(tInt(BL24,"s")*отклонениеРД,пределРД))</f>
        <v>1800</v>
      </c>
      <c r="BN24" s="388">
        <f t="shared" ca="1" si="62"/>
        <v>0</v>
      </c>
      <c r="BO24" s="386">
        <f t="shared" ca="1" si="29"/>
        <v>0.64870370370370367</v>
      </c>
      <c r="BP24" s="384" t="str">
        <f ca="1">IF(AND(BO24&lt;&gt;0,BN24&lt;&gt;0),tpm(BO24,BN24,"s"),"")</f>
        <v/>
      </c>
      <c r="BQ24" s="386">
        <f ca="1">IF(AND(BO24&lt;&gt;0,BN24&lt;&gt;0),tDiff(BO24,BN24,"s"), 0)</f>
        <v>0</v>
      </c>
      <c r="BR24" s="387">
        <f ca="1">IF(BN24=0,0,IF(BO24=0,пропускДС,MIN(tInt(BQ24,"s")*отклонениеРД,пределРД)))</f>
        <v>0</v>
      </c>
      <c r="BS24" s="390" t="str">
        <f t="shared" ca="1" si="30"/>
        <v>ДС-3 СФ, изменения направления движения, не предписанное ДК, в зоне действия судейского пункта</v>
      </c>
      <c r="BT24" s="387">
        <f t="shared" ca="1" si="63"/>
        <v>300</v>
      </c>
      <c r="BU24" s="383">
        <f t="shared" ca="1" si="32"/>
        <v>0</v>
      </c>
      <c r="BV24" s="391">
        <f t="shared" ca="1" si="64"/>
        <v>900</v>
      </c>
      <c r="BW24" s="383">
        <f t="shared" ca="1" si="34"/>
        <v>0</v>
      </c>
      <c r="BX24" s="391">
        <f t="shared" ca="1" si="65"/>
        <v>900</v>
      </c>
      <c r="BY24" s="383">
        <f t="shared" ca="1" si="34"/>
        <v>0</v>
      </c>
      <c r="BZ24" s="391">
        <f t="shared" ca="1" si="66"/>
        <v>900</v>
      </c>
      <c r="CA24" s="383">
        <f ca="1">IF(L24&lt;&gt;0,tTrunc(L24+_ВКВ1/_КВ2Скорость/24),tTrunc(K24+_ВКВ1/_КВ2Скорость/24))</f>
        <v>0.59166663885116577</v>
      </c>
      <c r="CB24" s="152">
        <f t="shared" ca="1" si="67"/>
        <v>0.59305555555555556</v>
      </c>
      <c r="CC24" s="152">
        <f>ROUNDUP(tInt(_ВКВ1/_КВ2Скорость/24)/10,0)/1440</f>
        <v>8.3333333333333332E-3</v>
      </c>
      <c r="CD24" s="384" t="str">
        <f ca="1">IF(AND(CB24&lt;&gt;0,CA24&lt;&gt;0),tpm(CB24,CA24),"")</f>
        <v>+</v>
      </c>
      <c r="CE24" s="152">
        <f ca="1">IF(CB24&lt;&gt;0,tDiff(CB24,CA24), 0)</f>
        <v>1.3889074325561523E-3</v>
      </c>
      <c r="CF24" s="391">
        <f ca="1">IF(CB24&lt;&gt;0,IF(CD24="+",0,IF(CE24&gt;CC24,tInt(CE24-CC24)*опережениеКВ,0)),пропускКВ)</f>
        <v>0</v>
      </c>
    </row>
    <row r="25" spans="1:84" s="367" customFormat="1" x14ac:dyDescent="0.25">
      <c r="A25" s="586">
        <f>стартоваяВедомость!B26</f>
        <v>16</v>
      </c>
      <c r="B25" s="355" t="str">
        <f t="shared" ca="1" si="0"/>
        <v>Шевроле Нива</v>
      </c>
      <c r="C25" s="355" t="str">
        <f t="shared" ca="1" si="1"/>
        <v>Овчинникова Наталья</v>
      </c>
      <c r="D25" s="355" t="str">
        <f t="shared" ca="1" si="2"/>
        <v>Жаров Евгений</v>
      </c>
      <c r="E25" s="355" t="str">
        <f t="shared" ca="1" si="3"/>
        <v>Смоленск</v>
      </c>
      <c r="F25" s="355" t="str">
        <f t="shared" ca="1" si="4"/>
        <v>Light</v>
      </c>
      <c r="G25" s="356">
        <f t="shared" ca="1" si="37"/>
        <v>3248.1</v>
      </c>
      <c r="H25" s="356">
        <f t="shared" ca="1" si="38"/>
        <v>900</v>
      </c>
      <c r="I25" s="356">
        <f t="shared" ca="1" si="39"/>
        <v>1118.0999999999999</v>
      </c>
      <c r="J25" s="356">
        <f t="shared" ca="1" si="40"/>
        <v>1230</v>
      </c>
      <c r="K25" s="357">
        <f t="shared" ca="1" si="6"/>
        <v>0.51111111111111107</v>
      </c>
      <c r="L25" s="358">
        <f t="shared" ca="1" si="41"/>
        <v>0.51111111111111118</v>
      </c>
      <c r="M25" s="359" t="str">
        <f ca="1">IF(L25&lt;&gt;0,tpm(L25,K25),"")</f>
        <v/>
      </c>
      <c r="N25" s="358">
        <f ca="1">IF(L25&lt;&gt;0,tDiff(L25,K25), 0)</f>
        <v>0</v>
      </c>
      <c r="O25" s="360">
        <f ca="1">IF(L25&lt;&gt;0,IF(M25="+",MIN(tInt(N25)*опережениеКВ,пределКВ),tInt(N25)*опережениеКВ),"DNS")</f>
        <v>0</v>
      </c>
      <c r="P25" s="358">
        <f t="shared" si="8"/>
        <v>8.3333335816860199E-2</v>
      </c>
      <c r="Q25" s="358">
        <f t="shared" ca="1" si="42"/>
        <v>0</v>
      </c>
      <c r="R25" s="357">
        <f t="shared" ca="1" si="43"/>
        <v>0.59444444692797138</v>
      </c>
      <c r="S25" s="358">
        <f t="shared" ca="1" si="44"/>
        <v>0</v>
      </c>
      <c r="T25" s="359" t="str">
        <f ca="1">IF(S25&lt;&gt;0,tpm(S25,R25),"")</f>
        <v/>
      </c>
      <c r="U25" s="358">
        <f ca="1">IF(S25&lt;&gt;0,tDiff(S25,R25), 0)</f>
        <v>0</v>
      </c>
      <c r="V25" s="360">
        <f ca="1">IF(S25&lt;&gt;0,IF(T25="+",MIN(MAX(tInt(U25-Q25),0)*опережениеКВ,пределКВ),tInt(U25)*опережениеКВ),пропускКВ)</f>
        <v>900</v>
      </c>
      <c r="W25" s="358">
        <f t="shared" si="11"/>
        <v>8.3333335816860199E-2</v>
      </c>
      <c r="X25" s="358">
        <f t="shared" ca="1" si="45"/>
        <v>2.1527777777777812E-2</v>
      </c>
      <c r="Y25" s="358">
        <f t="shared" ca="1" si="46"/>
        <v>2.1527777777777812E-2</v>
      </c>
      <c r="Z25" s="357">
        <f t="shared" ca="1" si="47"/>
        <v>0.67777778274483158</v>
      </c>
      <c r="AA25" s="358">
        <f t="shared" ca="1" si="48"/>
        <v>0.68611111111111101</v>
      </c>
      <c r="AB25" s="359" t="str">
        <f ca="1">IF(AA25&lt;&gt;0,tpm(AA25,Z25),"")</f>
        <v>+</v>
      </c>
      <c r="AC25" s="358">
        <f ca="1">IF(AA25&lt;&gt;0,tDiff(AA25,Z25), 0)</f>
        <v>8.3333253860473633E-3</v>
      </c>
      <c r="AD25" s="360">
        <f ca="1">IF(AA25&lt;&gt;0,IF(AB25="+",MIN(MAX(tInt(AC25-Y25),0)*опережениеКВ,пределКВ),IF(tInt(AC25)&lt;=ROUNDUP(tInt(W25)*0.1,0),0,(tInt(AC25)-ROUNDUP(tInt(W25)*0.1,0))*опережениеКВ)),"DNF")</f>
        <v>0</v>
      </c>
      <c r="AE25" s="357">
        <f t="shared" ca="1" si="14"/>
        <v>0</v>
      </c>
      <c r="AF25" s="358">
        <f t="shared" ca="1" si="49"/>
        <v>0.54305555555555551</v>
      </c>
      <c r="AG25" s="358">
        <f ca="1">IF(OR(AE25=0,AF25=0),0,tDiff(AF25,AE25))</f>
        <v>0</v>
      </c>
      <c r="AH25" s="362">
        <f t="shared" ca="1" si="50"/>
        <v>0.55543981481481475</v>
      </c>
      <c r="AI25" s="362">
        <f t="shared" ca="1" si="17"/>
        <v>0.5549074074074074</v>
      </c>
      <c r="AJ25" s="354" t="str">
        <f ca="1">IF(AI25&lt;&gt;0,tpm(AI25,AH25,"s"),"")</f>
        <v>-</v>
      </c>
      <c r="AK25" s="362">
        <f ca="1">IF(AI25&lt;&gt;0,tDiff(AI25,AH25,"s"), 0)</f>
        <v>5.3244829177856445E-4</v>
      </c>
      <c r="AL25" s="363">
        <f ca="1">IF(AI25=0,пропускСФ,MIN(tInt(AK25,"s")*отклонениеРД,пределРД))</f>
        <v>46</v>
      </c>
      <c r="AM25" s="364">
        <f t="shared" ca="1" si="51"/>
        <v>0.5584837962962963</v>
      </c>
      <c r="AN25" s="362">
        <f t="shared" ca="1" si="18"/>
        <v>0.55960648148148151</v>
      </c>
      <c r="AO25" s="359" t="str">
        <f ca="1">IF(AND(AM25&lt;&gt;0,AN25&lt;&gt;0),tpm(AN25,AM25,"s"),"")</f>
        <v>+</v>
      </c>
      <c r="AP25" s="362">
        <f ca="1">IF(AND(AM25&lt;&gt;0,AN25&lt;&gt;0),tDiff(AN25,AM25,"s"), 0)</f>
        <v>1.1227130889892578E-3</v>
      </c>
      <c r="AQ25" s="363">
        <f ca="1">IF(AM25=0,0,IF(AN25=0,пропускДС,MIN(tInt(AP25,"s")*отклонениеРД,пределРД)))</f>
        <v>97</v>
      </c>
      <c r="AR25" s="357">
        <f t="shared" ca="1" si="19"/>
        <v>0.60416666666666663</v>
      </c>
      <c r="AS25" s="358">
        <f t="shared" ca="1" si="52"/>
        <v>0.62569444444444444</v>
      </c>
      <c r="AT25" s="358">
        <f t="shared" ca="1" si="53"/>
        <v>2.1527777777777812E-2</v>
      </c>
      <c r="AU25" s="365">
        <f t="shared" ca="1" si="54"/>
        <v>102.7</v>
      </c>
      <c r="AV25" s="365">
        <f t="shared" ca="1" si="55"/>
        <v>0</v>
      </c>
      <c r="AW25" s="365">
        <f t="shared" ca="1" si="56"/>
        <v>0</v>
      </c>
      <c r="AX25" s="359">
        <f t="shared" ca="1" si="57"/>
        <v>0</v>
      </c>
      <c r="AY25" s="359">
        <f t="shared" ca="1" si="58"/>
        <v>0</v>
      </c>
      <c r="AZ25" s="363">
        <f t="shared" ca="1" si="23"/>
        <v>308.10000000000002</v>
      </c>
      <c r="BA25" s="357">
        <f t="shared" ca="1" si="24"/>
        <v>0</v>
      </c>
      <c r="BB25" s="358">
        <f t="shared" ca="1" si="59"/>
        <v>0.63263888888888886</v>
      </c>
      <c r="BC25" s="358">
        <f ca="1">IF(OR(BA25=0,BB25=0),0,tDiff(BB25,BA25))</f>
        <v>0</v>
      </c>
      <c r="BD25" s="362">
        <f t="shared" ca="1" si="60"/>
        <v>0.64118055555555553</v>
      </c>
      <c r="BE25" s="362">
        <f t="shared" ca="1" si="27"/>
        <v>0.64065972222222223</v>
      </c>
      <c r="BF25" s="354" t="str">
        <f ca="1">IF(BE25&lt;&gt;0,tpm(BE25,BD25,"s"),"")</f>
        <v>-</v>
      </c>
      <c r="BG25" s="362">
        <f ca="1">IF(BE25&lt;&gt;0,tDiff(BE25,BD25,"s"), 0)</f>
        <v>5.2082538604736328E-4</v>
      </c>
      <c r="BH25" s="363">
        <f ca="1">IF(BE25=0,пропускСФ,MIN(tInt(BG25,"s")*отклонениеРД,пределРД))</f>
        <v>45</v>
      </c>
      <c r="BI25" s="364">
        <f t="shared" ca="1" si="61"/>
        <v>0.65182870370370372</v>
      </c>
      <c r="BJ25" s="362">
        <f t="shared" ca="1" si="28"/>
        <v>0.66182870370370372</v>
      </c>
      <c r="BK25" s="359" t="str">
        <f ca="1">IF(BJ25&lt;&gt;0,tpm(BJ25,BI25,"s"),"")</f>
        <v>+</v>
      </c>
      <c r="BL25" s="362">
        <f ca="1">IF(BJ25&lt;&gt;0,tDiff(BJ25,BI25,"s"), 0)</f>
        <v>9.9999904632568359E-3</v>
      </c>
      <c r="BM25" s="363">
        <f ca="1">IF(BJ25=0,пропускСФ,MIN(tInt(BL25,"s")*отклонениеРД,пределРД))</f>
        <v>600</v>
      </c>
      <c r="BN25" s="364">
        <f t="shared" ca="1" si="62"/>
        <v>0.67318287037037039</v>
      </c>
      <c r="BO25" s="362">
        <f t="shared" ca="1" si="29"/>
        <v>0.67292824074074076</v>
      </c>
      <c r="BP25" s="359" t="str">
        <f ca="1">IF(AND(BO25&lt;&gt;0,BN25&lt;&gt;0),tpm(BO25,BN25,"s"),"")</f>
        <v>-</v>
      </c>
      <c r="BQ25" s="362">
        <f ca="1">IF(AND(BO25&lt;&gt;0,BN25&lt;&gt;0),tDiff(BO25,BN25,"s"), 0)</f>
        <v>2.5463104248046875E-4</v>
      </c>
      <c r="BR25" s="363">
        <f ca="1">IF(BN25=0,0,IF(BO25=0,пропускДС,MIN(tInt(BQ25,"s")*отклонениеРД,пределРД)))</f>
        <v>22</v>
      </c>
      <c r="BS25" s="366" t="str">
        <f t="shared" ca="1" si="30"/>
        <v>ДС-3 фальстарт (30), остановка Финиш ДС-1 (300), нарушение порядка прохождения судейских пунктов на ДС-3 (600), ДС-3 СФ остановка в зоне действия судейского пункта (300)</v>
      </c>
      <c r="BT25" s="363">
        <f t="shared" ca="1" si="63"/>
        <v>1230</v>
      </c>
      <c r="BU25" s="357">
        <f t="shared" ca="1" si="32"/>
        <v>0.52777777777777779</v>
      </c>
      <c r="BV25" s="361">
        <f t="shared" ca="1" si="64"/>
        <v>0</v>
      </c>
      <c r="BW25" s="357">
        <f t="shared" ca="1" si="34"/>
        <v>0.53055555555555556</v>
      </c>
      <c r="BX25" s="361">
        <f t="shared" ca="1" si="65"/>
        <v>0</v>
      </c>
      <c r="BY25" s="357">
        <f t="shared" ca="1" si="34"/>
        <v>0.58819444444444446</v>
      </c>
      <c r="BZ25" s="361">
        <f t="shared" ca="1" si="66"/>
        <v>0</v>
      </c>
      <c r="CA25" s="357">
        <f ca="1">IF(L25&lt;&gt;0,tTrunc(L25+_ВКВ1/_КВ2Скорость/24),tTrunc(K25+_ВКВ1/_КВ2Скорость/24))</f>
        <v>0.59236109256744385</v>
      </c>
      <c r="CB25" s="358">
        <f t="shared" ca="1" si="67"/>
        <v>0.59722222222222221</v>
      </c>
      <c r="CC25" s="358">
        <f>ROUNDUP(tInt(_ВКВ1/_КВ2Скорость/24)/10,0)/1440</f>
        <v>8.3333333333333332E-3</v>
      </c>
      <c r="CD25" s="359" t="str">
        <f ca="1">IF(AND(CB25&lt;&gt;0,CA25&lt;&gt;0),tpm(CB25,CA25),"")</f>
        <v>+</v>
      </c>
      <c r="CE25" s="358">
        <f ca="1">IF(CB25&lt;&gt;0,tDiff(CB25,CA25), 0)</f>
        <v>4.8611164093017578E-3</v>
      </c>
      <c r="CF25" s="361">
        <f ca="1">IF(CB25&lt;&gt;0,IF(CD25="+",0,IF(CE25&gt;CC25,tInt(CE25-CC25)*опережениеКВ,0)),пропускКВ)</f>
        <v>0</v>
      </c>
    </row>
    <row r="26" spans="1:84" s="22" customFormat="1" x14ac:dyDescent="0.25">
      <c r="A26" s="587">
        <f>стартоваяВедомость!B27</f>
        <v>17</v>
      </c>
      <c r="B26" s="381" t="str">
        <f t="shared" ca="1" si="0"/>
        <v>suzuki jimni</v>
      </c>
      <c r="C26" s="381" t="str">
        <f t="shared" ca="1" si="1"/>
        <v>Подгаева Александра</v>
      </c>
      <c r="D26" s="381" t="str">
        <f t="shared" ca="1" si="2"/>
        <v>Максимова Людмила</v>
      </c>
      <c r="E26" s="381" t="str">
        <f t="shared" ca="1" si="3"/>
        <v>Смоленск / Ярцево</v>
      </c>
      <c r="F26" s="381" t="str">
        <f t="shared" ca="1" si="4"/>
        <v>Light</v>
      </c>
      <c r="G26" s="382">
        <f t="shared" ca="1" si="37"/>
        <v>2330</v>
      </c>
      <c r="H26" s="382">
        <f t="shared" ca="1" si="38"/>
        <v>900</v>
      </c>
      <c r="I26" s="382">
        <f t="shared" ca="1" si="39"/>
        <v>1430</v>
      </c>
      <c r="J26" s="382">
        <f t="shared" ca="1" si="40"/>
        <v>0</v>
      </c>
      <c r="K26" s="383">
        <f t="shared" ca="1" si="6"/>
        <v>0.51180555555555551</v>
      </c>
      <c r="L26" s="152">
        <f t="shared" ca="1" si="41"/>
        <v>0.51180555555555551</v>
      </c>
      <c r="M26" s="384" t="str">
        <f ca="1">IF(L26&lt;&gt;0,tpm(L26,K26),"")</f>
        <v/>
      </c>
      <c r="N26" s="152">
        <f ca="1">IF(L26&lt;&gt;0,tDiff(L26,K26), 0)</f>
        <v>0</v>
      </c>
      <c r="O26" s="385">
        <f ca="1">IF(L26&lt;&gt;0,IF(M26="+",MIN(tInt(N26)*опережениеКВ,пределКВ),tInt(N26)*опережениеКВ),"DNS")</f>
        <v>0</v>
      </c>
      <c r="P26" s="152">
        <f t="shared" si="8"/>
        <v>8.3333335816860199E-2</v>
      </c>
      <c r="Q26" s="152">
        <f t="shared" ca="1" si="42"/>
        <v>0</v>
      </c>
      <c r="R26" s="383">
        <f t="shared" ca="1" si="43"/>
        <v>0.59513889137241571</v>
      </c>
      <c r="S26" s="152">
        <f t="shared" ca="1" si="44"/>
        <v>0</v>
      </c>
      <c r="T26" s="384" t="str">
        <f ca="1">IF(S26&lt;&gt;0,tpm(S26,R26),"")</f>
        <v/>
      </c>
      <c r="U26" s="152">
        <f ca="1">IF(S26&lt;&gt;0,tDiff(S26,R26), 0)</f>
        <v>0</v>
      </c>
      <c r="V26" s="385">
        <f ca="1">IF(S26&lt;&gt;0,IF(T26="+",MIN(MAX(tInt(U26-Q26),0)*опережениеКВ,пределКВ),tInt(U26)*опережениеКВ),пропускКВ)</f>
        <v>900</v>
      </c>
      <c r="W26" s="152">
        <f t="shared" si="11"/>
        <v>8.3333335816860199E-2</v>
      </c>
      <c r="X26" s="152">
        <f t="shared" ca="1" si="45"/>
        <v>1.5972222222222165E-2</v>
      </c>
      <c r="Y26" s="152">
        <f t="shared" ca="1" si="46"/>
        <v>1.5972222222222165E-2</v>
      </c>
      <c r="Z26" s="383">
        <f t="shared" ca="1" si="47"/>
        <v>0.67847222718927591</v>
      </c>
      <c r="AA26" s="152">
        <f t="shared" ca="1" si="48"/>
        <v>0.68611111111111101</v>
      </c>
      <c r="AB26" s="384" t="str">
        <f ca="1">IF(AA26&lt;&gt;0,tpm(AA26,Z26),"")</f>
        <v>+</v>
      </c>
      <c r="AC26" s="152">
        <f ca="1">IF(AA26&lt;&gt;0,tDiff(AA26,Z26), 0)</f>
        <v>7.6388716697692871E-3</v>
      </c>
      <c r="AD26" s="385">
        <f ca="1">IF(AA26&lt;&gt;0,IF(AB26="+",MIN(MAX(tInt(AC26-Y26),0)*опережениеКВ,пределКВ),IF(tInt(AC26)&lt;=ROUNDUP(tInt(W26)*0.1,0),0,(tInt(AC26)-ROUNDUP(tInt(W26)*0.1,0))*опережениеКВ)),"DNF")</f>
        <v>0</v>
      </c>
      <c r="AE26" s="383">
        <f t="shared" ca="1" si="14"/>
        <v>0</v>
      </c>
      <c r="AF26" s="152">
        <f t="shared" ca="1" si="49"/>
        <v>0.54375000000000007</v>
      </c>
      <c r="AG26" s="152">
        <f ca="1">IF(OR(AE26=0,AF26=0),0,tDiff(AF26,AE26))</f>
        <v>0</v>
      </c>
      <c r="AH26" s="386">
        <f t="shared" ca="1" si="50"/>
        <v>0.5561342592592593</v>
      </c>
      <c r="AI26" s="386">
        <f t="shared" ca="1" si="17"/>
        <v>0.55494212962962963</v>
      </c>
      <c r="AJ26" s="380" t="str">
        <f ca="1">IF(AI26&lt;&gt;0,tpm(AI26,AH26,"s"),"")</f>
        <v>-</v>
      </c>
      <c r="AK26" s="386">
        <f ca="1">IF(AI26&lt;&gt;0,tDiff(AI26,AH26,"s"), 0)</f>
        <v>1.1921525001525879E-3</v>
      </c>
      <c r="AL26" s="387">
        <f ca="1">IF(AI26=0,пропускСФ,MIN(tInt(AK26,"s")*отклонениеРД,пределРД))</f>
        <v>103</v>
      </c>
      <c r="AM26" s="388">
        <f t="shared" ca="1" si="51"/>
        <v>0.55851851851851853</v>
      </c>
      <c r="AN26" s="386">
        <f t="shared" ca="1" si="18"/>
        <v>0.55966435185185182</v>
      </c>
      <c r="AO26" s="384" t="str">
        <f ca="1">IF(AND(AM26&lt;&gt;0,AN26&lt;&gt;0),tpm(AN26,AM26,"s"),"")</f>
        <v>+</v>
      </c>
      <c r="AP26" s="386">
        <f ca="1">IF(AND(AM26&lt;&gt;0,AN26&lt;&gt;0),tDiff(AN26,AM26,"s"), 0)</f>
        <v>1.1458396911621094E-3</v>
      </c>
      <c r="AQ26" s="387">
        <f ca="1">IF(AM26=0,0,IF(AN26=0,пропускДС,MIN(tInt(AP26,"s")*отклонениеРД,пределРД)))</f>
        <v>99</v>
      </c>
      <c r="AR26" s="383">
        <f t="shared" ca="1" si="19"/>
        <v>0.61111111111111105</v>
      </c>
      <c r="AS26" s="152">
        <f t="shared" ca="1" si="52"/>
        <v>0.62708333333333333</v>
      </c>
      <c r="AT26" s="152">
        <f t="shared" ca="1" si="53"/>
        <v>1.5972222222222165E-2</v>
      </c>
      <c r="AU26" s="389">
        <f t="shared" ca="1" si="54"/>
        <v>67</v>
      </c>
      <c r="AV26" s="389">
        <f t="shared" ca="1" si="55"/>
        <v>0</v>
      </c>
      <c r="AW26" s="389">
        <f t="shared" ca="1" si="56"/>
        <v>0</v>
      </c>
      <c r="AX26" s="384">
        <f t="shared" ca="1" si="57"/>
        <v>0</v>
      </c>
      <c r="AY26" s="384">
        <f t="shared" ca="1" si="58"/>
        <v>0</v>
      </c>
      <c r="AZ26" s="387">
        <f t="shared" ca="1" si="23"/>
        <v>201</v>
      </c>
      <c r="BA26" s="383">
        <f t="shared" ca="1" si="24"/>
        <v>0</v>
      </c>
      <c r="BB26" s="152">
        <f t="shared" ca="1" si="59"/>
        <v>0.6333333333333333</v>
      </c>
      <c r="BC26" s="152">
        <f ca="1">IF(OR(BA26=0,BB26=0),0,tDiff(BB26,BA26))</f>
        <v>0</v>
      </c>
      <c r="BD26" s="386">
        <f t="shared" ca="1" si="60"/>
        <v>0.64187499999999997</v>
      </c>
      <c r="BE26" s="386">
        <f t="shared" ca="1" si="27"/>
        <v>0.64962962962962967</v>
      </c>
      <c r="BF26" s="380" t="str">
        <f ca="1">IF(BE26&lt;&gt;0,tpm(BE26,BD26,"s"),"")</f>
        <v>+</v>
      </c>
      <c r="BG26" s="386">
        <f ca="1">IF(BE26&lt;&gt;0,tDiff(BE26,BD26,"s"), 0)</f>
        <v>7.7546238899230957E-3</v>
      </c>
      <c r="BH26" s="387">
        <f ca="1">IF(BE26=0,пропускСФ,MIN(tInt(BG26,"s")*отклонениеРД,пределРД))</f>
        <v>600</v>
      </c>
      <c r="BI26" s="388">
        <f t="shared" ca="1" si="61"/>
        <v>0.66079861111111116</v>
      </c>
      <c r="BJ26" s="386">
        <f t="shared" ca="1" si="28"/>
        <v>0.66417824074074072</v>
      </c>
      <c r="BK26" s="384" t="str">
        <f ca="1">IF(BJ26&lt;&gt;0,tpm(BJ26,BI26,"s"),"")</f>
        <v>+</v>
      </c>
      <c r="BL26" s="386">
        <f ca="1">IF(BJ26&lt;&gt;0,tDiff(BJ26,BI26,"s"), 0)</f>
        <v>3.3796429634094238E-3</v>
      </c>
      <c r="BM26" s="387">
        <f ca="1">IF(BJ26=0,пропускСФ,MIN(tInt(BL26,"s")*отклонениеРД,пределРД))</f>
        <v>292</v>
      </c>
      <c r="BN26" s="388">
        <f t="shared" ca="1" si="62"/>
        <v>0.67553240740740739</v>
      </c>
      <c r="BO26" s="386">
        <f t="shared" ca="1" si="29"/>
        <v>0.67396990740740748</v>
      </c>
      <c r="BP26" s="384" t="str">
        <f ca="1">IF(AND(BO26&lt;&gt;0,BN26&lt;&gt;0),tpm(BO26,BN26,"s"),"")</f>
        <v>-</v>
      </c>
      <c r="BQ26" s="386">
        <f ca="1">IF(AND(BO26&lt;&gt;0,BN26&lt;&gt;0),tDiff(BO26,BN26,"s"), 0)</f>
        <v>1.5624761581420898E-3</v>
      </c>
      <c r="BR26" s="387">
        <f ca="1">IF(BN26=0,0,IF(BO26=0,пропускДС,MIN(tInt(BQ26,"s")*отклонениеРД,пределРД)))</f>
        <v>135</v>
      </c>
      <c r="BS26" s="390">
        <f t="shared" ca="1" si="30"/>
        <v>0</v>
      </c>
      <c r="BT26" s="387">
        <f t="shared" ca="1" si="63"/>
        <v>0</v>
      </c>
      <c r="BU26" s="383">
        <f t="shared" ca="1" si="32"/>
        <v>0.52916666666666667</v>
      </c>
      <c r="BV26" s="391">
        <f t="shared" ca="1" si="64"/>
        <v>0</v>
      </c>
      <c r="BW26" s="383">
        <f t="shared" ca="1" si="34"/>
        <v>0.53263888888888888</v>
      </c>
      <c r="BX26" s="391">
        <f t="shared" ca="1" si="65"/>
        <v>0</v>
      </c>
      <c r="BY26" s="383">
        <f t="shared" ca="1" si="34"/>
        <v>0.58819444444444446</v>
      </c>
      <c r="BZ26" s="391">
        <f t="shared" ca="1" si="66"/>
        <v>0</v>
      </c>
      <c r="CA26" s="383">
        <f ca="1">IF(L26&lt;&gt;0,tTrunc(L26+_ВКВ1/_КВ2Скорость/24),tTrunc(K26+_ВКВ1/_КВ2Скорость/24))</f>
        <v>0.59305554628372192</v>
      </c>
      <c r="CB26" s="152">
        <f t="shared" ca="1" si="67"/>
        <v>0.59791666666666665</v>
      </c>
      <c r="CC26" s="152">
        <f>ROUNDUP(tInt(_ВКВ1/_КВ2Скорость/24)/10,0)/1440</f>
        <v>8.3333333333333332E-3</v>
      </c>
      <c r="CD26" s="384" t="str">
        <f ca="1">IF(AND(CB26&lt;&gt;0,CA26&lt;&gt;0),tpm(CB26,CA26),"")</f>
        <v>+</v>
      </c>
      <c r="CE26" s="152">
        <f ca="1">IF(CB26&lt;&gt;0,tDiff(CB26,CA26), 0)</f>
        <v>4.8611164093017578E-3</v>
      </c>
      <c r="CF26" s="391">
        <f ca="1">IF(CB26&lt;&gt;0,IF(CD26="+",0,IF(CE26&gt;CC26,tInt(CE26-CC26)*опережениеКВ,0)),пропускКВ)</f>
        <v>0</v>
      </c>
    </row>
    <row r="27" spans="1:84" s="367" customFormat="1" x14ac:dyDescent="0.25">
      <c r="A27" s="586">
        <f>стартоваяВедомость!B28</f>
        <v>18</v>
      </c>
      <c r="B27" s="355" t="str">
        <f t="shared" ca="1" si="0"/>
        <v>Toyota Avensis</v>
      </c>
      <c r="C27" s="355" t="str">
        <f t="shared" ca="1" si="1"/>
        <v>Иванова Татьяна</v>
      </c>
      <c r="D27" s="355" t="str">
        <f t="shared" ca="1" si="2"/>
        <v>Кучерявенкова Олеся</v>
      </c>
      <c r="E27" s="355" t="str">
        <f t="shared" ca="1" si="3"/>
        <v>Смоленск</v>
      </c>
      <c r="F27" s="355" t="str">
        <f t="shared" ca="1" si="4"/>
        <v>Light</v>
      </c>
      <c r="G27" s="356">
        <f t="shared" ca="1" si="37"/>
        <v>3892.9</v>
      </c>
      <c r="H27" s="356">
        <f t="shared" ca="1" si="38"/>
        <v>2700</v>
      </c>
      <c r="I27" s="356">
        <f t="shared" ca="1" si="39"/>
        <v>1192.9000000000001</v>
      </c>
      <c r="J27" s="356">
        <f t="shared" ca="1" si="40"/>
        <v>0</v>
      </c>
      <c r="K27" s="357">
        <f t="shared" ca="1" si="6"/>
        <v>0.51249999999999996</v>
      </c>
      <c r="L27" s="358">
        <f t="shared" ca="1" si="41"/>
        <v>0.51250000000000007</v>
      </c>
      <c r="M27" s="359" t="str">
        <f ca="1">IF(L27&lt;&gt;0,tpm(L27,K27),"")</f>
        <v/>
      </c>
      <c r="N27" s="358">
        <f ca="1">IF(L27&lt;&gt;0,tDiff(L27,K27), 0)</f>
        <v>0</v>
      </c>
      <c r="O27" s="360">
        <f ca="1">IF(L27&lt;&gt;0,IF(M27="+",MIN(tInt(N27)*опережениеКВ,пределКВ),tInt(N27)*опережениеКВ),"DNS")</f>
        <v>0</v>
      </c>
      <c r="P27" s="358">
        <f t="shared" si="8"/>
        <v>8.3333335816860199E-2</v>
      </c>
      <c r="Q27" s="358">
        <f t="shared" ca="1" si="42"/>
        <v>0</v>
      </c>
      <c r="R27" s="357">
        <f t="shared" ca="1" si="43"/>
        <v>0.59583333581686027</v>
      </c>
      <c r="S27" s="358">
        <f t="shared" ca="1" si="44"/>
        <v>0</v>
      </c>
      <c r="T27" s="359" t="str">
        <f ca="1">IF(S27&lt;&gt;0,tpm(S27,R27),"")</f>
        <v/>
      </c>
      <c r="U27" s="358">
        <f ca="1">IF(S27&lt;&gt;0,tDiff(S27,R27), 0)</f>
        <v>0</v>
      </c>
      <c r="V27" s="360">
        <f ca="1">IF(S27&lt;&gt;0,IF(T27="+",MIN(MAX(tInt(U27-Q27),0)*опережениеКВ,пределКВ),tInt(U27)*опережениеКВ),пропускКВ)</f>
        <v>900</v>
      </c>
      <c r="W27" s="358">
        <f t="shared" si="11"/>
        <v>8.3333335816860199E-2</v>
      </c>
      <c r="X27" s="358">
        <f t="shared" ca="1" si="45"/>
        <v>1.388847827911377E-3</v>
      </c>
      <c r="Y27" s="358">
        <f t="shared" ca="1" si="46"/>
        <v>1.388847827911377E-3</v>
      </c>
      <c r="Z27" s="357">
        <f t="shared" ca="1" si="47"/>
        <v>0.67916667163372046</v>
      </c>
      <c r="AA27" s="358">
        <f t="shared" ca="1" si="48"/>
        <v>0.6791666666666667</v>
      </c>
      <c r="AB27" s="359" t="str">
        <f ca="1">IF(AA27&lt;&gt;0,tpm(AA27,Z27),"")</f>
        <v/>
      </c>
      <c r="AC27" s="358">
        <f ca="1">IF(AA27&lt;&gt;0,tDiff(AA27,Z27), 0)</f>
        <v>0</v>
      </c>
      <c r="AD27" s="360">
        <f ca="1">IF(AA27&lt;&gt;0,IF(AB27="+",MIN(MAX(tInt(AC27-Y27),0)*опережениеКВ,пределКВ),IF(tInt(AC27)&lt;=ROUNDUP(tInt(W27)*0.1,0),0,(tInt(AC27)-ROUNDUP(tInt(W27)*0.1,0))*опережениеКВ)),"DNF")</f>
        <v>0</v>
      </c>
      <c r="AE27" s="357">
        <f t="shared" ca="1" si="14"/>
        <v>0</v>
      </c>
      <c r="AF27" s="358">
        <f t="shared" ca="1" si="49"/>
        <v>0.53611111111111109</v>
      </c>
      <c r="AG27" s="358">
        <f ca="1">IF(OR(AE27=0,AF27=0),0,tDiff(AF27,AE27))</f>
        <v>0</v>
      </c>
      <c r="AH27" s="362">
        <f t="shared" ca="1" si="50"/>
        <v>0.54849537037037033</v>
      </c>
      <c r="AI27" s="362">
        <f t="shared" ca="1" si="17"/>
        <v>0.54666666666666663</v>
      </c>
      <c r="AJ27" s="354" t="str">
        <f ca="1">IF(AI27&lt;&gt;0,tpm(AI27,AH27,"s"),"")</f>
        <v>-</v>
      </c>
      <c r="AK27" s="362">
        <f ca="1">IF(AI27&lt;&gt;0,tDiff(AI27,AH27,"s"), 0)</f>
        <v>1.8286705017089844E-3</v>
      </c>
      <c r="AL27" s="363">
        <f ca="1">IF(AI27=0,пропускСФ,MIN(tInt(AK27,"s")*отклонениеРД,пределРД))</f>
        <v>158</v>
      </c>
      <c r="AM27" s="364">
        <f t="shared" ca="1" si="51"/>
        <v>0.55024305555555553</v>
      </c>
      <c r="AN27" s="362">
        <f t="shared" ca="1" si="18"/>
        <v>0.5529398148148148</v>
      </c>
      <c r="AO27" s="359" t="str">
        <f ca="1">IF(AND(AM27&lt;&gt;0,AN27&lt;&gt;0),tpm(AN27,AM27,"s"),"")</f>
        <v>+</v>
      </c>
      <c r="AP27" s="362">
        <f ca="1">IF(AND(AM27&lt;&gt;0,AN27&lt;&gt;0),tDiff(AN27,AM27,"s"), 0)</f>
        <v>2.6967525482177734E-3</v>
      </c>
      <c r="AQ27" s="363">
        <f ca="1">IF(AM27=0,0,IF(AN27=0,пропускДС,MIN(tInt(AP27,"s")*отклонениеРД,пределРД)))</f>
        <v>233</v>
      </c>
      <c r="AR27" s="357">
        <f t="shared" ca="1" si="19"/>
        <v>0</v>
      </c>
      <c r="AS27" s="358">
        <f t="shared" ca="1" si="52"/>
        <v>0</v>
      </c>
      <c r="AT27" s="358">
        <f t="shared" ca="1" si="53"/>
        <v>0</v>
      </c>
      <c r="AU27" s="365">
        <f t="shared" ca="1" si="54"/>
        <v>51.3</v>
      </c>
      <c r="AV27" s="365">
        <f t="shared" ca="1" si="55"/>
        <v>0</v>
      </c>
      <c r="AW27" s="365">
        <f t="shared" ca="1" si="56"/>
        <v>0</v>
      </c>
      <c r="AX27" s="359">
        <f t="shared" ca="1" si="57"/>
        <v>0</v>
      </c>
      <c r="AY27" s="359">
        <f t="shared" ca="1" si="58"/>
        <v>0</v>
      </c>
      <c r="AZ27" s="363">
        <f t="shared" ca="1" si="23"/>
        <v>153.89999999999998</v>
      </c>
      <c r="BA27" s="357">
        <f t="shared" ca="1" si="24"/>
        <v>0.62708333333333333</v>
      </c>
      <c r="BB27" s="358">
        <f t="shared" ca="1" si="59"/>
        <v>0.62847222222222221</v>
      </c>
      <c r="BC27" s="358">
        <f ca="1">IF(OR(BA27=0,BB27=0),0,tDiff(BB27,BA27))</f>
        <v>1.388847827911377E-3</v>
      </c>
      <c r="BD27" s="362">
        <f t="shared" ca="1" si="60"/>
        <v>0.63701388888888888</v>
      </c>
      <c r="BE27" s="362">
        <f t="shared" ca="1" si="27"/>
        <v>0.64170138888888884</v>
      </c>
      <c r="BF27" s="354" t="str">
        <f ca="1">IF(BE27&lt;&gt;0,tpm(BE27,BD27,"s"),"")</f>
        <v>+</v>
      </c>
      <c r="BG27" s="362">
        <f ca="1">IF(BE27&lt;&gt;0,tDiff(BE27,BD27,"s"), 0)</f>
        <v>4.6874880790710449E-3</v>
      </c>
      <c r="BH27" s="363">
        <f ca="1">IF(BE27=0,пропускСФ,MIN(tInt(BG27,"s")*отклонениеРД,пределРД))</f>
        <v>405</v>
      </c>
      <c r="BI27" s="364">
        <f t="shared" ca="1" si="61"/>
        <v>0.65287037037037032</v>
      </c>
      <c r="BJ27" s="362">
        <f t="shared" ca="1" si="28"/>
        <v>0.65353009259259254</v>
      </c>
      <c r="BK27" s="359" t="str">
        <f ca="1">IF(BJ27&lt;&gt;0,tpm(BJ27,BI27,"s"),"")</f>
        <v>+</v>
      </c>
      <c r="BL27" s="362">
        <f ca="1">IF(BJ27&lt;&gt;0,tDiff(BJ27,BI27,"s"), 0)</f>
        <v>6.5976381301879883E-4</v>
      </c>
      <c r="BM27" s="363">
        <f ca="1">IF(BJ27=0,пропускСФ,MIN(tInt(BL27,"s")*отклонениеРД,пределРД))</f>
        <v>57</v>
      </c>
      <c r="BN27" s="364">
        <f t="shared" ca="1" si="62"/>
        <v>0.6648842592592592</v>
      </c>
      <c r="BO27" s="362">
        <f t="shared" ca="1" si="29"/>
        <v>0.66703703703703709</v>
      </c>
      <c r="BP27" s="359" t="str">
        <f ca="1">IF(AND(BO27&lt;&gt;0,BN27&lt;&gt;0),tpm(BO27,BN27,"s"),"")</f>
        <v>+</v>
      </c>
      <c r="BQ27" s="362">
        <f ca="1">IF(AND(BO27&lt;&gt;0,BN27&lt;&gt;0),tDiff(BO27,BN27,"s"), 0)</f>
        <v>2.1527409553527832E-3</v>
      </c>
      <c r="BR27" s="363">
        <f ca="1">IF(BN27=0,0,IF(BO27=0,пропускДС,MIN(tInt(BQ27,"s")*отклонениеРД,пределРД)))</f>
        <v>186</v>
      </c>
      <c r="BS27" s="366">
        <f t="shared" ca="1" si="30"/>
        <v>0</v>
      </c>
      <c r="BT27" s="363">
        <f t="shared" ca="1" si="63"/>
        <v>0</v>
      </c>
      <c r="BU27" s="357">
        <f t="shared" ca="1" si="32"/>
        <v>0</v>
      </c>
      <c r="BV27" s="361">
        <f t="shared" ca="1" si="64"/>
        <v>900</v>
      </c>
      <c r="BW27" s="357">
        <f t="shared" ca="1" si="34"/>
        <v>0</v>
      </c>
      <c r="BX27" s="361">
        <f t="shared" ca="1" si="65"/>
        <v>900</v>
      </c>
      <c r="BY27" s="357">
        <f t="shared" ca="1" si="34"/>
        <v>0.58194444444444449</v>
      </c>
      <c r="BZ27" s="361">
        <f t="shared" ca="1" si="66"/>
        <v>0</v>
      </c>
      <c r="CA27" s="357">
        <f ca="1">IF(L27&lt;&gt;0,tTrunc(L27+_ВКВ1/_КВ2Скорость/24),tTrunc(K27+_ВКВ1/_КВ2Скорость/24))</f>
        <v>0.59375</v>
      </c>
      <c r="CB27" s="358">
        <f t="shared" ca="1" si="67"/>
        <v>0.59583333333333333</v>
      </c>
      <c r="CC27" s="358">
        <f>ROUNDUP(tInt(_ВКВ1/_КВ2Скорость/24)/10,0)/1440</f>
        <v>8.3333333333333332E-3</v>
      </c>
      <c r="CD27" s="359" t="str">
        <f ca="1">IF(AND(CB27&lt;&gt;0,CA27&lt;&gt;0),tpm(CB27,CA27),"")</f>
        <v>+</v>
      </c>
      <c r="CE27" s="358">
        <f ca="1">IF(CB27&lt;&gt;0,tDiff(CB27,CA27), 0)</f>
        <v>2.0833611488342285E-3</v>
      </c>
      <c r="CF27" s="361">
        <f ca="1">IF(CB27&lt;&gt;0,IF(CD27="+",0,IF(CE27&gt;CC27,tInt(CE27-CC27)*опережениеКВ,0)),пропускКВ)</f>
        <v>0</v>
      </c>
    </row>
    <row r="28" spans="1:84" s="22" customFormat="1" x14ac:dyDescent="0.25">
      <c r="A28" s="587">
        <f>стартоваяВедомость!B29</f>
        <v>19</v>
      </c>
      <c r="B28" s="381" t="str">
        <f t="shared" ca="1" si="0"/>
        <v>Лада калина</v>
      </c>
      <c r="C28" s="381" t="str">
        <f t="shared" ca="1" si="1"/>
        <v>Круглов Олег</v>
      </c>
      <c r="D28" s="381" t="str">
        <f t="shared" ca="1" si="2"/>
        <v>Власенков Кирилл</v>
      </c>
      <c r="E28" s="381" t="str">
        <f t="shared" ca="1" si="3"/>
        <v>Смоленск</v>
      </c>
      <c r="F28" s="381" t="str">
        <f t="shared" ca="1" si="4"/>
        <v>Модерн-ПРО</v>
      </c>
      <c r="G28" s="382">
        <f t="shared" ca="1" si="37"/>
        <v>1176.9000000000001</v>
      </c>
      <c r="H28" s="382">
        <f t="shared" ca="1" si="38"/>
        <v>0</v>
      </c>
      <c r="I28" s="382">
        <f t="shared" ca="1" si="39"/>
        <v>1176.9000000000001</v>
      </c>
      <c r="J28" s="382">
        <f t="shared" ca="1" si="40"/>
        <v>0</v>
      </c>
      <c r="K28" s="383">
        <f t="shared" ca="1" si="6"/>
        <v>0.5131944444444444</v>
      </c>
      <c r="L28" s="152">
        <f t="shared" ca="1" si="41"/>
        <v>0.5131944444444444</v>
      </c>
      <c r="M28" s="384" t="str">
        <f ca="1">IF(L28&lt;&gt;0,tpm(L28,K28),"")</f>
        <v/>
      </c>
      <c r="N28" s="152">
        <f ca="1">IF(L28&lt;&gt;0,tDiff(L28,K28), 0)</f>
        <v>0</v>
      </c>
      <c r="O28" s="385">
        <f ca="1">IF(L28&lt;&gt;0,IF(M28="+",MIN(tInt(N28)*опережениеКВ,пределКВ),tInt(N28)*опережениеКВ),"DNS")</f>
        <v>0</v>
      </c>
      <c r="P28" s="152">
        <f t="shared" si="8"/>
        <v>8.3333335816860199E-2</v>
      </c>
      <c r="Q28" s="152">
        <f t="shared" ca="1" si="42"/>
        <v>1.3889074325561523E-3</v>
      </c>
      <c r="R28" s="383">
        <f t="shared" ca="1" si="43"/>
        <v>0.5965277802613046</v>
      </c>
      <c r="S28" s="152">
        <f t="shared" ca="1" si="44"/>
        <v>0.59652777777777777</v>
      </c>
      <c r="T28" s="384" t="str">
        <f ca="1">IF(S28&lt;&gt;0,tpm(S28,R28),"")</f>
        <v/>
      </c>
      <c r="U28" s="152">
        <f ca="1">IF(S28&lt;&gt;0,tDiff(S28,R28), 0)</f>
        <v>0</v>
      </c>
      <c r="V28" s="385">
        <f ca="1">IF(S28&lt;&gt;0,IF(T28="+",MIN(MAX(tInt(U28-Q28),0)*опережениеКВ,пределКВ),tInt(U28)*опережениеКВ),пропускКВ)</f>
        <v>0</v>
      </c>
      <c r="W28" s="152">
        <f t="shared" si="11"/>
        <v>8.3333335816860199E-2</v>
      </c>
      <c r="X28" s="152">
        <f t="shared" ca="1" si="45"/>
        <v>1.7361111111111049E-2</v>
      </c>
      <c r="Y28" s="152">
        <f t="shared" ca="1" si="46"/>
        <v>1.7361111111111049E-2</v>
      </c>
      <c r="Z28" s="383">
        <f t="shared" ca="1" si="47"/>
        <v>0.67986111359463797</v>
      </c>
      <c r="AA28" s="152">
        <f t="shared" ca="1" si="48"/>
        <v>0.69652777777777775</v>
      </c>
      <c r="AB28" s="384" t="str">
        <f ca="1">IF(AA28&lt;&gt;0,tpm(AA28,Z28),"")</f>
        <v>+</v>
      </c>
      <c r="AC28" s="152">
        <f ca="1">IF(AA28&lt;&gt;0,tDiff(AA28,Z28), 0)</f>
        <v>1.6666650772094727E-2</v>
      </c>
      <c r="AD28" s="385">
        <f ca="1">IF(AA28&lt;&gt;0,IF(AB28="+",MIN(MAX(tInt(AC28-Y28),0)*опережениеКВ,пределКВ),IF(tInt(AC28)&lt;=ROUNDUP(tInt(W28)*0.1,0),0,(tInt(AC28)-ROUNDUP(tInt(W28)*0.1,0))*опережениеКВ)),"DNF")</f>
        <v>0</v>
      </c>
      <c r="AE28" s="383">
        <f t="shared" ca="1" si="14"/>
        <v>0.54027777777777775</v>
      </c>
      <c r="AF28" s="152">
        <f t="shared" ca="1" si="49"/>
        <v>0.54166666666666663</v>
      </c>
      <c r="AG28" s="152">
        <f ca="1">IF(OR(AE28=0,AF28=0),0,tDiff(AF28,AE28))</f>
        <v>1.3889074325561523E-3</v>
      </c>
      <c r="AH28" s="386">
        <f t="shared" ca="1" si="50"/>
        <v>0.55405092592592586</v>
      </c>
      <c r="AI28" s="386">
        <f t="shared" ca="1" si="17"/>
        <v>0.55563657407407407</v>
      </c>
      <c r="AJ28" s="380" t="str">
        <f ca="1">IF(AI28&lt;&gt;0,tpm(AI28,AH28,"s"),"")</f>
        <v>+</v>
      </c>
      <c r="AK28" s="386">
        <f ca="1">IF(AI28&lt;&gt;0,tDiff(AI28,AH28,"s"), 0)</f>
        <v>1.5856623649597168E-3</v>
      </c>
      <c r="AL28" s="387">
        <f ca="1">IF(AI28=0,пропускСФ,MIN(tInt(AK28,"s")*отклонениеРД,пределРД))</f>
        <v>137</v>
      </c>
      <c r="AM28" s="388">
        <f t="shared" ca="1" si="51"/>
        <v>0.55921296296296297</v>
      </c>
      <c r="AN28" s="386">
        <f t="shared" ca="1" si="18"/>
        <v>0.56123842592592588</v>
      </c>
      <c r="AO28" s="384" t="str">
        <f ca="1">IF(AND(AM28&lt;&gt;0,AN28&lt;&gt;0),tpm(AN28,AM28,"s"),"")</f>
        <v>+</v>
      </c>
      <c r="AP28" s="386">
        <f ca="1">IF(AND(AM28&lt;&gt;0,AN28&lt;&gt;0),tDiff(AN28,AM28,"s"), 0)</f>
        <v>2.0254254341125488E-3</v>
      </c>
      <c r="AQ28" s="387">
        <f ca="1">IF(AM28=0,0,IF(AN28=0,пропускДС,MIN(tInt(AP28,"s")*отклонениеРД,пределРД)))</f>
        <v>175</v>
      </c>
      <c r="AR28" s="383">
        <f t="shared" ca="1" si="19"/>
        <v>0.61111111111111105</v>
      </c>
      <c r="AS28" s="152">
        <f t="shared" ca="1" si="52"/>
        <v>0.62847222222222221</v>
      </c>
      <c r="AT28" s="152">
        <f t="shared" ca="1" si="53"/>
        <v>1.7361111111111049E-2</v>
      </c>
      <c r="AU28" s="389">
        <f t="shared" ca="1" si="54"/>
        <v>30.3</v>
      </c>
      <c r="AV28" s="389">
        <f t="shared" ca="1" si="55"/>
        <v>0</v>
      </c>
      <c r="AW28" s="389">
        <f t="shared" ca="1" si="56"/>
        <v>0</v>
      </c>
      <c r="AX28" s="384">
        <f t="shared" ca="1" si="57"/>
        <v>0</v>
      </c>
      <c r="AY28" s="384">
        <f t="shared" ca="1" si="58"/>
        <v>0</v>
      </c>
      <c r="AZ28" s="387">
        <f t="shared" ca="1" si="23"/>
        <v>90.9</v>
      </c>
      <c r="BA28" s="383">
        <f t="shared" ca="1" si="24"/>
        <v>0</v>
      </c>
      <c r="BB28" s="152">
        <f t="shared" ca="1" si="59"/>
        <v>0.63472222222222219</v>
      </c>
      <c r="BC28" s="152">
        <f ca="1">IF(OR(BA28=0,BB28=0),0,tDiff(BB28,BA28))</f>
        <v>0</v>
      </c>
      <c r="BD28" s="386">
        <f t="shared" ca="1" si="60"/>
        <v>0.64326388888888886</v>
      </c>
      <c r="BE28" s="386">
        <f t="shared" ca="1" si="27"/>
        <v>0.64197916666666666</v>
      </c>
      <c r="BF28" s="380" t="str">
        <f ca="1">IF(BE28&lt;&gt;0,tpm(BE28,BD28,"s"),"")</f>
        <v>-</v>
      </c>
      <c r="BG28" s="386">
        <f ca="1">IF(BE28&lt;&gt;0,tDiff(BE28,BD28,"s"), 0)</f>
        <v>1.2847185134887695E-3</v>
      </c>
      <c r="BH28" s="387">
        <f ca="1">IF(BE28=0,пропускСФ,MIN(tInt(BG28,"s")*отклонениеРД,пределРД))</f>
        <v>111</v>
      </c>
      <c r="BI28" s="388">
        <f t="shared" ca="1" si="61"/>
        <v>0.65314814814814814</v>
      </c>
      <c r="BJ28" s="386">
        <f t="shared" ca="1" si="28"/>
        <v>0.65387731481481481</v>
      </c>
      <c r="BK28" s="384" t="str">
        <f ca="1">IF(BJ28&lt;&gt;0,tpm(BJ28,BI28,"s"),"")</f>
        <v>+</v>
      </c>
      <c r="BL28" s="386">
        <f ca="1">IF(BJ28&lt;&gt;0,tDiff(BJ28,BI28,"s"), 0)</f>
        <v>7.2914361953735352E-4</v>
      </c>
      <c r="BM28" s="387">
        <f ca="1">IF(BJ28=0,пропускСФ,MIN(tInt(BL28,"s")*отклонениеРД,пределРД))</f>
        <v>63</v>
      </c>
      <c r="BN28" s="388">
        <f t="shared" ca="1" si="62"/>
        <v>0.66523148148148148</v>
      </c>
      <c r="BO28" s="386">
        <f t="shared" ca="1" si="29"/>
        <v>0.67552083333333324</v>
      </c>
      <c r="BP28" s="384" t="str">
        <f ca="1">IF(AND(BO28&lt;&gt;0,BN28&lt;&gt;0),tpm(BO28,BN28,"s"),"")</f>
        <v>+</v>
      </c>
      <c r="BQ28" s="386">
        <f ca="1">IF(AND(BO28&lt;&gt;0,BN28&lt;&gt;0),tDiff(BO28,BN28,"s"), 0)</f>
        <v>1.0289371013641357E-2</v>
      </c>
      <c r="BR28" s="387">
        <f ca="1">IF(BN28=0,0,IF(BO28=0,пропускДС,MIN(tInt(BQ28,"s")*отклонениеРД,пределРД)))</f>
        <v>600</v>
      </c>
      <c r="BS28" s="390">
        <f t="shared" ca="1" si="30"/>
        <v>0</v>
      </c>
      <c r="BT28" s="387">
        <f t="shared" ca="1" si="63"/>
        <v>0</v>
      </c>
      <c r="BU28" s="383">
        <f t="shared" ca="1" si="32"/>
        <v>0.52777777777777779</v>
      </c>
      <c r="BV28" s="391">
        <f t="shared" ca="1" si="64"/>
        <v>0</v>
      </c>
      <c r="BW28" s="383">
        <f t="shared" ca="1" si="34"/>
        <v>0.53263888888888888</v>
      </c>
      <c r="BX28" s="391">
        <f t="shared" ca="1" si="65"/>
        <v>0</v>
      </c>
      <c r="BY28" s="383">
        <f t="shared" ca="1" si="34"/>
        <v>0.58124999999999993</v>
      </c>
      <c r="BZ28" s="391">
        <f t="shared" ca="1" si="66"/>
        <v>0</v>
      </c>
      <c r="CA28" s="383">
        <f ca="1">IF(L28&lt;&gt;0,tTrunc(L28+_ВКВ1/_КВ2Скорость/24),tTrunc(K28+_ВКВ1/_КВ2Скорость/24))</f>
        <v>0.59444445371627808</v>
      </c>
      <c r="CB28" s="152">
        <f t="shared" ca="1" si="67"/>
        <v>0.59583333333333333</v>
      </c>
      <c r="CC28" s="152">
        <f>ROUNDUP(tInt(_ВКВ1/_КВ2Скорость/24)/10,0)/1440</f>
        <v>8.3333333333333332E-3</v>
      </c>
      <c r="CD28" s="384" t="str">
        <f ca="1">IF(AND(CB28&lt;&gt;0,CA28&lt;&gt;0),tpm(CB28,CA28),"")</f>
        <v>+</v>
      </c>
      <c r="CE28" s="152">
        <f ca="1">IF(CB28&lt;&gt;0,tDiff(CB28,CA28), 0)</f>
        <v>1.3889074325561523E-3</v>
      </c>
      <c r="CF28" s="391">
        <f ca="1">IF(CB28&lt;&gt;0,IF(CD28="+",0,IF(CE28&gt;CC28,tInt(CE28-CC28)*опережениеКВ,0)),пропускКВ)</f>
        <v>0</v>
      </c>
    </row>
    <row r="29" spans="1:84" s="367" customFormat="1" x14ac:dyDescent="0.25">
      <c r="A29" s="586">
        <f>стартоваяВедомость!B30</f>
        <v>20</v>
      </c>
      <c r="B29" s="355" t="str">
        <f t="shared" ca="1" si="0"/>
        <v>Audi Q7</v>
      </c>
      <c r="C29" s="355" t="str">
        <f t="shared" ca="1" si="1"/>
        <v>Золотова Мария</v>
      </c>
      <c r="D29" s="355" t="str">
        <f t="shared" ca="1" si="2"/>
        <v>Золотов Антон</v>
      </c>
      <c r="E29" s="355" t="str">
        <f t="shared" ca="1" si="3"/>
        <v>Тула</v>
      </c>
      <c r="F29" s="355" t="str">
        <f t="shared" ca="1" si="4"/>
        <v>Модерн-ПРО</v>
      </c>
      <c r="G29" s="356">
        <f t="shared" ca="1" si="37"/>
        <v>297.89999999999998</v>
      </c>
      <c r="H29" s="356">
        <f t="shared" ca="1" si="38"/>
        <v>120</v>
      </c>
      <c r="I29" s="356">
        <f t="shared" ca="1" si="39"/>
        <v>177.9</v>
      </c>
      <c r="J29" s="356">
        <f t="shared" ca="1" si="40"/>
        <v>0</v>
      </c>
      <c r="K29" s="357">
        <f t="shared" ca="1" si="6"/>
        <v>0.51388888888888884</v>
      </c>
      <c r="L29" s="358">
        <f t="shared" ca="1" si="41"/>
        <v>0.51388888888888895</v>
      </c>
      <c r="M29" s="359" t="str">
        <f ca="1">IF(L29&lt;&gt;0,tpm(L29,K29),"")</f>
        <v/>
      </c>
      <c r="N29" s="358">
        <f ca="1">IF(L29&lt;&gt;0,tDiff(L29,K29), 0)</f>
        <v>0</v>
      </c>
      <c r="O29" s="360">
        <f ca="1">IF(L29&lt;&gt;0,IF(M29="+",MIN(tInt(N29)*опережениеКВ,пределКВ),tInt(N29)*опережениеКВ),"DNS")</f>
        <v>0</v>
      </c>
      <c r="P29" s="358">
        <f t="shared" si="8"/>
        <v>8.3333335816860199E-2</v>
      </c>
      <c r="Q29" s="358">
        <f t="shared" ca="1" si="42"/>
        <v>0</v>
      </c>
      <c r="R29" s="357">
        <f t="shared" ca="1" si="43"/>
        <v>0.59722222470574915</v>
      </c>
      <c r="S29" s="358">
        <f t="shared" ca="1" si="44"/>
        <v>0.59722222222222221</v>
      </c>
      <c r="T29" s="359" t="str">
        <f ca="1">IF(S29&lt;&gt;0,tpm(S29,R29),"")</f>
        <v/>
      </c>
      <c r="U29" s="358">
        <f ca="1">IF(S29&lt;&gt;0,tDiff(S29,R29), 0)</f>
        <v>0</v>
      </c>
      <c r="V29" s="360">
        <f ca="1">IF(S29&lt;&gt;0,IF(T29="+",MIN(MAX(tInt(U29-Q29),0)*опережениеКВ,пределКВ),tInt(U29)*опережениеКВ),пропускКВ)</f>
        <v>0</v>
      </c>
      <c r="W29" s="358">
        <f t="shared" si="11"/>
        <v>8.3333335816860199E-2</v>
      </c>
      <c r="X29" s="358">
        <f t="shared" ca="1" si="45"/>
        <v>0</v>
      </c>
      <c r="Y29" s="358">
        <f t="shared" ca="1" si="46"/>
        <v>0</v>
      </c>
      <c r="Z29" s="357">
        <f t="shared" ca="1" si="47"/>
        <v>0.68055555803908241</v>
      </c>
      <c r="AA29" s="358">
        <f t="shared" ca="1" si="48"/>
        <v>0.67222222222222217</v>
      </c>
      <c r="AB29" s="359" t="str">
        <f ca="1">IF(AA29&lt;&gt;0,tpm(AA29,Z29),"")</f>
        <v>-</v>
      </c>
      <c r="AC29" s="358">
        <f ca="1">IF(AA29&lt;&gt;0,tDiff(AA29,Z29), 0)</f>
        <v>8.3333849906921387E-3</v>
      </c>
      <c r="AD29" s="360">
        <f ca="1">IF(AA29&lt;&gt;0,IF(AB29="+",MIN(MAX(tInt(AC29-Y29),0)*опережениеКВ,пределКВ),IF(tInt(AC29)&lt;=ROUNDUP(tInt(W29)*0.1,0),0,(tInt(AC29)-ROUNDUP(tInt(W29)*0.1,0))*опережениеКВ)),"DNF")</f>
        <v>0</v>
      </c>
      <c r="AE29" s="357">
        <f t="shared" ca="1" si="14"/>
        <v>0</v>
      </c>
      <c r="AF29" s="358">
        <f t="shared" ca="1" si="49"/>
        <v>0.54097222222222219</v>
      </c>
      <c r="AG29" s="358">
        <f ca="1">IF(OR(AE29=0,AF29=0),0,tDiff(AF29,AE29))</f>
        <v>0</v>
      </c>
      <c r="AH29" s="362">
        <f t="shared" ca="1" si="50"/>
        <v>0.55335648148148142</v>
      </c>
      <c r="AI29" s="362">
        <f t="shared" ca="1" si="17"/>
        <v>0.55333333333333334</v>
      </c>
      <c r="AJ29" s="354" t="str">
        <f ca="1">IF(AI29&lt;&gt;0,tpm(AI29,AH29,"s"),"")</f>
        <v>-</v>
      </c>
      <c r="AK29" s="362">
        <f ca="1">IF(AI29&lt;&gt;0,tDiff(AI29,AH29,"s"), 0)</f>
        <v>2.3126602172851563E-5</v>
      </c>
      <c r="AL29" s="363">
        <f ca="1">IF(AI29=0,пропускСФ,MIN(tInt(AK29,"s")*отклонениеРД,пределРД))</f>
        <v>2</v>
      </c>
      <c r="AM29" s="364">
        <f t="shared" ca="1" si="51"/>
        <v>0.55690972222222224</v>
      </c>
      <c r="AN29" s="362">
        <f t="shared" ca="1" si="18"/>
        <v>0.55692129629629628</v>
      </c>
      <c r="AO29" s="359" t="str">
        <f ca="1">IF(AND(AM29&lt;&gt;0,AN29&lt;&gt;0),tpm(AN29,AM29,"s"),"")</f>
        <v>+</v>
      </c>
      <c r="AP29" s="362">
        <f ca="1">IF(AND(AM29&lt;&gt;0,AN29&lt;&gt;0),tDiff(AN29,AM29,"s"), 0)</f>
        <v>1.1563301086425781E-5</v>
      </c>
      <c r="AQ29" s="363">
        <f ca="1">IF(AM29=0,0,IF(AN29=0,пропускДС,MIN(tInt(AP29,"s")*отклонениеРД,пределРД)))</f>
        <v>1</v>
      </c>
      <c r="AR29" s="357">
        <f t="shared" ca="1" si="19"/>
        <v>0</v>
      </c>
      <c r="AS29" s="358">
        <f t="shared" ca="1" si="52"/>
        <v>0</v>
      </c>
      <c r="AT29" s="358">
        <f t="shared" ca="1" si="53"/>
        <v>0</v>
      </c>
      <c r="AU29" s="365">
        <f t="shared" ca="1" si="54"/>
        <v>24.3</v>
      </c>
      <c r="AV29" s="365">
        <f t="shared" ca="1" si="55"/>
        <v>0</v>
      </c>
      <c r="AW29" s="365">
        <f t="shared" ca="1" si="56"/>
        <v>2</v>
      </c>
      <c r="AX29" s="359">
        <f t="shared" ca="1" si="57"/>
        <v>0</v>
      </c>
      <c r="AY29" s="359" t="str">
        <f t="shared" ca="1" si="58"/>
        <v>да</v>
      </c>
      <c r="AZ29" s="363">
        <f t="shared" ca="1" si="23"/>
        <v>162.9</v>
      </c>
      <c r="BA29" s="357">
        <f t="shared" ca="1" si="24"/>
        <v>0</v>
      </c>
      <c r="BB29" s="358">
        <f t="shared" ca="1" si="59"/>
        <v>0.62638888888888888</v>
      </c>
      <c r="BC29" s="358">
        <f ca="1">IF(OR(BA29=0,BB29=0),0,tDiff(BB29,BA29))</f>
        <v>0</v>
      </c>
      <c r="BD29" s="362">
        <f t="shared" ca="1" si="60"/>
        <v>0.63493055555555555</v>
      </c>
      <c r="BE29" s="362">
        <f t="shared" ca="1" si="27"/>
        <v>0.63493055555555555</v>
      </c>
      <c r="BF29" s="354" t="str">
        <f ca="1">IF(BE29&lt;&gt;0,tpm(BE29,BD29,"s"),"")</f>
        <v/>
      </c>
      <c r="BG29" s="362">
        <f ca="1">IF(BE29&lt;&gt;0,tDiff(BE29,BD29,"s"), 0)</f>
        <v>0</v>
      </c>
      <c r="BH29" s="363">
        <f ca="1">IF(BE29=0,пропускСФ,MIN(tInt(BG29,"s")*отклонениеРД,пределРД))</f>
        <v>0</v>
      </c>
      <c r="BI29" s="364">
        <f t="shared" ca="1" si="61"/>
        <v>0.64609953703703704</v>
      </c>
      <c r="BJ29" s="362">
        <f t="shared" ca="1" si="28"/>
        <v>0.64611111111111108</v>
      </c>
      <c r="BK29" s="359" t="str">
        <f ca="1">IF(BJ29&lt;&gt;0,tpm(BJ29,BI29,"s"),"")</f>
        <v>+</v>
      </c>
      <c r="BL29" s="362">
        <f ca="1">IF(BJ29&lt;&gt;0,tDiff(BJ29,BI29,"s"), 0)</f>
        <v>1.1622905731201172E-5</v>
      </c>
      <c r="BM29" s="363">
        <f ca="1">IF(BJ29=0,пропускСФ,MIN(tInt(BL29,"s")*отклонениеРД,пределРД))</f>
        <v>1</v>
      </c>
      <c r="BN29" s="364">
        <f t="shared" ca="1" si="62"/>
        <v>0.65746527777777775</v>
      </c>
      <c r="BO29" s="362">
        <f t="shared" ca="1" si="29"/>
        <v>0.65733796296296299</v>
      </c>
      <c r="BP29" s="359" t="str">
        <f ca="1">IF(AND(BO29&lt;&gt;0,BN29&lt;&gt;0),tpm(BO29,BN29,"s"),"")</f>
        <v>-</v>
      </c>
      <c r="BQ29" s="362">
        <f ca="1">IF(AND(BO29&lt;&gt;0,BN29&lt;&gt;0),tDiff(BO29,BN29,"s"), 0)</f>
        <v>1.2731552124023438E-4</v>
      </c>
      <c r="BR29" s="363">
        <f ca="1">IF(BN29=0,0,IF(BO29=0,пропускДС,MIN(tInt(BQ29,"s")*отклонениеРД,пределРД)))</f>
        <v>11</v>
      </c>
      <c r="BS29" s="366">
        <f t="shared" ca="1" si="30"/>
        <v>0</v>
      </c>
      <c r="BT29" s="363">
        <f t="shared" ca="1" si="63"/>
        <v>0</v>
      </c>
      <c r="BU29" s="357">
        <f t="shared" ca="1" si="32"/>
        <v>0.52569444444444446</v>
      </c>
      <c r="BV29" s="361">
        <f t="shared" ca="1" si="64"/>
        <v>0</v>
      </c>
      <c r="BW29" s="357">
        <f t="shared" ca="1" si="34"/>
        <v>0.52986111111111112</v>
      </c>
      <c r="BX29" s="361">
        <f t="shared" ca="1" si="65"/>
        <v>0</v>
      </c>
      <c r="BY29" s="357">
        <f t="shared" ca="1" si="34"/>
        <v>0.57708333333333328</v>
      </c>
      <c r="BZ29" s="361">
        <f t="shared" ca="1" si="66"/>
        <v>0</v>
      </c>
      <c r="CA29" s="357">
        <f ca="1">IF(L29&lt;&gt;0,tTrunc(L29+_ВКВ1/_КВ2Скорость/24),tTrunc(K29+_ВКВ1/_КВ2Скорость/24))</f>
        <v>0.59513890743255615</v>
      </c>
      <c r="CB29" s="358">
        <f t="shared" ca="1" si="67"/>
        <v>0.5854166666666667</v>
      </c>
      <c r="CC29" s="358">
        <f>ROUNDUP(tInt(_ВКВ1/_КВ2Скорость/24)/10,0)/1440</f>
        <v>8.3333333333333332E-3</v>
      </c>
      <c r="CD29" s="359" t="str">
        <f ca="1">IF(AND(CB29&lt;&gt;0,CA29&lt;&gt;0),tpm(CB29,CA29),"")</f>
        <v>-</v>
      </c>
      <c r="CE29" s="358">
        <f ca="1">IF(CB29&lt;&gt;0,tDiff(CB29,CA29), 0)</f>
        <v>9.7222328186035156E-3</v>
      </c>
      <c r="CF29" s="361">
        <f ca="1">IF(CB29&lt;&gt;0,IF(CD29="+",0,IF(CE29&gt;CC29,tInt(CE29-CC29)*опережениеКВ,0)),пропускКВ)</f>
        <v>120</v>
      </c>
    </row>
    <row r="30" spans="1:84" s="22" customFormat="1" x14ac:dyDescent="0.25">
      <c r="A30" s="587">
        <f>стартоваяВедомость!B31</f>
        <v>21</v>
      </c>
      <c r="B30" s="381" t="str">
        <f t="shared" ca="1" si="0"/>
        <v>BMW Z3</v>
      </c>
      <c r="C30" s="381" t="str">
        <f t="shared" ca="1" si="1"/>
        <v>Никулин Максим</v>
      </c>
      <c r="D30" s="381" t="str">
        <f t="shared" ca="1" si="2"/>
        <v>Никулина Кристина</v>
      </c>
      <c r="E30" s="381" t="str">
        <f t="shared" ca="1" si="3"/>
        <v>Новогорск</v>
      </c>
      <c r="F30" s="381" t="str">
        <f t="shared" ca="1" si="4"/>
        <v>Модерн-ПРО</v>
      </c>
      <c r="G30" s="382" t="str">
        <f t="shared" ca="1" si="37"/>
        <v>DNS</v>
      </c>
      <c r="H30" s="382" t="str">
        <f t="shared" ca="1" si="38"/>
        <v>DNS</v>
      </c>
      <c r="I30" s="382">
        <f t="shared" ca="1" si="39"/>
        <v>7200</v>
      </c>
      <c r="J30" s="382">
        <f t="shared" ca="1" si="40"/>
        <v>0</v>
      </c>
      <c r="K30" s="383">
        <f t="shared" ca="1" si="6"/>
        <v>0.51458333333333328</v>
      </c>
      <c r="L30" s="152">
        <f t="shared" ca="1" si="41"/>
        <v>0</v>
      </c>
      <c r="M30" s="384" t="str">
        <f ca="1">IF(L30&lt;&gt;0,tpm(L30,K30),"")</f>
        <v/>
      </c>
      <c r="N30" s="152">
        <f ca="1">IF(L30&lt;&gt;0,tDiff(L30,K30), 0)</f>
        <v>0</v>
      </c>
      <c r="O30" s="385" t="str">
        <f ca="1">IF(L30&lt;&gt;0,IF(M30="+",MIN(tInt(N30)*опережениеКВ,пределКВ),tInt(N30)*опережениеКВ),"DNS")</f>
        <v>DNS</v>
      </c>
      <c r="P30" s="152">
        <f t="shared" si="8"/>
        <v>8.3333335816860199E-2</v>
      </c>
      <c r="Q30" s="152">
        <f t="shared" ca="1" si="42"/>
        <v>0</v>
      </c>
      <c r="R30" s="383">
        <f t="shared" ca="1" si="43"/>
        <v>0.59791666915019348</v>
      </c>
      <c r="S30" s="152">
        <f t="shared" ca="1" si="44"/>
        <v>0</v>
      </c>
      <c r="T30" s="384" t="str">
        <f ca="1">IF(S30&lt;&gt;0,tpm(S30,R30),"")</f>
        <v/>
      </c>
      <c r="U30" s="152">
        <f ca="1">IF(S30&lt;&gt;0,tDiff(S30,R30), 0)</f>
        <v>0</v>
      </c>
      <c r="V30" s="385">
        <f ca="1">IF(S30&lt;&gt;0,IF(T30="+",MIN(MAX(tInt(U30-Q30),0)*опережениеКВ,пределКВ),tInt(U30)*опережениеКВ),пропускКВ)</f>
        <v>900</v>
      </c>
      <c r="W30" s="152">
        <f t="shared" si="11"/>
        <v>8.3333335816860199E-2</v>
      </c>
      <c r="X30" s="152">
        <f t="shared" ca="1" si="45"/>
        <v>0</v>
      </c>
      <c r="Y30" s="152">
        <f t="shared" ca="1" si="46"/>
        <v>0</v>
      </c>
      <c r="Z30" s="383">
        <f t="shared" ca="1" si="47"/>
        <v>0.68125000496705368</v>
      </c>
      <c r="AA30" s="152">
        <f t="shared" ca="1" si="48"/>
        <v>0</v>
      </c>
      <c r="AB30" s="384" t="str">
        <f ca="1">IF(AA30&lt;&gt;0,tpm(AA30,Z30),"")</f>
        <v/>
      </c>
      <c r="AC30" s="152">
        <f ca="1">IF(AA30&lt;&gt;0,tDiff(AA30,Z30), 0)</f>
        <v>0</v>
      </c>
      <c r="AD30" s="385" t="str">
        <f ca="1">IF(AA30&lt;&gt;0,IF(AB30="+",MIN(MAX(tInt(AC30-Y30),0)*опережениеКВ,пределКВ),IF(tInt(AC30)&lt;=ROUNDUP(tInt(W30)*0.1,0),0,(tInt(AC30)-ROUNDUP(tInt(W30)*0.1,0))*опережениеКВ)),"DNF")</f>
        <v>DNF</v>
      </c>
      <c r="AE30" s="383">
        <f t="shared" ca="1" si="14"/>
        <v>0</v>
      </c>
      <c r="AF30" s="152">
        <f t="shared" ca="1" si="49"/>
        <v>0</v>
      </c>
      <c r="AG30" s="152">
        <f ca="1">IF(OR(AE30=0,AF30=0),0,tDiff(AF30,AE30))</f>
        <v>0</v>
      </c>
      <c r="AH30" s="386">
        <f t="shared" ca="1" si="50"/>
        <v>0</v>
      </c>
      <c r="AI30" s="386">
        <f t="shared" ca="1" si="17"/>
        <v>0</v>
      </c>
      <c r="AJ30" s="380" t="str">
        <f ca="1">IF(AI30&lt;&gt;0,tpm(AI30,AH30,"s"),"")</f>
        <v/>
      </c>
      <c r="AK30" s="386">
        <f ca="1">IF(AI30&lt;&gt;0,tDiff(AI30,AH30,"s"), 0)</f>
        <v>0</v>
      </c>
      <c r="AL30" s="387">
        <f ca="1">IF(AI30=0,пропускСФ,MIN(tInt(AK30,"s")*отклонениеРД,пределРД))</f>
        <v>1800</v>
      </c>
      <c r="AM30" s="388">
        <f t="shared" ca="1" si="51"/>
        <v>0</v>
      </c>
      <c r="AN30" s="386">
        <f t="shared" ca="1" si="18"/>
        <v>0</v>
      </c>
      <c r="AO30" s="384" t="str">
        <f ca="1">IF(AND(AM30&lt;&gt;0,AN30&lt;&gt;0),tpm(AN30,AM30,"s"),"")</f>
        <v/>
      </c>
      <c r="AP30" s="386">
        <f ca="1">IF(AND(AM30&lt;&gt;0,AN30&lt;&gt;0),tDiff(AN30,AM30,"s"), 0)</f>
        <v>0</v>
      </c>
      <c r="AQ30" s="387">
        <f ca="1">IF(AM30=0,0,IF(AN30=0,пропускДС,MIN(tInt(AP30,"s")*отклонениеРД,пределРД)))</f>
        <v>0</v>
      </c>
      <c r="AR30" s="383">
        <f t="shared" ca="1" si="19"/>
        <v>0</v>
      </c>
      <c r="AS30" s="152">
        <f t="shared" ca="1" si="52"/>
        <v>0</v>
      </c>
      <c r="AT30" s="152">
        <f t="shared" ca="1" si="53"/>
        <v>0</v>
      </c>
      <c r="AU30" s="389">
        <f t="shared" ca="1" si="54"/>
        <v>0</v>
      </c>
      <c r="AV30" s="389">
        <f t="shared" ca="1" si="55"/>
        <v>0</v>
      </c>
      <c r="AW30" s="389">
        <f t="shared" ca="1" si="56"/>
        <v>0</v>
      </c>
      <c r="AX30" s="384">
        <f t="shared" ca="1" si="57"/>
        <v>0</v>
      </c>
      <c r="AY30" s="384">
        <f t="shared" ca="1" si="58"/>
        <v>0</v>
      </c>
      <c r="AZ30" s="387">
        <f t="shared" ca="1" si="23"/>
        <v>1800</v>
      </c>
      <c r="BA30" s="383">
        <f t="shared" ca="1" si="24"/>
        <v>0</v>
      </c>
      <c r="BB30" s="152">
        <f t="shared" ca="1" si="59"/>
        <v>0</v>
      </c>
      <c r="BC30" s="152">
        <f ca="1">IF(OR(BA30=0,BB30=0),0,tDiff(BB30,BA30))</f>
        <v>0</v>
      </c>
      <c r="BD30" s="386">
        <f t="shared" ca="1" si="60"/>
        <v>0</v>
      </c>
      <c r="BE30" s="386">
        <f t="shared" ca="1" si="27"/>
        <v>0</v>
      </c>
      <c r="BF30" s="380" t="str">
        <f ca="1">IF(BE30&lt;&gt;0,tpm(BE30,BD30,"s"),"")</f>
        <v/>
      </c>
      <c r="BG30" s="386">
        <f ca="1">IF(BE30&lt;&gt;0,tDiff(BE30,BD30,"s"), 0)</f>
        <v>0</v>
      </c>
      <c r="BH30" s="387">
        <f ca="1">IF(BE30=0,пропускСФ,MIN(tInt(BG30,"s")*отклонениеРД,пределРД))</f>
        <v>1800</v>
      </c>
      <c r="BI30" s="388">
        <f t="shared" ca="1" si="61"/>
        <v>0</v>
      </c>
      <c r="BJ30" s="386">
        <f t="shared" ca="1" si="28"/>
        <v>0</v>
      </c>
      <c r="BK30" s="384" t="str">
        <f ca="1">IF(BJ30&lt;&gt;0,tpm(BJ30,BI30,"s"),"")</f>
        <v/>
      </c>
      <c r="BL30" s="386">
        <f ca="1">IF(BJ30&lt;&gt;0,tDiff(BJ30,BI30,"s"), 0)</f>
        <v>0</v>
      </c>
      <c r="BM30" s="387">
        <f ca="1">IF(BJ30=0,пропускСФ,MIN(tInt(BL30,"s")*отклонениеРД,пределРД))</f>
        <v>1800</v>
      </c>
      <c r="BN30" s="388">
        <f t="shared" ca="1" si="62"/>
        <v>0</v>
      </c>
      <c r="BO30" s="386">
        <f t="shared" ca="1" si="29"/>
        <v>0</v>
      </c>
      <c r="BP30" s="384" t="str">
        <f ca="1">IF(AND(BO30&lt;&gt;0,BN30&lt;&gt;0),tpm(BO30,BN30,"s"),"")</f>
        <v/>
      </c>
      <c r="BQ30" s="386">
        <f ca="1">IF(AND(BO30&lt;&gt;0,BN30&lt;&gt;0),tDiff(BO30,BN30,"s"), 0)</f>
        <v>0</v>
      </c>
      <c r="BR30" s="387">
        <f ca="1">IF(BN30=0,0,IF(BO30=0,пропускДС,MIN(tInt(BQ30,"s")*отклонениеРД,пределРД)))</f>
        <v>0</v>
      </c>
      <c r="BS30" s="390">
        <f t="shared" ca="1" si="30"/>
        <v>0</v>
      </c>
      <c r="BT30" s="387">
        <f t="shared" ca="1" si="63"/>
        <v>0</v>
      </c>
      <c r="BU30" s="383">
        <f t="shared" ca="1" si="32"/>
        <v>0</v>
      </c>
      <c r="BV30" s="391">
        <f t="shared" ca="1" si="64"/>
        <v>900</v>
      </c>
      <c r="BW30" s="383">
        <f t="shared" ca="1" si="34"/>
        <v>0</v>
      </c>
      <c r="BX30" s="391">
        <f t="shared" ca="1" si="65"/>
        <v>900</v>
      </c>
      <c r="BY30" s="383">
        <f t="shared" ca="1" si="34"/>
        <v>0</v>
      </c>
      <c r="BZ30" s="391">
        <f t="shared" ca="1" si="66"/>
        <v>900</v>
      </c>
      <c r="CA30" s="383">
        <f ca="1">IF(L30&lt;&gt;0,tTrunc(L30+_ВКВ1/_КВ2Скорость/24),tTrunc(K30+_ВКВ1/_КВ2Скорость/24))</f>
        <v>0.59583336114883423</v>
      </c>
      <c r="CB30" s="152">
        <f t="shared" ca="1" si="67"/>
        <v>0</v>
      </c>
      <c r="CC30" s="152">
        <f>ROUNDUP(tInt(_ВКВ1/_КВ2Скорость/24)/10,0)/1440</f>
        <v>8.3333333333333332E-3</v>
      </c>
      <c r="CD30" s="384" t="str">
        <f ca="1">IF(AND(CB30&lt;&gt;0,CA30&lt;&gt;0),tpm(CB30,CA30),"")</f>
        <v/>
      </c>
      <c r="CE30" s="152">
        <f ca="1">IF(CB30&lt;&gt;0,tDiff(CB30,CA30), 0)</f>
        <v>0</v>
      </c>
      <c r="CF30" s="391">
        <f ca="1">IF(CB30&lt;&gt;0,IF(CD30="+",0,IF(CE30&gt;CC30,tInt(CE30-CC30)*опережениеКВ,0)),пропускКВ)</f>
        <v>900</v>
      </c>
    </row>
    <row r="31" spans="1:84" s="367" customFormat="1" x14ac:dyDescent="0.25">
      <c r="A31" s="586">
        <f>стартоваяВедомость!B32</f>
        <v>22</v>
      </c>
      <c r="B31" s="355" t="str">
        <f t="shared" ca="1" si="0"/>
        <v>Scoda Rapid</v>
      </c>
      <c r="C31" s="355" t="str">
        <f t="shared" ca="1" si="1"/>
        <v>Лучкин Андрей</v>
      </c>
      <c r="D31" s="355" t="str">
        <f t="shared" ca="1" si="2"/>
        <v>Лучкин Роман</v>
      </c>
      <c r="E31" s="355" t="str">
        <f t="shared" ca="1" si="3"/>
        <v>гор. Смоленск</v>
      </c>
      <c r="F31" s="355" t="str">
        <f t="shared" ca="1" si="4"/>
        <v>Модерн-ПРО</v>
      </c>
      <c r="G31" s="356">
        <f t="shared" ca="1" si="37"/>
        <v>2610.3000000000002</v>
      </c>
      <c r="H31" s="356">
        <f t="shared" ca="1" si="38"/>
        <v>0</v>
      </c>
      <c r="I31" s="356">
        <f t="shared" ca="1" si="39"/>
        <v>2610.3000000000002</v>
      </c>
      <c r="J31" s="356">
        <f t="shared" ca="1" si="40"/>
        <v>0</v>
      </c>
      <c r="K31" s="357">
        <f t="shared" ca="1" si="6"/>
        <v>0.51527777777777772</v>
      </c>
      <c r="L31" s="358">
        <f t="shared" ca="1" si="41"/>
        <v>0.51527777777777783</v>
      </c>
      <c r="M31" s="359" t="str">
        <f ca="1">IF(L31&lt;&gt;0,tpm(L31,K31),"")</f>
        <v/>
      </c>
      <c r="N31" s="358">
        <f ca="1">IF(L31&lt;&gt;0,tDiff(L31,K31), 0)</f>
        <v>0</v>
      </c>
      <c r="O31" s="360">
        <f ca="1">IF(L31&lt;&gt;0,IF(M31="+",MIN(tInt(N31)*опережениеКВ,пределКВ),tInt(N31)*опережениеКВ),"DNS")</f>
        <v>0</v>
      </c>
      <c r="P31" s="358">
        <f t="shared" si="8"/>
        <v>8.3333335816860199E-2</v>
      </c>
      <c r="Q31" s="358">
        <f t="shared" ca="1" si="42"/>
        <v>2.0833015441894531E-3</v>
      </c>
      <c r="R31" s="357">
        <f t="shared" ca="1" si="43"/>
        <v>0.59861111359463803</v>
      </c>
      <c r="S31" s="358">
        <f t="shared" ca="1" si="44"/>
        <v>0.59861111111111109</v>
      </c>
      <c r="T31" s="359" t="str">
        <f ca="1">IF(S31&lt;&gt;0,tpm(S31,R31),"")</f>
        <v/>
      </c>
      <c r="U31" s="358">
        <f ca="1">IF(S31&lt;&gt;0,tDiff(S31,R31), 0)</f>
        <v>0</v>
      </c>
      <c r="V31" s="360">
        <f ca="1">IF(S31&lt;&gt;0,IF(T31="+",MIN(MAX(tInt(U31-Q31),0)*опережениеКВ,пределКВ),tInt(U31)*опережениеКВ),пропускКВ)</f>
        <v>0</v>
      </c>
      <c r="W31" s="358">
        <f t="shared" si="11"/>
        <v>8.3333335816860199E-2</v>
      </c>
      <c r="X31" s="358">
        <f t="shared" ca="1" si="45"/>
        <v>0</v>
      </c>
      <c r="Y31" s="358">
        <f t="shared" ca="1" si="46"/>
        <v>0</v>
      </c>
      <c r="Z31" s="357">
        <f t="shared" ca="1" si="47"/>
        <v>0.68194444692797129</v>
      </c>
      <c r="AA31" s="358">
        <f t="shared" ca="1" si="48"/>
        <v>0.67499999999999993</v>
      </c>
      <c r="AB31" s="359" t="str">
        <f ca="1">IF(AA31&lt;&gt;0,tpm(AA31,Z31),"")</f>
        <v>-</v>
      </c>
      <c r="AC31" s="358">
        <f ca="1">IF(AA31&lt;&gt;0,tDiff(AA31,Z31), 0)</f>
        <v>6.9444179534912109E-3</v>
      </c>
      <c r="AD31" s="360">
        <f ca="1">IF(AA31&lt;&gt;0,IF(AB31="+",MIN(MAX(tInt(AC31-Y31),0)*опережениеКВ,пределКВ),IF(tInt(AC31)&lt;=ROUNDUP(tInt(W31)*0.1,0),0,(tInt(AC31)-ROUNDUP(tInt(W31)*0.1,0))*опережениеКВ)),"DNF")</f>
        <v>0</v>
      </c>
      <c r="AE31" s="357">
        <f t="shared" ca="1" si="14"/>
        <v>0.54583333333333328</v>
      </c>
      <c r="AF31" s="358">
        <f t="shared" ca="1" si="49"/>
        <v>0.54791666666666672</v>
      </c>
      <c r="AG31" s="358">
        <f ca="1">IF(OR(AE31=0,AF31=0),0,tDiff(AF31,AE31))</f>
        <v>2.0833015441894531E-3</v>
      </c>
      <c r="AH31" s="362">
        <f t="shared" ca="1" si="50"/>
        <v>0.56030092592592595</v>
      </c>
      <c r="AI31" s="362">
        <f t="shared" ca="1" si="17"/>
        <v>0.56027777777777776</v>
      </c>
      <c r="AJ31" s="354" t="str">
        <f ca="1">IF(AI31&lt;&gt;0,tpm(AI31,AH31,"s"),"")</f>
        <v>-</v>
      </c>
      <c r="AK31" s="362">
        <f ca="1">IF(AI31&lt;&gt;0,tDiff(AI31,AH31,"s"), 0)</f>
        <v>2.3186206817626953E-5</v>
      </c>
      <c r="AL31" s="363">
        <f ca="1">IF(AI31=0,пропускСФ,MIN(tInt(AK31,"s")*отклонениеРД,пределРД))</f>
        <v>2</v>
      </c>
      <c r="AM31" s="364">
        <f t="shared" ca="1" si="51"/>
        <v>0.56385416666666666</v>
      </c>
      <c r="AN31" s="362">
        <f t="shared" ca="1" si="18"/>
        <v>0.56431712962962965</v>
      </c>
      <c r="AO31" s="359" t="str">
        <f ca="1">IF(AND(AM31&lt;&gt;0,AN31&lt;&gt;0),tpm(AN31,AM31,"s"),"")</f>
        <v>+</v>
      </c>
      <c r="AP31" s="362">
        <f ca="1">IF(AND(AM31&lt;&gt;0,AN31&lt;&gt;0),tDiff(AN31,AM31,"s"), 0)</f>
        <v>4.6294927597045898E-4</v>
      </c>
      <c r="AQ31" s="363">
        <f ca="1">IF(AM31=0,0,IF(AN31=0,пропускДС,MIN(tInt(AP31,"s")*отклонениеРД,пределРД)))</f>
        <v>40</v>
      </c>
      <c r="AR31" s="357">
        <f t="shared" ca="1" si="19"/>
        <v>0</v>
      </c>
      <c r="AS31" s="358">
        <f t="shared" ca="1" si="52"/>
        <v>0</v>
      </c>
      <c r="AT31" s="358">
        <f t="shared" ca="1" si="53"/>
        <v>0</v>
      </c>
      <c r="AU31" s="365">
        <f t="shared" ca="1" si="54"/>
        <v>56.1</v>
      </c>
      <c r="AV31" s="365">
        <f t="shared" ca="1" si="55"/>
        <v>0</v>
      </c>
      <c r="AW31" s="365">
        <f t="shared" ca="1" si="56"/>
        <v>0</v>
      </c>
      <c r="AX31" s="359">
        <f t="shared" ca="1" si="57"/>
        <v>0</v>
      </c>
      <c r="AY31" s="359">
        <f t="shared" ca="1" si="58"/>
        <v>0</v>
      </c>
      <c r="AZ31" s="363">
        <f t="shared" ca="1" si="23"/>
        <v>168.3</v>
      </c>
      <c r="BA31" s="357">
        <f t="shared" ca="1" si="24"/>
        <v>0</v>
      </c>
      <c r="BB31" s="358">
        <f t="shared" ca="1" si="59"/>
        <v>0.62916666666666665</v>
      </c>
      <c r="BC31" s="358">
        <f ca="1">IF(OR(BA31=0,BB31=0),0,tDiff(BB31,BA31))</f>
        <v>0</v>
      </c>
      <c r="BD31" s="362">
        <f t="shared" ca="1" si="60"/>
        <v>0.63770833333333332</v>
      </c>
      <c r="BE31" s="362">
        <f t="shared" ca="1" si="27"/>
        <v>0.64837962962962969</v>
      </c>
      <c r="BF31" s="354" t="str">
        <f ca="1">IF(BE31&lt;&gt;0,tpm(BE31,BD31,"s"),"")</f>
        <v>+</v>
      </c>
      <c r="BG31" s="362">
        <f ca="1">IF(BE31&lt;&gt;0,tDiff(BE31,BD31,"s"), 0)</f>
        <v>1.0671317577362061E-2</v>
      </c>
      <c r="BH31" s="363">
        <f ca="1">IF(BE31=0,пропускСФ,MIN(tInt(BG31,"s")*отклонениеРД,пределРД))</f>
        <v>600</v>
      </c>
      <c r="BI31" s="364">
        <f t="shared" ca="1" si="61"/>
        <v>0.65954861111111118</v>
      </c>
      <c r="BJ31" s="362">
        <f t="shared" ca="1" si="28"/>
        <v>0</v>
      </c>
      <c r="BK31" s="359" t="str">
        <f ca="1">IF(BJ31&lt;&gt;0,tpm(BJ31,BI31,"s"),"")</f>
        <v/>
      </c>
      <c r="BL31" s="362">
        <f ca="1">IF(BJ31&lt;&gt;0,tDiff(BJ31,BI31,"s"), 0)</f>
        <v>0</v>
      </c>
      <c r="BM31" s="363">
        <f ca="1">IF(BJ31=0,пропускСФ,MIN(tInt(BL31,"s")*отклонениеРД,пределРД))</f>
        <v>1800</v>
      </c>
      <c r="BN31" s="364">
        <f t="shared" ca="1" si="62"/>
        <v>0</v>
      </c>
      <c r="BO31" s="362">
        <f t="shared" ca="1" si="29"/>
        <v>0.65969907407407413</v>
      </c>
      <c r="BP31" s="359" t="str">
        <f ca="1">IF(AND(BO31&lt;&gt;0,BN31&lt;&gt;0),tpm(BO31,BN31,"s"),"")</f>
        <v/>
      </c>
      <c r="BQ31" s="362">
        <f ca="1">IF(AND(BO31&lt;&gt;0,BN31&lt;&gt;0),tDiff(BO31,BN31,"s"), 0)</f>
        <v>0</v>
      </c>
      <c r="BR31" s="363">
        <f ca="1">IF(BN31=0,0,IF(BO31=0,пропускДС,MIN(tInt(BQ31,"s")*отклонениеРД,пределРД)))</f>
        <v>0</v>
      </c>
      <c r="BS31" s="366">
        <f t="shared" ca="1" si="30"/>
        <v>0</v>
      </c>
      <c r="BT31" s="363">
        <f t="shared" ca="1" si="63"/>
        <v>0</v>
      </c>
      <c r="BU31" s="357">
        <f t="shared" ca="1" si="32"/>
        <v>0.52986111111111112</v>
      </c>
      <c r="BV31" s="361">
        <f t="shared" ca="1" si="64"/>
        <v>0</v>
      </c>
      <c r="BW31" s="357">
        <f t="shared" ca="1" si="34"/>
        <v>0.53402777777777777</v>
      </c>
      <c r="BX31" s="361">
        <f t="shared" ca="1" si="65"/>
        <v>0</v>
      </c>
      <c r="BY31" s="357">
        <f t="shared" ca="1" si="34"/>
        <v>0.5854166666666667</v>
      </c>
      <c r="BZ31" s="361">
        <f t="shared" ca="1" si="66"/>
        <v>0</v>
      </c>
      <c r="CA31" s="357">
        <f ca="1">IF(L31&lt;&gt;0,tTrunc(L31+_ВКВ1/_КВ2Скорость/24),tTrunc(K31+_ВКВ1/_КВ2Скорость/24))</f>
        <v>0.59652775526046753</v>
      </c>
      <c r="CB31" s="358">
        <f t="shared" ca="1" si="67"/>
        <v>0.59375</v>
      </c>
      <c r="CC31" s="358">
        <f>ROUNDUP(tInt(_ВКВ1/_КВ2Скорость/24)/10,0)/1440</f>
        <v>8.3333333333333332E-3</v>
      </c>
      <c r="CD31" s="359" t="str">
        <f ca="1">IF(AND(CB31&lt;&gt;0,CA31&lt;&gt;0),tpm(CB31,CA31),"")</f>
        <v>-</v>
      </c>
      <c r="CE31" s="358">
        <f ca="1">IF(CB31&lt;&gt;0,tDiff(CB31,CA31), 0)</f>
        <v>2.7777552604675293E-3</v>
      </c>
      <c r="CF31" s="361">
        <f ca="1">IF(CB31&lt;&gt;0,IF(CD31="+",0,IF(CE31&gt;CC31,tInt(CE31-CC31)*опережениеКВ,0)),пропускКВ)</f>
        <v>0</v>
      </c>
    </row>
    <row r="32" spans="1:84" s="22" customFormat="1" x14ac:dyDescent="0.25">
      <c r="A32" s="587">
        <f>стартоваяВедомость!B33</f>
        <v>23</v>
      </c>
      <c r="B32" s="381" t="str">
        <f t="shared" ca="1" si="0"/>
        <v>MAZDA6 4wd</v>
      </c>
      <c r="C32" s="381" t="str">
        <f t="shared" ca="1" si="1"/>
        <v>Иванов Кирилл</v>
      </c>
      <c r="D32" s="381" t="str">
        <f t="shared" ca="1" si="2"/>
        <v>Афанасьев Никита</v>
      </c>
      <c r="E32" s="381" t="str">
        <f t="shared" ca="1" si="3"/>
        <v>Смоленск</v>
      </c>
      <c r="F32" s="381" t="str">
        <f t="shared" ca="1" si="4"/>
        <v>Модерн-ПРО</v>
      </c>
      <c r="G32" s="382">
        <f t="shared" ca="1" si="37"/>
        <v>1657.6</v>
      </c>
      <c r="H32" s="382">
        <f t="shared" ca="1" si="38"/>
        <v>900</v>
      </c>
      <c r="I32" s="382">
        <f t="shared" ca="1" si="39"/>
        <v>757.6</v>
      </c>
      <c r="J32" s="382">
        <f t="shared" ca="1" si="40"/>
        <v>0</v>
      </c>
      <c r="K32" s="383">
        <f t="shared" ca="1" si="6"/>
        <v>0.51597222222222217</v>
      </c>
      <c r="L32" s="152">
        <f t="shared" ca="1" si="41"/>
        <v>0.51597222222222217</v>
      </c>
      <c r="M32" s="384" t="str">
        <f ca="1">IF(L32&lt;&gt;0,tpm(L32,K32),"")</f>
        <v/>
      </c>
      <c r="N32" s="152">
        <f ca="1">IF(L32&lt;&gt;0,tDiff(L32,K32), 0)</f>
        <v>0</v>
      </c>
      <c r="O32" s="385">
        <f ca="1">IF(L32&lt;&gt;0,IF(M32="+",MIN(tInt(N32)*опережениеКВ,пределКВ),tInt(N32)*опережениеКВ),"DNS")</f>
        <v>0</v>
      </c>
      <c r="P32" s="152">
        <f t="shared" si="8"/>
        <v>8.3333335816860199E-2</v>
      </c>
      <c r="Q32" s="152">
        <f t="shared" ca="1" si="42"/>
        <v>0</v>
      </c>
      <c r="R32" s="383">
        <f t="shared" ca="1" si="43"/>
        <v>0.59930555803908236</v>
      </c>
      <c r="S32" s="152">
        <f t="shared" ca="1" si="44"/>
        <v>0</v>
      </c>
      <c r="T32" s="384" t="str">
        <f ca="1">IF(S32&lt;&gt;0,tpm(S32,R32),"")</f>
        <v/>
      </c>
      <c r="U32" s="152">
        <f ca="1">IF(S32&lt;&gt;0,tDiff(S32,R32), 0)</f>
        <v>0</v>
      </c>
      <c r="V32" s="385">
        <f ca="1">IF(S32&lt;&gt;0,IF(T32="+",MIN(MAX(tInt(U32-Q32),0)*опережениеКВ,пределКВ),tInt(U32)*опережениеКВ),пропускКВ)</f>
        <v>900</v>
      </c>
      <c r="W32" s="152">
        <f t="shared" si="11"/>
        <v>8.3333335816860199E-2</v>
      </c>
      <c r="X32" s="152">
        <f t="shared" ca="1" si="45"/>
        <v>1.6666666666666607E-2</v>
      </c>
      <c r="Y32" s="152">
        <f t="shared" ca="1" si="46"/>
        <v>1.6666666666666607E-2</v>
      </c>
      <c r="Z32" s="383">
        <f t="shared" ca="1" si="47"/>
        <v>0.68263889385594256</v>
      </c>
      <c r="AA32" s="152">
        <f t="shared" ca="1" si="48"/>
        <v>0.68541666666666667</v>
      </c>
      <c r="AB32" s="384" t="str">
        <f ca="1">IF(AA32&lt;&gt;0,tpm(AA32,Z32),"")</f>
        <v>+</v>
      </c>
      <c r="AC32" s="152">
        <f ca="1">IF(AA32&lt;&gt;0,tDiff(AA32,Z32), 0)</f>
        <v>2.7777552604675293E-3</v>
      </c>
      <c r="AD32" s="385">
        <f ca="1">IF(AA32&lt;&gt;0,IF(AB32="+",MIN(MAX(tInt(AC32-Y32),0)*опережениеКВ,пределКВ),IF(tInt(AC32)&lt;=ROUNDUP(tInt(W32)*0.1,0),0,(tInt(AC32)-ROUNDUP(tInt(W32)*0.1,0))*опережениеКВ)),"DNF")</f>
        <v>0</v>
      </c>
      <c r="AE32" s="383">
        <f t="shared" ca="1" si="14"/>
        <v>0</v>
      </c>
      <c r="AF32" s="152">
        <f t="shared" ca="1" si="49"/>
        <v>0.54583333333333328</v>
      </c>
      <c r="AG32" s="152">
        <f ca="1">IF(OR(AE32=0,AF32=0),0,tDiff(AF32,AE32))</f>
        <v>0</v>
      </c>
      <c r="AH32" s="386">
        <f t="shared" ca="1" si="50"/>
        <v>0.55821759259259252</v>
      </c>
      <c r="AI32" s="386">
        <f t="shared" ca="1" si="17"/>
        <v>0.55862268518518521</v>
      </c>
      <c r="AJ32" s="380" t="str">
        <f ca="1">IF(AI32&lt;&gt;0,tpm(AI32,AH32,"s"),"")</f>
        <v>+</v>
      </c>
      <c r="AK32" s="386">
        <f ca="1">IF(AI32&lt;&gt;0,tDiff(AI32,AH32,"s"), 0)</f>
        <v>4.0507316589355469E-4</v>
      </c>
      <c r="AL32" s="387">
        <f ca="1">IF(AI32=0,пропускСФ,MIN(tInt(AK32,"s")*отклонениеРД,пределРД))</f>
        <v>35</v>
      </c>
      <c r="AM32" s="388">
        <f t="shared" ca="1" si="51"/>
        <v>0.5621990740740741</v>
      </c>
      <c r="AN32" s="386">
        <f t="shared" ca="1" si="18"/>
        <v>0.56284722222222217</v>
      </c>
      <c r="AO32" s="384" t="str">
        <f ca="1">IF(AND(AM32&lt;&gt;0,AN32&lt;&gt;0),tpm(AN32,AM32,"s"),"")</f>
        <v>+</v>
      </c>
      <c r="AP32" s="386">
        <f ca="1">IF(AND(AM32&lt;&gt;0,AN32&lt;&gt;0),tDiff(AN32,AM32,"s"), 0)</f>
        <v>6.4814090728759766E-4</v>
      </c>
      <c r="AQ32" s="387">
        <f ca="1">IF(AM32=0,0,IF(AN32=0,пропускДС,MIN(tInt(AP32,"s")*отклонениеРД,пределРД)))</f>
        <v>56</v>
      </c>
      <c r="AR32" s="383">
        <f t="shared" ca="1" si="19"/>
        <v>0.61388888888888882</v>
      </c>
      <c r="AS32" s="152">
        <f t="shared" ca="1" si="52"/>
        <v>0.63055555555555554</v>
      </c>
      <c r="AT32" s="152">
        <f t="shared" ca="1" si="53"/>
        <v>1.6666666666666607E-2</v>
      </c>
      <c r="AU32" s="389">
        <f t="shared" ca="1" si="54"/>
        <v>45.2</v>
      </c>
      <c r="AV32" s="389">
        <f t="shared" ca="1" si="55"/>
        <v>0</v>
      </c>
      <c r="AW32" s="389">
        <f t="shared" ca="1" si="56"/>
        <v>0</v>
      </c>
      <c r="AX32" s="384">
        <f t="shared" ca="1" si="57"/>
        <v>0</v>
      </c>
      <c r="AY32" s="384">
        <f t="shared" ca="1" si="58"/>
        <v>0</v>
      </c>
      <c r="AZ32" s="387">
        <f t="shared" ca="1" si="23"/>
        <v>135.60000000000002</v>
      </c>
      <c r="BA32" s="383">
        <f t="shared" ca="1" si="24"/>
        <v>0</v>
      </c>
      <c r="BB32" s="152">
        <f t="shared" ca="1" si="59"/>
        <v>0.63611111111111118</v>
      </c>
      <c r="BC32" s="152">
        <f ca="1">IF(OR(BA32=0,BB32=0),0,tDiff(BB32,BA32))</f>
        <v>0</v>
      </c>
      <c r="BD32" s="386">
        <f t="shared" ca="1" si="60"/>
        <v>0.64465277777777785</v>
      </c>
      <c r="BE32" s="386">
        <f t="shared" ca="1" si="27"/>
        <v>0.64357638888888891</v>
      </c>
      <c r="BF32" s="380" t="str">
        <f ca="1">IF(BE32&lt;&gt;0,tpm(BE32,BD32,"s"),"")</f>
        <v>-</v>
      </c>
      <c r="BG32" s="386">
        <f ca="1">IF(BE32&lt;&gt;0,tDiff(BE32,BD32,"s"), 0)</f>
        <v>1.0764002799987793E-3</v>
      </c>
      <c r="BH32" s="387">
        <f ca="1">IF(BE32=0,пропускСФ,MIN(tInt(BG32,"s")*отклонениеРД,пределРД))</f>
        <v>93</v>
      </c>
      <c r="BI32" s="388">
        <f t="shared" ca="1" si="61"/>
        <v>0.65474537037037039</v>
      </c>
      <c r="BJ32" s="386">
        <f t="shared" ca="1" si="28"/>
        <v>0.65954861111111118</v>
      </c>
      <c r="BK32" s="384" t="str">
        <f ca="1">IF(BJ32&lt;&gt;0,tpm(BJ32,BI32,"s"),"")</f>
        <v>+</v>
      </c>
      <c r="BL32" s="386">
        <f ca="1">IF(BJ32&lt;&gt;0,tDiff(BJ32,BI32,"s"), 0)</f>
        <v>4.8032402992248535E-3</v>
      </c>
      <c r="BM32" s="387">
        <f ca="1">IF(BJ32=0,пропускСФ,MIN(tInt(BL32,"s")*отклонениеРД,пределРД))</f>
        <v>415</v>
      </c>
      <c r="BN32" s="388">
        <f t="shared" ca="1" si="62"/>
        <v>0.67090277777777785</v>
      </c>
      <c r="BO32" s="386">
        <f t="shared" ca="1" si="29"/>
        <v>0.67116898148148152</v>
      </c>
      <c r="BP32" s="384" t="str">
        <f ca="1">IF(AND(BO32&lt;&gt;0,BN32&lt;&gt;0),tpm(BO32,BN32,"s"),"")</f>
        <v>+</v>
      </c>
      <c r="BQ32" s="386">
        <f ca="1">IF(AND(BO32&lt;&gt;0,BN32&lt;&gt;0),tDiff(BO32,BN32,"s"), 0)</f>
        <v>2.6619434356689453E-4</v>
      </c>
      <c r="BR32" s="387">
        <f ca="1">IF(BN32=0,0,IF(BO32=0,пропускДС,MIN(tInt(BQ32,"s")*отклонениеРД,пределРД)))</f>
        <v>23</v>
      </c>
      <c r="BS32" s="390">
        <f t="shared" ca="1" si="30"/>
        <v>0</v>
      </c>
      <c r="BT32" s="387">
        <f t="shared" ca="1" si="63"/>
        <v>0</v>
      </c>
      <c r="BU32" s="383">
        <f t="shared" ca="1" si="32"/>
        <v>0.52986111111111112</v>
      </c>
      <c r="BV32" s="391">
        <f t="shared" ca="1" si="64"/>
        <v>0</v>
      </c>
      <c r="BW32" s="383">
        <f t="shared" ca="1" si="34"/>
        <v>0.53402777777777777</v>
      </c>
      <c r="BX32" s="391">
        <f t="shared" ca="1" si="65"/>
        <v>0</v>
      </c>
      <c r="BY32" s="383">
        <f t="shared" ca="1" si="34"/>
        <v>0.58611111111111114</v>
      </c>
      <c r="BZ32" s="391">
        <f t="shared" ca="1" si="66"/>
        <v>0</v>
      </c>
      <c r="CA32" s="383">
        <f ca="1">IF(L32&lt;&gt;0,tTrunc(L32+_ВКВ1/_КВ2Скорость/24),tTrunc(K32+_ВКВ1/_КВ2Скорость/24))</f>
        <v>0.59722220897674561</v>
      </c>
      <c r="CB32" s="152">
        <f t="shared" ca="1" si="67"/>
        <v>0.59652777777777777</v>
      </c>
      <c r="CC32" s="152">
        <f>ROUNDUP(tInt(_ВКВ1/_КВ2Скорость/24)/10,0)/1440</f>
        <v>8.3333333333333332E-3</v>
      </c>
      <c r="CD32" s="384" t="str">
        <f ca="1">IF(AND(CB32&lt;&gt;0,CA32&lt;&gt;0),tpm(CB32,CA32),"")</f>
        <v>-</v>
      </c>
      <c r="CE32" s="152">
        <f ca="1">IF(CB32&lt;&gt;0,tDiff(CB32,CA32), 0)</f>
        <v>6.9445371627807617E-4</v>
      </c>
      <c r="CF32" s="391">
        <f ca="1">IF(CB32&lt;&gt;0,IF(CD32="+",0,IF(CE32&gt;CC32,tInt(CE32-CC32)*опережениеКВ,0)),пропускКВ)</f>
        <v>0</v>
      </c>
    </row>
    <row r="33" spans="1:84" s="367" customFormat="1" x14ac:dyDescent="0.25">
      <c r="A33" s="586">
        <f>стартоваяВедомость!B34</f>
        <v>24</v>
      </c>
      <c r="B33" s="355" t="str">
        <f t="shared" ca="1" si="0"/>
        <v>Toyota RAV4</v>
      </c>
      <c r="C33" s="355" t="str">
        <f t="shared" ca="1" si="1"/>
        <v>Кананадзе Сергей</v>
      </c>
      <c r="D33" s="355" t="str">
        <f t="shared" ca="1" si="2"/>
        <v>Подшивалов Александр</v>
      </c>
      <c r="E33" s="355" t="str">
        <f t="shared" ca="1" si="3"/>
        <v>Москва / Люберцы</v>
      </c>
      <c r="F33" s="355" t="str">
        <f t="shared" ca="1" si="4"/>
        <v>Модерн-ПРО</v>
      </c>
      <c r="G33" s="356">
        <f t="shared" ca="1" si="37"/>
        <v>108.9</v>
      </c>
      <c r="H33" s="356">
        <f t="shared" ca="1" si="38"/>
        <v>0</v>
      </c>
      <c r="I33" s="356">
        <f t="shared" ca="1" si="39"/>
        <v>108.9</v>
      </c>
      <c r="J33" s="356">
        <f t="shared" ca="1" si="40"/>
        <v>0</v>
      </c>
      <c r="K33" s="357">
        <f t="shared" ca="1" si="6"/>
        <v>0.51666666666666661</v>
      </c>
      <c r="L33" s="358">
        <f t="shared" ca="1" si="41"/>
        <v>0.51666666666666672</v>
      </c>
      <c r="M33" s="359" t="str">
        <f ca="1">IF(L33&lt;&gt;0,tpm(L33,K33),"")</f>
        <v/>
      </c>
      <c r="N33" s="358">
        <f ca="1">IF(L33&lt;&gt;0,tDiff(L33,K33), 0)</f>
        <v>0</v>
      </c>
      <c r="O33" s="360">
        <f ca="1">IF(L33&lt;&gt;0,IF(M33="+",MIN(tInt(N33)*опережениеКВ,пределКВ),tInt(N33)*опережениеКВ),"DNS")</f>
        <v>0</v>
      </c>
      <c r="P33" s="358">
        <f t="shared" si="8"/>
        <v>8.3333335816860199E-2</v>
      </c>
      <c r="Q33" s="358">
        <f t="shared" ca="1" si="42"/>
        <v>3.4722089767456055E-3</v>
      </c>
      <c r="R33" s="357">
        <f t="shared" ca="1" si="43"/>
        <v>0.60000000248352692</v>
      </c>
      <c r="S33" s="358">
        <f t="shared" ca="1" si="44"/>
        <v>0.6</v>
      </c>
      <c r="T33" s="359" t="str">
        <f ca="1">IF(S33&lt;&gt;0,tpm(S33,R33),"")</f>
        <v/>
      </c>
      <c r="U33" s="358">
        <f ca="1">IF(S33&lt;&gt;0,tDiff(S33,R33), 0)</f>
        <v>0</v>
      </c>
      <c r="V33" s="360">
        <f ca="1">IF(S33&lt;&gt;0,IF(T33="+",MIN(MAX(tInt(U33-Q33),0)*опережениеКВ,пределКВ),tInt(U33)*опережениеКВ),пропускКВ)</f>
        <v>0</v>
      </c>
      <c r="W33" s="358">
        <f t="shared" si="11"/>
        <v>8.3333335816860199E-2</v>
      </c>
      <c r="X33" s="358">
        <f t="shared" ca="1" si="45"/>
        <v>0</v>
      </c>
      <c r="Y33" s="358">
        <f t="shared" ca="1" si="46"/>
        <v>0</v>
      </c>
      <c r="Z33" s="357">
        <f t="shared" ca="1" si="47"/>
        <v>0.68333333581686018</v>
      </c>
      <c r="AA33" s="358">
        <f t="shared" ca="1" si="48"/>
        <v>0.68125000000000002</v>
      </c>
      <c r="AB33" s="359" t="str">
        <f ca="1">IF(AA33&lt;&gt;0,tpm(AA33,Z33),"")</f>
        <v>-</v>
      </c>
      <c r="AC33" s="358">
        <f ca="1">IF(AA33&lt;&gt;0,tDiff(AA33,Z33), 0)</f>
        <v>2.0833611488342285E-3</v>
      </c>
      <c r="AD33" s="360">
        <f ca="1">IF(AA33&lt;&gt;0,IF(AB33="+",MIN(MAX(tInt(AC33-Y33),0)*опережениеКВ,пределКВ),IF(tInt(AC33)&lt;=ROUNDUP(tInt(W33)*0.1,0),0,(tInt(AC33)-ROUNDUP(tInt(W33)*0.1,0))*опережениеКВ)),"DNF")</f>
        <v>0</v>
      </c>
      <c r="AE33" s="357">
        <f t="shared" ca="1" si="14"/>
        <v>0.54513888888888895</v>
      </c>
      <c r="AF33" s="358">
        <f t="shared" ca="1" si="49"/>
        <v>0.54861111111111105</v>
      </c>
      <c r="AG33" s="358">
        <f ca="1">IF(OR(AE33=0,AF33=0),0,tDiff(AF33,AE33))</f>
        <v>3.4722089767456055E-3</v>
      </c>
      <c r="AH33" s="362">
        <f t="shared" ca="1" si="50"/>
        <v>0.56099537037037028</v>
      </c>
      <c r="AI33" s="362">
        <f t="shared" ca="1" si="17"/>
        <v>0.5611342592592593</v>
      </c>
      <c r="AJ33" s="354" t="str">
        <f ca="1">IF(AI33&lt;&gt;0,tpm(AI33,AH33,"s"),"")</f>
        <v>+</v>
      </c>
      <c r="AK33" s="362">
        <f ca="1">IF(AI33&lt;&gt;0,tDiff(AI33,AH33,"s"), 0)</f>
        <v>1.3887882232666016E-4</v>
      </c>
      <c r="AL33" s="363">
        <f ca="1">IF(AI33=0,пропускСФ,MIN(tInt(AK33,"s")*отклонениеРД,пределРД))</f>
        <v>12</v>
      </c>
      <c r="AM33" s="364">
        <f t="shared" ca="1" si="51"/>
        <v>0.5647106481481482</v>
      </c>
      <c r="AN33" s="362">
        <f t="shared" ca="1" si="18"/>
        <v>0.56473379629629628</v>
      </c>
      <c r="AO33" s="359" t="str">
        <f ca="1">IF(AND(AM33&lt;&gt;0,AN33&lt;&gt;0),tpm(AN33,AM33,"s"),"")</f>
        <v>+</v>
      </c>
      <c r="AP33" s="362">
        <f ca="1">IF(AND(AM33&lt;&gt;0,AN33&lt;&gt;0),tDiff(AN33,AM33,"s"), 0)</f>
        <v>2.3126602172851563E-5</v>
      </c>
      <c r="AQ33" s="363">
        <f ca="1">IF(AM33=0,0,IF(AN33=0,пропускДС,MIN(tInt(AP33,"s")*отклонениеРД,пределРД)))</f>
        <v>2</v>
      </c>
      <c r="AR33" s="357">
        <f t="shared" ca="1" si="19"/>
        <v>0</v>
      </c>
      <c r="AS33" s="358">
        <f t="shared" ca="1" si="52"/>
        <v>0</v>
      </c>
      <c r="AT33" s="358">
        <f t="shared" ca="1" si="53"/>
        <v>0</v>
      </c>
      <c r="AU33" s="365">
        <f t="shared" ca="1" si="54"/>
        <v>23.3</v>
      </c>
      <c r="AV33" s="365">
        <f t="shared" ca="1" si="55"/>
        <v>0</v>
      </c>
      <c r="AW33" s="365">
        <f t="shared" ca="1" si="56"/>
        <v>1</v>
      </c>
      <c r="AX33" s="359">
        <f t="shared" ca="1" si="57"/>
        <v>0</v>
      </c>
      <c r="AY33" s="359">
        <f t="shared" ca="1" si="58"/>
        <v>0</v>
      </c>
      <c r="AZ33" s="363">
        <f t="shared" ca="1" si="23"/>
        <v>84.9</v>
      </c>
      <c r="BA33" s="357">
        <f t="shared" ca="1" si="24"/>
        <v>0</v>
      </c>
      <c r="BB33" s="358">
        <f t="shared" ca="1" si="59"/>
        <v>0.63680555555555551</v>
      </c>
      <c r="BC33" s="358">
        <f ca="1">IF(OR(BA33=0,BB33=0),0,tDiff(BB33,BA33))</f>
        <v>0</v>
      </c>
      <c r="BD33" s="362">
        <f t="shared" ca="1" si="60"/>
        <v>0.64534722222222218</v>
      </c>
      <c r="BE33" s="362">
        <f t="shared" ca="1" si="27"/>
        <v>0.64538194444444441</v>
      </c>
      <c r="BF33" s="354" t="str">
        <f ca="1">IF(BE33&lt;&gt;0,tpm(BE33,BD33,"s"),"")</f>
        <v>+</v>
      </c>
      <c r="BG33" s="362">
        <f ca="1">IF(BE33&lt;&gt;0,tDiff(BE33,BD33,"s"), 0)</f>
        <v>3.4689903259277344E-5</v>
      </c>
      <c r="BH33" s="363">
        <f ca="1">IF(BE33=0,пропускСФ,MIN(tInt(BG33,"s")*отклонениеРД,пределРД))</f>
        <v>3</v>
      </c>
      <c r="BI33" s="364">
        <f t="shared" ca="1" si="61"/>
        <v>0.6565509259259259</v>
      </c>
      <c r="BJ33" s="362">
        <f t="shared" ca="1" si="28"/>
        <v>0.65653935185185186</v>
      </c>
      <c r="BK33" s="359" t="str">
        <f ca="1">IF(BJ33&lt;&gt;0,tpm(BJ33,BI33,"s"),"")</f>
        <v>-</v>
      </c>
      <c r="BL33" s="362">
        <f ca="1">IF(BJ33&lt;&gt;0,tDiff(BJ33,BI33,"s"), 0)</f>
        <v>1.1563301086425781E-5</v>
      </c>
      <c r="BM33" s="363">
        <f ca="1">IF(BJ33=0,пропускСФ,MIN(tInt(BL33,"s")*отклонениеРД,пределРД))</f>
        <v>1</v>
      </c>
      <c r="BN33" s="364">
        <f t="shared" ca="1" si="62"/>
        <v>0.66789351851851853</v>
      </c>
      <c r="BO33" s="362">
        <f t="shared" ca="1" si="29"/>
        <v>0.66796296296296298</v>
      </c>
      <c r="BP33" s="359" t="str">
        <f ca="1">IF(AND(BO33&lt;&gt;0,BN33&lt;&gt;0),tpm(BO33,BN33,"s"),"")</f>
        <v>+</v>
      </c>
      <c r="BQ33" s="362">
        <f ca="1">IF(AND(BO33&lt;&gt;0,BN33&lt;&gt;0),tDiff(BO33,BN33,"s"), 0)</f>
        <v>6.9439411163330078E-5</v>
      </c>
      <c r="BR33" s="363">
        <f ca="1">IF(BN33=0,0,IF(BO33=0,пропускДС,MIN(tInt(BQ33,"s")*отклонениеРД,пределРД)))</f>
        <v>6</v>
      </c>
      <c r="BS33" s="366">
        <f t="shared" ca="1" si="30"/>
        <v>0</v>
      </c>
      <c r="BT33" s="363">
        <f t="shared" ca="1" si="63"/>
        <v>0</v>
      </c>
      <c r="BU33" s="357">
        <f t="shared" ca="1" si="32"/>
        <v>0.53194444444444444</v>
      </c>
      <c r="BV33" s="361">
        <f t="shared" ca="1" si="64"/>
        <v>0</v>
      </c>
      <c r="BW33" s="357">
        <f t="shared" ca="1" si="34"/>
        <v>0.53472222222222221</v>
      </c>
      <c r="BX33" s="361">
        <f t="shared" ca="1" si="65"/>
        <v>0</v>
      </c>
      <c r="BY33" s="357">
        <f t="shared" ca="1" si="34"/>
        <v>0.58680555555555558</v>
      </c>
      <c r="BZ33" s="361">
        <f t="shared" ca="1" si="66"/>
        <v>0</v>
      </c>
      <c r="CA33" s="357">
        <f ca="1">IF(L33&lt;&gt;0,tTrunc(L33+_ВКВ1/_КВ2Скорость/24),tTrunc(K33+_ВКВ1/_КВ2Скорость/24))</f>
        <v>0.59791666269302368</v>
      </c>
      <c r="CB33" s="358">
        <f t="shared" ca="1" si="67"/>
        <v>0.59583333333333333</v>
      </c>
      <c r="CC33" s="358">
        <f>ROUNDUP(tInt(_ВКВ1/_КВ2Скорость/24)/10,0)/1440</f>
        <v>8.3333333333333332E-3</v>
      </c>
      <c r="CD33" s="359" t="str">
        <f ca="1">IF(AND(CB33&lt;&gt;0,CA33&lt;&gt;0),tpm(CB33,CA33),"")</f>
        <v>-</v>
      </c>
      <c r="CE33" s="358">
        <f ca="1">IF(CB33&lt;&gt;0,tDiff(CB33,CA33), 0)</f>
        <v>2.0833015441894531E-3</v>
      </c>
      <c r="CF33" s="361">
        <f ca="1">IF(CB33&lt;&gt;0,IF(CD33="+",0,IF(CE33&gt;CC33,tInt(CE33-CC33)*опережениеКВ,0)),пропускКВ)</f>
        <v>0</v>
      </c>
    </row>
    <row r="34" spans="1:84" s="22" customFormat="1" x14ac:dyDescent="0.25">
      <c r="A34" s="587">
        <f>стартоваяВедомость!B35</f>
        <v>25</v>
      </c>
      <c r="B34" s="381" t="str">
        <f t="shared" ca="1" si="0"/>
        <v>SKODA KODIAG</v>
      </c>
      <c r="C34" s="381" t="str">
        <f t="shared" ca="1" si="1"/>
        <v>Юзвик Ольга</v>
      </c>
      <c r="D34" s="381" t="str">
        <f t="shared" ca="1" si="2"/>
        <v>Грушина Елена</v>
      </c>
      <c r="E34" s="381" t="str">
        <f t="shared" ca="1" si="3"/>
        <v>Смоленск</v>
      </c>
      <c r="F34" s="381" t="str">
        <f t="shared" ca="1" si="4"/>
        <v>Pro</v>
      </c>
      <c r="G34" s="382">
        <f t="shared" ca="1" si="37"/>
        <v>692.1</v>
      </c>
      <c r="H34" s="382">
        <f t="shared" ca="1" si="38"/>
        <v>0</v>
      </c>
      <c r="I34" s="382">
        <f t="shared" ca="1" si="39"/>
        <v>392.1</v>
      </c>
      <c r="J34" s="382">
        <f t="shared" ca="1" si="40"/>
        <v>300</v>
      </c>
      <c r="K34" s="383">
        <f t="shared" ca="1" si="6"/>
        <v>0.51736111111111105</v>
      </c>
      <c r="L34" s="152">
        <f t="shared" ca="1" si="41"/>
        <v>0.51736111111111105</v>
      </c>
      <c r="M34" s="384" t="str">
        <f ca="1">IF(L34&lt;&gt;0,tpm(L34,K34),"")</f>
        <v/>
      </c>
      <c r="N34" s="152">
        <f ca="1">IF(L34&lt;&gt;0,tDiff(L34,K34), 0)</f>
        <v>0</v>
      </c>
      <c r="O34" s="385">
        <f ca="1">IF(L34&lt;&gt;0,IF(M34="+",MIN(tInt(N34)*опережениеКВ,пределКВ),tInt(N34)*опережениеКВ),"DNS")</f>
        <v>0</v>
      </c>
      <c r="P34" s="152">
        <f t="shared" si="8"/>
        <v>8.3333335816860199E-2</v>
      </c>
      <c r="Q34" s="152">
        <f t="shared" ca="1" si="42"/>
        <v>1.388847827911377E-3</v>
      </c>
      <c r="R34" s="383">
        <f t="shared" ca="1" si="43"/>
        <v>0.60069444692797125</v>
      </c>
      <c r="S34" s="152">
        <f t="shared" ca="1" si="44"/>
        <v>0.60138888888888886</v>
      </c>
      <c r="T34" s="384" t="str">
        <f ca="1">IF(S34&lt;&gt;0,tpm(S34,R34),"")</f>
        <v>+</v>
      </c>
      <c r="U34" s="152">
        <f ca="1">IF(S34&lt;&gt;0,tDiff(S34,R34), 0)</f>
        <v>6.9445371627807617E-4</v>
      </c>
      <c r="V34" s="385">
        <f ca="1">IF(S34&lt;&gt;0,IF(T34="+",MIN(MAX(tInt(U34-Q34),0)*опережениеКВ,пределКВ),tInt(U34)*опережениеКВ),пропускКВ)</f>
        <v>0</v>
      </c>
      <c r="W34" s="152">
        <f t="shared" si="11"/>
        <v>8.3333335816860199E-2</v>
      </c>
      <c r="X34" s="152">
        <f t="shared" ca="1" si="45"/>
        <v>1.7361111111111049E-2</v>
      </c>
      <c r="Y34" s="152">
        <f t="shared" ca="1" si="46"/>
        <v>1.7361111111111049E-2</v>
      </c>
      <c r="Z34" s="383">
        <f t="shared" ca="1" si="47"/>
        <v>0.68472222470574906</v>
      </c>
      <c r="AA34" s="152">
        <f t="shared" ca="1" si="48"/>
        <v>0.68472222222222223</v>
      </c>
      <c r="AB34" s="384" t="str">
        <f ca="1">IF(AA34&lt;&gt;0,tpm(AA34,Z34),"")</f>
        <v/>
      </c>
      <c r="AC34" s="152">
        <f ca="1">IF(AA34&lt;&gt;0,tDiff(AA34,Z34), 0)</f>
        <v>0</v>
      </c>
      <c r="AD34" s="385">
        <f ca="1">IF(AA34&lt;&gt;0,IF(AB34="+",MIN(MAX(tInt(AC34-Y34),0)*опережениеКВ,пределКВ),IF(tInt(AC34)&lt;=ROUNDUP(tInt(W34)*0.1,0),0,(tInt(AC34)-ROUNDUP(tInt(W34)*0.1,0))*опережениеКВ)),"DNF")</f>
        <v>0</v>
      </c>
      <c r="AE34" s="383">
        <f t="shared" ca="1" si="14"/>
        <v>0.54583333333333328</v>
      </c>
      <c r="AF34" s="152">
        <f t="shared" ca="1" si="49"/>
        <v>0.54722222222222217</v>
      </c>
      <c r="AG34" s="152">
        <f ca="1">IF(OR(AE34=0,AF34=0),0,tDiff(AF34,AE34))</f>
        <v>1.388847827911377E-3</v>
      </c>
      <c r="AH34" s="386">
        <f t="shared" ca="1" si="50"/>
        <v>0.5596064814814814</v>
      </c>
      <c r="AI34" s="386">
        <f t="shared" ca="1" si="17"/>
        <v>0.55918981481481478</v>
      </c>
      <c r="AJ34" s="380" t="str">
        <f ca="1">IF(AI34&lt;&gt;0,tpm(AI34,AH34,"s"),"")</f>
        <v>-</v>
      </c>
      <c r="AK34" s="386">
        <f ca="1">IF(AI34&lt;&gt;0,tDiff(AI34,AH34,"s"), 0)</f>
        <v>4.1669607162475586E-4</v>
      </c>
      <c r="AL34" s="387">
        <f ca="1">IF(AI34=0,пропускСФ,MIN(tInt(AK34,"s")*отклонениеРД,пределРД))</f>
        <v>36</v>
      </c>
      <c r="AM34" s="388">
        <f t="shared" ca="1" si="51"/>
        <v>0.56276620370370367</v>
      </c>
      <c r="AN34" s="386">
        <f t="shared" ca="1" si="18"/>
        <v>0.56412037037037044</v>
      </c>
      <c r="AO34" s="384" t="str">
        <f ca="1">IF(AND(AM34&lt;&gt;0,AN34&lt;&gt;0),tpm(AN34,AM34,"s"),"")</f>
        <v>+</v>
      </c>
      <c r="AP34" s="386">
        <f ca="1">IF(AND(AM34&lt;&gt;0,AN34&lt;&gt;0),tDiff(AN34,AM34,"s"), 0)</f>
        <v>1.3541579246520996E-3</v>
      </c>
      <c r="AQ34" s="387">
        <f ca="1">IF(AM34=0,0,IF(AN34=0,пропускДС,MIN(tInt(AP34,"s")*отклонениеРД,пределРД)))</f>
        <v>117</v>
      </c>
      <c r="AR34" s="383">
        <f t="shared" ca="1" si="19"/>
        <v>0.6166666666666667</v>
      </c>
      <c r="AS34" s="152">
        <f t="shared" ca="1" si="52"/>
        <v>0.63402777777777775</v>
      </c>
      <c r="AT34" s="152">
        <f t="shared" ca="1" si="53"/>
        <v>1.7361111111111049E-2</v>
      </c>
      <c r="AU34" s="389">
        <f t="shared" ca="1" si="54"/>
        <v>36.700000000000003</v>
      </c>
      <c r="AV34" s="389">
        <f t="shared" ca="1" si="55"/>
        <v>0</v>
      </c>
      <c r="AW34" s="389">
        <f t="shared" ca="1" si="56"/>
        <v>1</v>
      </c>
      <c r="AX34" s="384">
        <f t="shared" ca="1" si="57"/>
        <v>0</v>
      </c>
      <c r="AY34" s="384">
        <f t="shared" ca="1" si="58"/>
        <v>0</v>
      </c>
      <c r="AZ34" s="387">
        <f t="shared" ca="1" si="23"/>
        <v>125.10000000000001</v>
      </c>
      <c r="BA34" s="383">
        <f t="shared" ca="1" si="24"/>
        <v>0</v>
      </c>
      <c r="BB34" s="152">
        <f t="shared" ca="1" si="59"/>
        <v>0.63958333333333328</v>
      </c>
      <c r="BC34" s="152">
        <f ca="1">IF(OR(BA34=0,BB34=0),0,tDiff(BB34,BA34))</f>
        <v>0</v>
      </c>
      <c r="BD34" s="386">
        <f t="shared" ca="1" si="60"/>
        <v>0.64812499999999995</v>
      </c>
      <c r="BE34" s="386">
        <f t="shared" ca="1" si="27"/>
        <v>0.64872685185185186</v>
      </c>
      <c r="BF34" s="380" t="str">
        <f ca="1">IF(BE34&lt;&gt;0,tpm(BE34,BD34,"s"),"")</f>
        <v>+</v>
      </c>
      <c r="BG34" s="386">
        <f ca="1">IF(BE34&lt;&gt;0,tDiff(BE34,BD34,"s"), 0)</f>
        <v>6.0188770294189453E-4</v>
      </c>
      <c r="BH34" s="387">
        <f ca="1">IF(BE34=0,пропускСФ,MIN(tInt(BG34,"s")*отклонениеРД,пределРД))</f>
        <v>52</v>
      </c>
      <c r="BI34" s="388">
        <f t="shared" ca="1" si="61"/>
        <v>0.65989583333333335</v>
      </c>
      <c r="BJ34" s="386">
        <f t="shared" ca="1" si="28"/>
        <v>0.6604282407407408</v>
      </c>
      <c r="BK34" s="384" t="str">
        <f ca="1">IF(BJ34&lt;&gt;0,tpm(BJ34,BI34,"s"),"")</f>
        <v>+</v>
      </c>
      <c r="BL34" s="386">
        <f ca="1">IF(BJ34&lt;&gt;0,tDiff(BJ34,BI34,"s"), 0)</f>
        <v>5.3238868713378906E-4</v>
      </c>
      <c r="BM34" s="387">
        <f ca="1">IF(BJ34=0,пропускСФ,MIN(tInt(BL34,"s")*отклонениеРД,пределРД))</f>
        <v>46</v>
      </c>
      <c r="BN34" s="388">
        <f t="shared" ca="1" si="62"/>
        <v>0.67178240740740747</v>
      </c>
      <c r="BO34" s="386">
        <f t="shared" ca="1" si="29"/>
        <v>0.67196759259259264</v>
      </c>
      <c r="BP34" s="384" t="str">
        <f ca="1">IF(AND(BO34&lt;&gt;0,BN34&lt;&gt;0),tpm(BO34,BN34,"s"),"")</f>
        <v>+</v>
      </c>
      <c r="BQ34" s="386">
        <f ca="1">IF(AND(BO34&lt;&gt;0,BN34&lt;&gt;0),tDiff(BO34,BN34,"s"), 0)</f>
        <v>1.8513202667236328E-4</v>
      </c>
      <c r="BR34" s="387">
        <f ca="1">IF(BN34=0,0,IF(BO34=0,пропускДС,MIN(tInt(BQ34,"s")*отклонениеРД,пределРД)))</f>
        <v>16</v>
      </c>
      <c r="BS34" s="390" t="str">
        <f t="shared" ca="1" si="30"/>
        <v>остановка Финиш ДС-1</v>
      </c>
      <c r="BT34" s="387">
        <f t="shared" ca="1" si="63"/>
        <v>300</v>
      </c>
      <c r="BU34" s="383">
        <f t="shared" ca="1" si="32"/>
        <v>0.53194444444444444</v>
      </c>
      <c r="BV34" s="391">
        <f t="shared" ca="1" si="64"/>
        <v>0</v>
      </c>
      <c r="BW34" s="383">
        <f t="shared" ca="1" si="34"/>
        <v>0.53541666666666665</v>
      </c>
      <c r="BX34" s="391">
        <f t="shared" ca="1" si="65"/>
        <v>0</v>
      </c>
      <c r="BY34" s="383">
        <f t="shared" ca="1" si="34"/>
        <v>0.5854166666666667</v>
      </c>
      <c r="BZ34" s="391">
        <f t="shared" ca="1" si="66"/>
        <v>0</v>
      </c>
      <c r="CA34" s="383">
        <f ca="1">IF(L34&lt;&gt;0,tTrunc(L34+_ВКВ1/_КВ2Скорость/24),tTrunc(K34+_ВКВ1/_КВ2Скорость/24))</f>
        <v>0.59861111640930176</v>
      </c>
      <c r="CB34" s="152">
        <f t="shared" ca="1" si="67"/>
        <v>0.6</v>
      </c>
      <c r="CC34" s="152">
        <f>ROUNDUP(tInt(_ВКВ1/_КВ2Скорость/24)/10,0)/1440</f>
        <v>8.3333333333333332E-3</v>
      </c>
      <c r="CD34" s="384" t="str">
        <f ca="1">IF(AND(CB34&lt;&gt;0,CA34&lt;&gt;0),tpm(CB34,CA34),"")</f>
        <v>+</v>
      </c>
      <c r="CE34" s="152">
        <f ca="1">IF(CB34&lt;&gt;0,tDiff(CB34,CA34), 0)</f>
        <v>1.3889074325561523E-3</v>
      </c>
      <c r="CF34" s="391">
        <f ca="1">IF(CB34&lt;&gt;0,IF(CD34="+",0,IF(CE34&gt;CC34,tInt(CE34-CC34)*опережениеКВ,0)),пропускКВ)</f>
        <v>0</v>
      </c>
    </row>
    <row r="35" spans="1:84" s="367" customFormat="1" x14ac:dyDescent="0.25">
      <c r="A35" s="586">
        <f>стартоваяВедомость!B36</f>
        <v>26</v>
      </c>
      <c r="B35" s="355" t="str">
        <f t="shared" ca="1" si="0"/>
        <v>Лада Гранта</v>
      </c>
      <c r="C35" s="355" t="str">
        <f t="shared" ca="1" si="1"/>
        <v>Поляков Максим</v>
      </c>
      <c r="D35" s="355" t="str">
        <f t="shared" ca="1" si="2"/>
        <v>Прусова Наталья</v>
      </c>
      <c r="E35" s="355" t="str">
        <f t="shared" ca="1" si="3"/>
        <v>Смоленск</v>
      </c>
      <c r="F35" s="355" t="str">
        <f t="shared" ca="1" si="4"/>
        <v>Pro</v>
      </c>
      <c r="G35" s="356">
        <f t="shared" ca="1" si="37"/>
        <v>3050.3</v>
      </c>
      <c r="H35" s="356">
        <f t="shared" ca="1" si="38"/>
        <v>0</v>
      </c>
      <c r="I35" s="356">
        <f t="shared" ca="1" si="39"/>
        <v>2750.3</v>
      </c>
      <c r="J35" s="356">
        <f t="shared" ca="1" si="40"/>
        <v>300</v>
      </c>
      <c r="K35" s="357">
        <f t="shared" ca="1" si="6"/>
        <v>0.51805555555555549</v>
      </c>
      <c r="L35" s="358">
        <f t="shared" ca="1" si="41"/>
        <v>0.5180555555555556</v>
      </c>
      <c r="M35" s="359" t="str">
        <f ca="1">IF(L35&lt;&gt;0,tpm(L35,K35),"")</f>
        <v/>
      </c>
      <c r="N35" s="358">
        <f ca="1">IF(L35&lt;&gt;0,tDiff(L35,K35), 0)</f>
        <v>0</v>
      </c>
      <c r="O35" s="360">
        <f ca="1">IF(L35&lt;&gt;0,IF(M35="+",MIN(tInt(N35)*опережениеКВ,пределКВ),tInt(N35)*опережениеКВ),"DNS")</f>
        <v>0</v>
      </c>
      <c r="P35" s="358">
        <f t="shared" si="8"/>
        <v>8.3333335816860199E-2</v>
      </c>
      <c r="Q35" s="358">
        <f t="shared" ca="1" si="42"/>
        <v>2.0833611488342285E-3</v>
      </c>
      <c r="R35" s="357">
        <f t="shared" ca="1" si="43"/>
        <v>0.6013888913724158</v>
      </c>
      <c r="S35" s="358">
        <f t="shared" ca="1" si="44"/>
        <v>0.6020833333333333</v>
      </c>
      <c r="T35" s="359" t="str">
        <f ca="1">IF(S35&lt;&gt;0,tpm(S35,R35),"")</f>
        <v>+</v>
      </c>
      <c r="U35" s="358">
        <f ca="1">IF(S35&lt;&gt;0,tDiff(S35,R35), 0)</f>
        <v>6.9445371627807617E-4</v>
      </c>
      <c r="V35" s="360">
        <f ca="1">IF(S35&lt;&gt;0,IF(T35="+",MIN(MAX(tInt(U35-Q35),0)*опережениеКВ,пределКВ),tInt(U35)*опережениеКВ),пропускКВ)</f>
        <v>0</v>
      </c>
      <c r="W35" s="358">
        <f t="shared" si="11"/>
        <v>8.3333335816860199E-2</v>
      </c>
      <c r="X35" s="358">
        <f t="shared" ca="1" si="45"/>
        <v>0</v>
      </c>
      <c r="Y35" s="358">
        <f t="shared" ca="1" si="46"/>
        <v>0</v>
      </c>
      <c r="Z35" s="357">
        <f t="shared" ca="1" si="47"/>
        <v>0.6854166691501935</v>
      </c>
      <c r="AA35" s="358">
        <f t="shared" ca="1" si="48"/>
        <v>0.68541666666666667</v>
      </c>
      <c r="AB35" s="359" t="str">
        <f ca="1">IF(AA35&lt;&gt;0,tpm(AA35,Z35),"")</f>
        <v>-</v>
      </c>
      <c r="AC35" s="358">
        <f ca="1">IF(AA35&lt;&gt;0,tDiff(AA35,Z35), 0)</f>
        <v>0</v>
      </c>
      <c r="AD35" s="360">
        <f ca="1">IF(AA35&lt;&gt;0,IF(AB35="+",MIN(MAX(tInt(AC35-Y35),0)*опережениеКВ,пределКВ),IF(tInt(AC35)&lt;=ROUNDUP(tInt(W35)*0.1,0),0,(tInt(AC35)-ROUNDUP(tInt(W35)*0.1,0))*опережениеКВ)),"DNF")</f>
        <v>0</v>
      </c>
      <c r="AE35" s="357">
        <f t="shared" ca="1" si="14"/>
        <v>0.54861111111111105</v>
      </c>
      <c r="AF35" s="358">
        <f t="shared" ca="1" si="49"/>
        <v>0.55069444444444449</v>
      </c>
      <c r="AG35" s="358">
        <f ca="1">IF(OR(AE35=0,AF35=0),0,tDiff(AF35,AE35))</f>
        <v>2.0833611488342285E-3</v>
      </c>
      <c r="AH35" s="362">
        <f t="shared" ca="1" si="50"/>
        <v>0.56307870370370372</v>
      </c>
      <c r="AI35" s="362">
        <f t="shared" ca="1" si="17"/>
        <v>0.56172453703703706</v>
      </c>
      <c r="AJ35" s="354" t="str">
        <f ca="1">IF(AI35&lt;&gt;0,tpm(AI35,AH35,"s"),"")</f>
        <v>-</v>
      </c>
      <c r="AK35" s="362">
        <f ca="1">IF(AI35&lt;&gt;0,tDiff(AI35,AH35,"s"), 0)</f>
        <v>1.3541579246520996E-3</v>
      </c>
      <c r="AL35" s="363">
        <f ca="1">IF(AI35=0,пропускСФ,MIN(tInt(AK35,"s")*отклонениеРД,пределРД))</f>
        <v>117</v>
      </c>
      <c r="AM35" s="364">
        <f t="shared" ca="1" si="51"/>
        <v>0.56530092592592596</v>
      </c>
      <c r="AN35" s="362">
        <f t="shared" ca="1" si="18"/>
        <v>0.56716435185185188</v>
      </c>
      <c r="AO35" s="359" t="str">
        <f ca="1">IF(AND(AM35&lt;&gt;0,AN35&lt;&gt;0),tpm(AN35,AM35,"s"),"")</f>
        <v>+</v>
      </c>
      <c r="AP35" s="362">
        <f ca="1">IF(AND(AM35&lt;&gt;0,AN35&lt;&gt;0),tDiff(AN35,AM35,"s"), 0)</f>
        <v>1.8634200096130371E-3</v>
      </c>
      <c r="AQ35" s="363">
        <f ca="1">IF(AM35=0,0,IF(AN35=0,пропускДС,MIN(tInt(AP35,"s")*отклонениеРД,пределРД)))</f>
        <v>161</v>
      </c>
      <c r="AR35" s="357">
        <f t="shared" ca="1" si="19"/>
        <v>0</v>
      </c>
      <c r="AS35" s="358">
        <f t="shared" ca="1" si="52"/>
        <v>0</v>
      </c>
      <c r="AT35" s="358">
        <f t="shared" ca="1" si="53"/>
        <v>0</v>
      </c>
      <c r="AU35" s="365">
        <f t="shared" ca="1" si="54"/>
        <v>24.1</v>
      </c>
      <c r="AV35" s="365">
        <f t="shared" ca="1" si="55"/>
        <v>0</v>
      </c>
      <c r="AW35" s="365">
        <f t="shared" ca="1" si="56"/>
        <v>0</v>
      </c>
      <c r="AX35" s="359">
        <f t="shared" ca="1" si="57"/>
        <v>0</v>
      </c>
      <c r="AY35" s="359">
        <f t="shared" ca="1" si="58"/>
        <v>0</v>
      </c>
      <c r="AZ35" s="363">
        <f t="shared" ca="1" si="23"/>
        <v>72.300000000000011</v>
      </c>
      <c r="BA35" s="357">
        <f t="shared" ca="1" si="24"/>
        <v>0</v>
      </c>
      <c r="BB35" s="358">
        <f t="shared" ca="1" si="59"/>
        <v>0.64097222222222217</v>
      </c>
      <c r="BC35" s="358">
        <f ca="1">IF(OR(BA35=0,BB35=0),0,tDiff(BB35,BA35))</f>
        <v>0</v>
      </c>
      <c r="BD35" s="362">
        <f t="shared" ca="1" si="60"/>
        <v>0.64951388888888884</v>
      </c>
      <c r="BE35" s="362">
        <f t="shared" ca="1" si="27"/>
        <v>0.66039351851851846</v>
      </c>
      <c r="BF35" s="354" t="str">
        <f ca="1">IF(BE35&lt;&gt;0,tpm(BE35,BD35,"s"),"")</f>
        <v>+</v>
      </c>
      <c r="BG35" s="362">
        <f ca="1">IF(BE35&lt;&gt;0,tDiff(BE35,BD35,"s"), 0)</f>
        <v>1.0879635810852051E-2</v>
      </c>
      <c r="BH35" s="363">
        <f ca="1">IF(BE35=0,пропускСФ,MIN(tInt(BG35,"s")*отклонениеРД,пределРД))</f>
        <v>600</v>
      </c>
      <c r="BI35" s="364">
        <f t="shared" ca="1" si="61"/>
        <v>0.67156249999999995</v>
      </c>
      <c r="BJ35" s="362">
        <f t="shared" ca="1" si="28"/>
        <v>0</v>
      </c>
      <c r="BK35" s="359" t="str">
        <f ca="1">IF(BJ35&lt;&gt;0,tpm(BJ35,BI35,"s"),"")</f>
        <v/>
      </c>
      <c r="BL35" s="362">
        <f ca="1">IF(BJ35&lt;&gt;0,tDiff(BJ35,BI35,"s"), 0)</f>
        <v>0</v>
      </c>
      <c r="BM35" s="363">
        <f ca="1">IF(BJ35=0,пропускСФ,MIN(tInt(BL35,"s")*отклонениеРД,пределРД))</f>
        <v>1800</v>
      </c>
      <c r="BN35" s="364">
        <f t="shared" ca="1" si="62"/>
        <v>0</v>
      </c>
      <c r="BO35" s="362">
        <f t="shared" ca="1" si="29"/>
        <v>0.67189814814814808</v>
      </c>
      <c r="BP35" s="359" t="str">
        <f ca="1">IF(AND(BO35&lt;&gt;0,BN35&lt;&gt;0),tpm(BO35,BN35,"s"),"")</f>
        <v/>
      </c>
      <c r="BQ35" s="362">
        <f ca="1">IF(AND(BO35&lt;&gt;0,BN35&lt;&gt;0),tDiff(BO35,BN35,"s"), 0)</f>
        <v>0</v>
      </c>
      <c r="BR35" s="363">
        <f ca="1">IF(BN35=0,0,IF(BO35=0,пропускДС,MIN(tInt(BQ35,"s")*отклонениеРД,пределРД)))</f>
        <v>0</v>
      </c>
      <c r="BS35" s="366" t="str">
        <f t="shared" ca="1" si="30"/>
        <v>нарушение ПДД (непристегнутый ребенок сзади)</v>
      </c>
      <c r="BT35" s="363">
        <f t="shared" ca="1" si="63"/>
        <v>300</v>
      </c>
      <c r="BU35" s="357">
        <f t="shared" ca="1" si="32"/>
        <v>0.53402777777777777</v>
      </c>
      <c r="BV35" s="361">
        <f t="shared" ca="1" si="64"/>
        <v>0</v>
      </c>
      <c r="BW35" s="357">
        <f t="shared" ca="1" si="34"/>
        <v>0.53819444444444442</v>
      </c>
      <c r="BX35" s="361">
        <f t="shared" ca="1" si="65"/>
        <v>0</v>
      </c>
      <c r="BY35" s="357">
        <f t="shared" ca="1" si="34"/>
        <v>0.58888888888888891</v>
      </c>
      <c r="BZ35" s="361">
        <f t="shared" ca="1" si="66"/>
        <v>0</v>
      </c>
      <c r="CA35" s="357">
        <f ca="1">IF(L35&lt;&gt;0,tTrunc(L35+_ВКВ1/_КВ2Скорость/24),tTrunc(K35+_ВКВ1/_КВ2Скорость/24))</f>
        <v>0.59930557012557983</v>
      </c>
      <c r="CB35" s="358">
        <f t="shared" ca="1" si="67"/>
        <v>0.60138888888888886</v>
      </c>
      <c r="CC35" s="358">
        <f>ROUNDUP(tInt(_ВКВ1/_КВ2Скорость/24)/10,0)/1440</f>
        <v>8.3333333333333332E-3</v>
      </c>
      <c r="CD35" s="359" t="str">
        <f ca="1">IF(AND(CB35&lt;&gt;0,CA35&lt;&gt;0),tpm(CB35,CA35),"")</f>
        <v>+</v>
      </c>
      <c r="CE35" s="358">
        <f ca="1">IF(CB35&lt;&gt;0,tDiff(CB35,CA35), 0)</f>
        <v>2.0833015441894531E-3</v>
      </c>
      <c r="CF35" s="361">
        <f ca="1">IF(CB35&lt;&gt;0,IF(CD35="+",0,IF(CE35&gt;CC35,tInt(CE35-CC35)*опережениеКВ,0)),пропускКВ)</f>
        <v>0</v>
      </c>
    </row>
    <row r="36" spans="1:84" s="22" customFormat="1" x14ac:dyDescent="0.25">
      <c r="A36" s="587">
        <f>стартоваяВедомость!B37</f>
        <v>27</v>
      </c>
      <c r="B36" s="381" t="str">
        <f t="shared" ca="1" si="0"/>
        <v>Subaru outback</v>
      </c>
      <c r="C36" s="381" t="str">
        <f t="shared" ca="1" si="1"/>
        <v>Сысин Максим</v>
      </c>
      <c r="D36" s="381" t="str">
        <f t="shared" ca="1" si="2"/>
        <v>Ковалева Юлия</v>
      </c>
      <c r="E36" s="381" t="str">
        <f t="shared" ca="1" si="3"/>
        <v>Смоленск</v>
      </c>
      <c r="F36" s="381" t="str">
        <f t="shared" ca="1" si="4"/>
        <v>Pro</v>
      </c>
      <c r="G36" s="382">
        <f t="shared" ca="1" si="37"/>
        <v>3627.6</v>
      </c>
      <c r="H36" s="382">
        <f t="shared" ca="1" si="38"/>
        <v>900</v>
      </c>
      <c r="I36" s="382">
        <f t="shared" ca="1" si="39"/>
        <v>2697.6</v>
      </c>
      <c r="J36" s="382">
        <f t="shared" ca="1" si="40"/>
        <v>30</v>
      </c>
      <c r="K36" s="383">
        <f t="shared" ca="1" si="6"/>
        <v>0.51874999999999993</v>
      </c>
      <c r="L36" s="152">
        <f t="shared" ca="1" si="41"/>
        <v>0.51874999999999993</v>
      </c>
      <c r="M36" s="384" t="str">
        <f ca="1">IF(L36&lt;&gt;0,tpm(L36,K36),"")</f>
        <v/>
      </c>
      <c r="N36" s="152">
        <f ca="1">IF(L36&lt;&gt;0,tDiff(L36,K36), 0)</f>
        <v>0</v>
      </c>
      <c r="O36" s="385">
        <f ca="1">IF(L36&lt;&gt;0,IF(M36="+",MIN(tInt(N36)*опережениеКВ,пределКВ),tInt(N36)*опережениеКВ),"DNS")</f>
        <v>0</v>
      </c>
      <c r="P36" s="152">
        <f t="shared" si="8"/>
        <v>8.3333335816860199E-2</v>
      </c>
      <c r="Q36" s="152">
        <f t="shared" ca="1" si="42"/>
        <v>0</v>
      </c>
      <c r="R36" s="383">
        <f t="shared" ca="1" si="43"/>
        <v>0.60208333581686013</v>
      </c>
      <c r="S36" s="152">
        <f t="shared" ca="1" si="44"/>
        <v>0.6020833333333333</v>
      </c>
      <c r="T36" s="384" t="str">
        <f ca="1">IF(S36&lt;&gt;0,tpm(S36,R36),"")</f>
        <v/>
      </c>
      <c r="U36" s="152">
        <f ca="1">IF(S36&lt;&gt;0,tDiff(S36,R36), 0)</f>
        <v>0</v>
      </c>
      <c r="V36" s="385">
        <f ca="1">IF(S36&lt;&gt;0,IF(T36="+",MIN(MAX(tInt(U36-Q36),0)*опережениеКВ,пределКВ),tInt(U36)*опережениеКВ),пропускКВ)</f>
        <v>0</v>
      </c>
      <c r="W36" s="152">
        <f t="shared" si="11"/>
        <v>8.3333335816860199E-2</v>
      </c>
      <c r="X36" s="152">
        <f t="shared" ca="1" si="45"/>
        <v>0</v>
      </c>
      <c r="Y36" s="152">
        <f t="shared" ca="1" si="46"/>
        <v>0</v>
      </c>
      <c r="Z36" s="383">
        <f t="shared" ca="1" si="47"/>
        <v>0.6854166691501935</v>
      </c>
      <c r="AA36" s="152">
        <f t="shared" ca="1" si="48"/>
        <v>0.68541666666666667</v>
      </c>
      <c r="AB36" s="384" t="str">
        <f ca="1">IF(AA36&lt;&gt;0,tpm(AA36,Z36),"")</f>
        <v>-</v>
      </c>
      <c r="AC36" s="152">
        <f ca="1">IF(AA36&lt;&gt;0,tDiff(AA36,Z36), 0)</f>
        <v>0</v>
      </c>
      <c r="AD36" s="385">
        <f ca="1">IF(AA36&lt;&gt;0,IF(AB36="+",MIN(MAX(tInt(AC36-Y36),0)*опережениеКВ,пределКВ),IF(tInt(AC36)&lt;=ROUNDUP(tInt(W36)*0.1,0),0,(tInt(AC36)-ROUNDUP(tInt(W36)*0.1,0))*опережениеКВ)),"DNF")</f>
        <v>0</v>
      </c>
      <c r="AE36" s="383">
        <f t="shared" ca="1" si="14"/>
        <v>0</v>
      </c>
      <c r="AF36" s="152">
        <f t="shared" ca="1" si="49"/>
        <v>0.5493055555555556</v>
      </c>
      <c r="AG36" s="152">
        <f ca="1">IF(OR(AE36=0,AF36=0),0,tDiff(AF36,AE36))</f>
        <v>0</v>
      </c>
      <c r="AH36" s="386">
        <f t="shared" ca="1" si="50"/>
        <v>0.56168981481481484</v>
      </c>
      <c r="AI36" s="386">
        <f t="shared" ca="1" si="17"/>
        <v>0.56201388888888892</v>
      </c>
      <c r="AJ36" s="380" t="str">
        <f ca="1">IF(AI36&lt;&gt;0,tpm(AI36,AH36,"s"),"")</f>
        <v>+</v>
      </c>
      <c r="AK36" s="386">
        <f ca="1">IF(AI36&lt;&gt;0,tDiff(AI36,AH36,"s"), 0)</f>
        <v>3.2407045364379883E-4</v>
      </c>
      <c r="AL36" s="387">
        <f ca="1">IF(AI36=0,пропускСФ,MIN(tInt(AK36,"s")*отклонениеРД,пределРД))</f>
        <v>28</v>
      </c>
      <c r="AM36" s="388">
        <f t="shared" ca="1" si="51"/>
        <v>0.56559027777777782</v>
      </c>
      <c r="AN36" s="386">
        <f t="shared" ca="1" si="18"/>
        <v>0.5667592592592593</v>
      </c>
      <c r="AO36" s="384" t="str">
        <f ca="1">IF(AND(AM36&lt;&gt;0,AN36&lt;&gt;0),tpm(AN36,AM36,"s"),"")</f>
        <v>+</v>
      </c>
      <c r="AP36" s="386">
        <f ca="1">IF(AND(AM36&lt;&gt;0,AN36&lt;&gt;0),tDiff(AN36,AM36,"s"), 0)</f>
        <v>1.1690258979797363E-3</v>
      </c>
      <c r="AQ36" s="387">
        <f ca="1">IF(AM36=0,0,IF(AN36=0,пропускДС,MIN(tInt(AP36,"s")*отклонениеРД,пределРД)))</f>
        <v>101</v>
      </c>
      <c r="AR36" s="383">
        <f t="shared" ca="1" si="19"/>
        <v>0</v>
      </c>
      <c r="AS36" s="152">
        <f t="shared" ca="1" si="52"/>
        <v>0</v>
      </c>
      <c r="AT36" s="152">
        <f t="shared" ca="1" si="53"/>
        <v>0</v>
      </c>
      <c r="AU36" s="389">
        <f t="shared" ca="1" si="54"/>
        <v>36.200000000000003</v>
      </c>
      <c r="AV36" s="389">
        <f t="shared" ca="1" si="55"/>
        <v>0</v>
      </c>
      <c r="AW36" s="389">
        <f t="shared" ca="1" si="56"/>
        <v>0</v>
      </c>
      <c r="AX36" s="384">
        <f t="shared" ca="1" si="57"/>
        <v>0</v>
      </c>
      <c r="AY36" s="384" t="str">
        <f t="shared" ca="1" si="58"/>
        <v>да</v>
      </c>
      <c r="AZ36" s="387">
        <f t="shared" ca="1" si="23"/>
        <v>168.60000000000002</v>
      </c>
      <c r="BA36" s="383">
        <f t="shared" ca="1" si="24"/>
        <v>0</v>
      </c>
      <c r="BB36" s="152">
        <f t="shared" ca="1" si="59"/>
        <v>0.6381944444444444</v>
      </c>
      <c r="BC36" s="152">
        <f ca="1">IF(OR(BA36=0,BB36=0),0,tDiff(BB36,BA36))</f>
        <v>0</v>
      </c>
      <c r="BD36" s="386">
        <f t="shared" ca="1" si="60"/>
        <v>0.64673611111111107</v>
      </c>
      <c r="BE36" s="386">
        <f t="shared" ca="1" si="27"/>
        <v>0.6564120370370371</v>
      </c>
      <c r="BF36" s="380" t="str">
        <f ca="1">IF(BE36&lt;&gt;0,tpm(BE36,BD36,"s"),"")</f>
        <v>+</v>
      </c>
      <c r="BG36" s="386">
        <f ca="1">IF(BE36&lt;&gt;0,tDiff(BE36,BD36,"s"), 0)</f>
        <v>9.6759796142578125E-3</v>
      </c>
      <c r="BH36" s="387">
        <f ca="1">IF(BE36=0,пропускСФ,MIN(tInt(BG36,"s")*отклонениеРД,пределРД))</f>
        <v>600</v>
      </c>
      <c r="BI36" s="388">
        <f t="shared" ca="1" si="61"/>
        <v>0.66758101851851859</v>
      </c>
      <c r="BJ36" s="386">
        <f t="shared" ca="1" si="28"/>
        <v>0</v>
      </c>
      <c r="BK36" s="384" t="str">
        <f ca="1">IF(BJ36&lt;&gt;0,tpm(BJ36,BI36,"s"),"")</f>
        <v/>
      </c>
      <c r="BL36" s="386">
        <f ca="1">IF(BJ36&lt;&gt;0,tDiff(BJ36,BI36,"s"), 0)</f>
        <v>0</v>
      </c>
      <c r="BM36" s="387">
        <f ca="1">IF(BJ36=0,пропускСФ,MIN(tInt(BL36,"s")*отклонениеРД,пределРД))</f>
        <v>1800</v>
      </c>
      <c r="BN36" s="388">
        <f t="shared" ca="1" si="62"/>
        <v>0</v>
      </c>
      <c r="BO36" s="386">
        <f t="shared" ca="1" si="29"/>
        <v>0.66787037037037045</v>
      </c>
      <c r="BP36" s="384" t="str">
        <f ca="1">IF(AND(BO36&lt;&gt;0,BN36&lt;&gt;0),tpm(BO36,BN36,"s"),"")</f>
        <v/>
      </c>
      <c r="BQ36" s="386">
        <f ca="1">IF(AND(BO36&lt;&gt;0,BN36&lt;&gt;0),tDiff(BO36,BN36,"s"), 0)</f>
        <v>0</v>
      </c>
      <c r="BR36" s="387">
        <f ca="1">IF(BN36=0,0,IF(BO36=0,пропускДС,MIN(tInt(BQ36,"s")*отклонениеРД,пределРД)))</f>
        <v>0</v>
      </c>
      <c r="BS36" s="390" t="str">
        <f t="shared" ca="1" si="30"/>
        <v>ДС-1 Фальстарт</v>
      </c>
      <c r="BT36" s="387">
        <f t="shared" ca="1" si="63"/>
        <v>30</v>
      </c>
      <c r="BU36" s="383">
        <f t="shared" ca="1" si="32"/>
        <v>0.53472222222222221</v>
      </c>
      <c r="BV36" s="391">
        <f t="shared" ca="1" si="64"/>
        <v>0</v>
      </c>
      <c r="BW36" s="383">
        <f t="shared" ca="1" si="34"/>
        <v>0</v>
      </c>
      <c r="BX36" s="391">
        <f t="shared" ca="1" si="65"/>
        <v>900</v>
      </c>
      <c r="BY36" s="383">
        <f t="shared" ca="1" si="34"/>
        <v>0.58819444444444446</v>
      </c>
      <c r="BZ36" s="391">
        <f t="shared" ca="1" si="66"/>
        <v>0</v>
      </c>
      <c r="CA36" s="383">
        <f ca="1">IF(L36&lt;&gt;0,tTrunc(L36+_ВКВ1/_КВ2Скорость/24),tTrunc(K36+_ВКВ1/_КВ2Скорость/24))</f>
        <v>0.60000002384185791</v>
      </c>
      <c r="CB36" s="152">
        <f t="shared" ca="1" si="67"/>
        <v>0.60069444444444442</v>
      </c>
      <c r="CC36" s="152">
        <f>ROUNDUP(tInt(_ВКВ1/_КВ2Скорость/24)/10,0)/1440</f>
        <v>8.3333333333333332E-3</v>
      </c>
      <c r="CD36" s="384" t="str">
        <f ca="1">IF(AND(CB36&lt;&gt;0,CA36&lt;&gt;0),tpm(CB36,CA36),"")</f>
        <v/>
      </c>
      <c r="CE36" s="152">
        <f ca="1">IF(CB36&lt;&gt;0,tDiff(CB36,CA36), 0)</f>
        <v>6.9439411163330078E-4</v>
      </c>
      <c r="CF36" s="391">
        <f ca="1">IF(CB36&lt;&gt;0,IF(CD36="+",0,IF(CE36&gt;CC36,tInt(CE36-CC36)*опережениеКВ,0)),пропускКВ)</f>
        <v>0</v>
      </c>
    </row>
    <row r="37" spans="1:84" s="367" customFormat="1" x14ac:dyDescent="0.25">
      <c r="A37" s="586">
        <f>стартоваяВедомость!B38</f>
        <v>28</v>
      </c>
      <c r="B37" s="355" t="str">
        <f t="shared" ca="1" si="0"/>
        <v>Porsche Cayenne</v>
      </c>
      <c r="C37" s="355" t="str">
        <f t="shared" ca="1" si="1"/>
        <v>Новиков Максим</v>
      </c>
      <c r="D37" s="355" t="str">
        <f t="shared" ca="1" si="2"/>
        <v>Грушина Екатерина</v>
      </c>
      <c r="E37" s="355" t="str">
        <f t="shared" ca="1" si="3"/>
        <v>Смоленск</v>
      </c>
      <c r="F37" s="355" t="str">
        <f t="shared" ca="1" si="4"/>
        <v>Pro</v>
      </c>
      <c r="G37" s="356">
        <f t="shared" ca="1" si="37"/>
        <v>1212.5</v>
      </c>
      <c r="H37" s="356">
        <f t="shared" ca="1" si="38"/>
        <v>0</v>
      </c>
      <c r="I37" s="356">
        <f t="shared" ca="1" si="39"/>
        <v>882.5</v>
      </c>
      <c r="J37" s="356">
        <f t="shared" ca="1" si="40"/>
        <v>330</v>
      </c>
      <c r="K37" s="357">
        <f t="shared" ca="1" si="6"/>
        <v>0.51944444444444438</v>
      </c>
      <c r="L37" s="358">
        <f t="shared" ca="1" si="41"/>
        <v>0.51944444444444449</v>
      </c>
      <c r="M37" s="359" t="str">
        <f ca="1">IF(L37&lt;&gt;0,tpm(L37,K37),"")</f>
        <v/>
      </c>
      <c r="N37" s="358">
        <f ca="1">IF(L37&lt;&gt;0,tDiff(L37,K37), 0)</f>
        <v>0</v>
      </c>
      <c r="O37" s="360">
        <f ca="1">IF(L37&lt;&gt;0,IF(M37="+",MIN(tInt(N37)*опережениеКВ,пределКВ),tInt(N37)*опережениеКВ),"DNS")</f>
        <v>0</v>
      </c>
      <c r="P37" s="358">
        <f t="shared" si="8"/>
        <v>8.3333335816860199E-2</v>
      </c>
      <c r="Q37" s="358">
        <f t="shared" ca="1" si="42"/>
        <v>1.3889074325561523E-3</v>
      </c>
      <c r="R37" s="357">
        <f t="shared" ca="1" si="43"/>
        <v>0.60277778026130469</v>
      </c>
      <c r="S37" s="358">
        <f t="shared" ca="1" si="44"/>
        <v>0.60277777777777775</v>
      </c>
      <c r="T37" s="359" t="str">
        <f ca="1">IF(S37&lt;&gt;0,tpm(S37,R37),"")</f>
        <v/>
      </c>
      <c r="U37" s="358">
        <f ca="1">IF(S37&lt;&gt;0,tDiff(S37,R37), 0)</f>
        <v>0</v>
      </c>
      <c r="V37" s="360">
        <f ca="1">IF(S37&lt;&gt;0,IF(T37="+",MIN(MAX(tInt(U37-Q37),0)*опережениеКВ,пределКВ),tInt(U37)*опережениеКВ),пропускКВ)</f>
        <v>0</v>
      </c>
      <c r="W37" s="358">
        <f t="shared" si="11"/>
        <v>8.3333335816860199E-2</v>
      </c>
      <c r="X37" s="358">
        <f t="shared" ca="1" si="45"/>
        <v>0</v>
      </c>
      <c r="Y37" s="358">
        <f t="shared" ca="1" si="46"/>
        <v>0</v>
      </c>
      <c r="Z37" s="357">
        <f t="shared" ca="1" si="47"/>
        <v>0.68611111359463794</v>
      </c>
      <c r="AA37" s="358">
        <f t="shared" ca="1" si="48"/>
        <v>0.68541666666666667</v>
      </c>
      <c r="AB37" s="359" t="str">
        <f ca="1">IF(AA37&lt;&gt;0,tpm(AA37,Z37),"")</f>
        <v>-</v>
      </c>
      <c r="AC37" s="358">
        <f ca="1">IF(AA37&lt;&gt;0,tDiff(AA37,Z37), 0)</f>
        <v>6.9445371627807617E-4</v>
      </c>
      <c r="AD37" s="360">
        <f ca="1">IF(AA37&lt;&gt;0,IF(AB37="+",MIN(MAX(tInt(AC37-Y37),0)*опережениеКВ,пределКВ),IF(tInt(AC37)&lt;=ROUNDUP(tInt(W37)*0.1,0),0,(tInt(AC37)-ROUNDUP(tInt(W37)*0.1,0))*опережениеКВ)),"DNF")</f>
        <v>0</v>
      </c>
      <c r="AE37" s="357">
        <f t="shared" ca="1" si="14"/>
        <v>0.54513888888888895</v>
      </c>
      <c r="AF37" s="358">
        <f t="shared" ca="1" si="49"/>
        <v>0.54652777777777783</v>
      </c>
      <c r="AG37" s="358">
        <f ca="1">IF(OR(AE37=0,AF37=0),0,tDiff(AF37,AE37))</f>
        <v>1.3889074325561523E-3</v>
      </c>
      <c r="AH37" s="362">
        <f t="shared" ca="1" si="50"/>
        <v>0.55891203703703707</v>
      </c>
      <c r="AI37" s="362">
        <f t="shared" ca="1" si="17"/>
        <v>0.55914351851851851</v>
      </c>
      <c r="AJ37" s="354" t="str">
        <f ca="1">IF(AI37&lt;&gt;0,tpm(AI37,AH37,"s"),"")</f>
        <v>+</v>
      </c>
      <c r="AK37" s="362">
        <f ca="1">IF(AI37&lt;&gt;0,tDiff(AI37,AH37,"s"), 0)</f>
        <v>2.3150444030761719E-4</v>
      </c>
      <c r="AL37" s="363">
        <f ca="1">IF(AI37=0,пропускСФ,MIN(tInt(AK37,"s")*отклонениеРД,пределРД))</f>
        <v>20</v>
      </c>
      <c r="AM37" s="364">
        <f t="shared" ca="1" si="51"/>
        <v>0.5627199074074074</v>
      </c>
      <c r="AN37" s="362">
        <f t="shared" ca="1" si="18"/>
        <v>0.56178240740740737</v>
      </c>
      <c r="AO37" s="359" t="str">
        <f ca="1">IF(AND(AM37&lt;&gt;0,AN37&lt;&gt;0),tpm(AN37,AM37,"s"),"")</f>
        <v>-</v>
      </c>
      <c r="AP37" s="362">
        <f ca="1">IF(AND(AM37&lt;&gt;0,AN37&lt;&gt;0),tDiff(AN37,AM37,"s"), 0)</f>
        <v>9.3746185302734375E-4</v>
      </c>
      <c r="AQ37" s="363">
        <f ca="1">IF(AM37=0,0,IF(AN37=0,пропускДС,MIN(tInt(AP37,"s")*отклонениеРД,пределРД)))</f>
        <v>81</v>
      </c>
      <c r="AR37" s="357">
        <f t="shared" ca="1" si="19"/>
        <v>0</v>
      </c>
      <c r="AS37" s="358">
        <f t="shared" ca="1" si="52"/>
        <v>0</v>
      </c>
      <c r="AT37" s="358">
        <f t="shared" ca="1" si="53"/>
        <v>0</v>
      </c>
      <c r="AU37" s="365">
        <f t="shared" ca="1" si="54"/>
        <v>9.5</v>
      </c>
      <c r="AV37" s="365">
        <f t="shared" ca="1" si="55"/>
        <v>0</v>
      </c>
      <c r="AW37" s="365">
        <f t="shared" ca="1" si="56"/>
        <v>2</v>
      </c>
      <c r="AX37" s="359">
        <f t="shared" ca="1" si="57"/>
        <v>0</v>
      </c>
      <c r="AY37" s="359">
        <f t="shared" ca="1" si="58"/>
        <v>0</v>
      </c>
      <c r="AZ37" s="363">
        <f t="shared" ca="1" si="23"/>
        <v>58.5</v>
      </c>
      <c r="BA37" s="357">
        <f t="shared" ca="1" si="24"/>
        <v>0</v>
      </c>
      <c r="BB37" s="358">
        <f t="shared" ca="1" si="59"/>
        <v>0.64027777777777783</v>
      </c>
      <c r="BC37" s="358">
        <f ca="1">IF(OR(BA37=0,BB37=0),0,tDiff(BB37,BA37))</f>
        <v>0</v>
      </c>
      <c r="BD37" s="362">
        <f t="shared" ca="1" si="60"/>
        <v>0.6488194444444445</v>
      </c>
      <c r="BE37" s="362">
        <f t="shared" ca="1" si="27"/>
        <v>0.6532175925925926</v>
      </c>
      <c r="BF37" s="354" t="str">
        <f ca="1">IF(BE37&lt;&gt;0,tpm(BE37,BD37,"s"),"")</f>
        <v>+</v>
      </c>
      <c r="BG37" s="362">
        <f ca="1">IF(BE37&lt;&gt;0,tDiff(BE37,BD37,"s"), 0)</f>
        <v>4.3981671333312988E-3</v>
      </c>
      <c r="BH37" s="363">
        <f ca="1">IF(BE37=0,пропускСФ,MIN(tInt(BG37,"s")*отклонениеРД,пределРД))</f>
        <v>380</v>
      </c>
      <c r="BI37" s="364">
        <f t="shared" ca="1" si="61"/>
        <v>0.66438657407407409</v>
      </c>
      <c r="BJ37" s="362">
        <f t="shared" ca="1" si="28"/>
        <v>0.66082175925925923</v>
      </c>
      <c r="BK37" s="359" t="str">
        <f ca="1">IF(BJ37&lt;&gt;0,tpm(BJ37,BI37,"s"),"")</f>
        <v>-</v>
      </c>
      <c r="BL37" s="362">
        <f ca="1">IF(BJ37&lt;&gt;0,tDiff(BJ37,BI37,"s"), 0)</f>
        <v>3.5648345947265625E-3</v>
      </c>
      <c r="BM37" s="363">
        <f ca="1">IF(BJ37=0,пропускСФ,MIN(tInt(BL37,"s")*отклонениеРД,пределРД))</f>
        <v>308</v>
      </c>
      <c r="BN37" s="364">
        <f t="shared" ca="1" si="62"/>
        <v>0.6721759259259259</v>
      </c>
      <c r="BO37" s="362">
        <f t="shared" ca="1" si="29"/>
        <v>0.67258101851851848</v>
      </c>
      <c r="BP37" s="359" t="str">
        <f ca="1">IF(AND(BO37&lt;&gt;0,BN37&lt;&gt;0),tpm(BO37,BN37,"s"),"")</f>
        <v>+</v>
      </c>
      <c r="BQ37" s="362">
        <f ca="1">IF(AND(BO37&lt;&gt;0,BN37&lt;&gt;0),tDiff(BO37,BN37,"s"), 0)</f>
        <v>4.0507316589355469E-4</v>
      </c>
      <c r="BR37" s="363">
        <f ca="1">IF(BN37=0,0,IF(BO37=0,пропускДС,MIN(tInt(BQ37,"s")*отклонениеРД,пределРД)))</f>
        <v>35</v>
      </c>
      <c r="BS37" s="366" t="str">
        <f t="shared" ca="1" si="30"/>
        <v>ДС-1 Фальстарт (30), остановка СФ ДС-1 (300)</v>
      </c>
      <c r="BT37" s="363">
        <f t="shared" ca="1" si="63"/>
        <v>330</v>
      </c>
      <c r="BU37" s="357">
        <f t="shared" ca="1" si="32"/>
        <v>0.53125</v>
      </c>
      <c r="BV37" s="361">
        <f t="shared" ca="1" si="64"/>
        <v>0</v>
      </c>
      <c r="BW37" s="357">
        <f t="shared" ca="1" si="34"/>
        <v>0.53611111111111109</v>
      </c>
      <c r="BX37" s="361">
        <f t="shared" ca="1" si="65"/>
        <v>0</v>
      </c>
      <c r="BY37" s="357">
        <f t="shared" ca="1" si="34"/>
        <v>0.58263888888888882</v>
      </c>
      <c r="BZ37" s="361">
        <f t="shared" ca="1" si="66"/>
        <v>0</v>
      </c>
      <c r="CA37" s="357">
        <f ca="1">IF(L37&lt;&gt;0,tTrunc(L37+_ВКВ1/_КВ2Скорость/24),tTrunc(K37+_ВКВ1/_КВ2Скорость/24))</f>
        <v>0.60069441795349121</v>
      </c>
      <c r="CB37" s="358">
        <f t="shared" ca="1" si="67"/>
        <v>0.6020833333333333</v>
      </c>
      <c r="CC37" s="358">
        <f>ROUNDUP(tInt(_ВКВ1/_КВ2Скорость/24)/10,0)/1440</f>
        <v>8.3333333333333332E-3</v>
      </c>
      <c r="CD37" s="359" t="str">
        <f ca="1">IF(AND(CB37&lt;&gt;0,CA37&lt;&gt;0),tpm(CB37,CA37),"")</f>
        <v>+</v>
      </c>
      <c r="CE37" s="358">
        <f ca="1">IF(CB37&lt;&gt;0,tDiff(CB37,CA37), 0)</f>
        <v>1.3889074325561523E-3</v>
      </c>
      <c r="CF37" s="361">
        <f ca="1">IF(CB37&lt;&gt;0,IF(CD37="+",0,IF(CE37&gt;CC37,tInt(CE37-CC37)*опережениеКВ,0)),пропускКВ)</f>
        <v>0</v>
      </c>
    </row>
    <row r="38" spans="1:84" s="22" customFormat="1" hidden="1" x14ac:dyDescent="0.25">
      <c r="A38" s="587" t="str">
        <f>стартоваяВедомость!B39</f>
        <v/>
      </c>
      <c r="B38" s="381">
        <f t="shared" ca="1" si="0"/>
        <v>0</v>
      </c>
      <c r="C38" s="381">
        <f t="shared" ca="1" si="1"/>
        <v>0</v>
      </c>
      <c r="D38" s="381">
        <f t="shared" ca="1" si="2"/>
        <v>0</v>
      </c>
      <c r="E38" s="381">
        <f t="shared" ca="1" si="3"/>
        <v>0</v>
      </c>
      <c r="F38" s="381">
        <f t="shared" ca="1" si="4"/>
        <v>0</v>
      </c>
      <c r="G38" s="382" t="str">
        <f t="shared" si="37"/>
        <v/>
      </c>
      <c r="H38" s="382" t="str">
        <f t="shared" ca="1" si="38"/>
        <v>DNS</v>
      </c>
      <c r="I38" s="382">
        <f t="shared" ca="1" si="39"/>
        <v>7200</v>
      </c>
      <c r="J38" s="382">
        <f t="shared" ca="1" si="40"/>
        <v>0</v>
      </c>
      <c r="K38" s="383">
        <f t="shared" ca="1" si="6"/>
        <v>0.52013888888888882</v>
      </c>
      <c r="L38" s="152">
        <f t="shared" ca="1" si="41"/>
        <v>0</v>
      </c>
      <c r="M38" s="384" t="str">
        <f ca="1">IF(L38&lt;&gt;0,tpm(L38,K38),"")</f>
        <v/>
      </c>
      <c r="N38" s="152">
        <f ca="1">IF(L38&lt;&gt;0,tDiff(L38,K38), 0)</f>
        <v>0</v>
      </c>
      <c r="O38" s="385" t="str">
        <f ca="1">IF(L38&lt;&gt;0,IF(M38="+",MIN(tInt(N38)*опережениеКВ,пределКВ),tInt(N38)*опережениеКВ),"DNS")</f>
        <v>DNS</v>
      </c>
      <c r="P38" s="152">
        <f t="shared" si="8"/>
        <v>8.3333335816860199E-2</v>
      </c>
      <c r="Q38" s="152">
        <f t="shared" ca="1" si="42"/>
        <v>0</v>
      </c>
      <c r="R38" s="383">
        <f t="shared" ca="1" si="43"/>
        <v>0.60347222470574902</v>
      </c>
      <c r="S38" s="152">
        <f t="shared" ca="1" si="44"/>
        <v>0</v>
      </c>
      <c r="T38" s="384" t="str">
        <f ca="1">IF(S38&lt;&gt;0,tpm(S38,R38),"")</f>
        <v/>
      </c>
      <c r="U38" s="152">
        <f ca="1">IF(S38&lt;&gt;0,tDiff(S38,R38), 0)</f>
        <v>0</v>
      </c>
      <c r="V38" s="385">
        <f ca="1">IF(S38&lt;&gt;0,IF(T38="+",MIN(MAX(tInt(U38-Q38),0)*опережениеКВ,пределКВ),tInt(U38)*опережениеКВ),пропускКВ)</f>
        <v>900</v>
      </c>
      <c r="W38" s="152">
        <f t="shared" si="11"/>
        <v>8.3333335816860199E-2</v>
      </c>
      <c r="X38" s="152">
        <f t="shared" ca="1" si="45"/>
        <v>0</v>
      </c>
      <c r="Y38" s="152">
        <f t="shared" ca="1" si="46"/>
        <v>0</v>
      </c>
      <c r="Z38" s="383">
        <f t="shared" ca="1" si="47"/>
        <v>0.68680556052260922</v>
      </c>
      <c r="AA38" s="152">
        <f t="shared" ca="1" si="48"/>
        <v>0</v>
      </c>
      <c r="AB38" s="384" t="str">
        <f ca="1">IF(AA38&lt;&gt;0,tpm(AA38,Z38),"")</f>
        <v/>
      </c>
      <c r="AC38" s="152">
        <f ca="1">IF(AA38&lt;&gt;0,tDiff(AA38,Z38), 0)</f>
        <v>0</v>
      </c>
      <c r="AD38" s="385" t="str">
        <f ca="1">IF(AA38&lt;&gt;0,IF(AB38="+",MIN(MAX(tInt(AC38-Y38),0)*опережениеКВ,пределКВ),IF(tInt(AC38)&lt;=ROUNDUP(tInt(W38)*0.1,0),0,(tInt(AC38)-ROUNDUP(tInt(W38)*0.1,0))*опережениеКВ)),"DNF")</f>
        <v>DNF</v>
      </c>
      <c r="AE38" s="383">
        <f t="shared" ca="1" si="14"/>
        <v>0</v>
      </c>
      <c r="AF38" s="152">
        <f t="shared" ca="1" si="49"/>
        <v>0</v>
      </c>
      <c r="AG38" s="152">
        <f ca="1">IF(OR(AE38=0,AF38=0),0,tDiff(AF38,AE38))</f>
        <v>0</v>
      </c>
      <c r="AH38" s="386">
        <f t="shared" ca="1" si="50"/>
        <v>0</v>
      </c>
      <c r="AI38" s="386">
        <f t="shared" ca="1" si="17"/>
        <v>0</v>
      </c>
      <c r="AJ38" s="380" t="str">
        <f ca="1">IF(AI38&lt;&gt;0,tpm(AI38,AH38,"s"),"")</f>
        <v/>
      </c>
      <c r="AK38" s="386">
        <f ca="1">IF(AI38&lt;&gt;0,tDiff(AI38,AH38,"s"), 0)</f>
        <v>0</v>
      </c>
      <c r="AL38" s="387">
        <f ca="1">IF(AI38=0,пропускСФ,MIN(tInt(AK38,"s")*отклонениеРД,пределРД))</f>
        <v>1800</v>
      </c>
      <c r="AM38" s="388">
        <f t="shared" ca="1" si="51"/>
        <v>0</v>
      </c>
      <c r="AN38" s="386">
        <f t="shared" ca="1" si="18"/>
        <v>0</v>
      </c>
      <c r="AO38" s="384" t="str">
        <f ca="1">IF(AND(AM38&lt;&gt;0,AN38&lt;&gt;0),tpm(AN38,AM38,"s"),"")</f>
        <v/>
      </c>
      <c r="AP38" s="386">
        <f ca="1">IF(AND(AM38&lt;&gt;0,AN38&lt;&gt;0),tDiff(AN38,AM38,"s"), 0)</f>
        <v>0</v>
      </c>
      <c r="AQ38" s="387">
        <f ca="1">IF(AM38=0,0,IF(AN38=0,пропускДС,MIN(tInt(AP38,"s")*отклонениеРД,пределРД)))</f>
        <v>0</v>
      </c>
      <c r="AR38" s="383">
        <f t="shared" ca="1" si="19"/>
        <v>0</v>
      </c>
      <c r="AS38" s="152">
        <f t="shared" ca="1" si="52"/>
        <v>0</v>
      </c>
      <c r="AT38" s="152">
        <f t="shared" ca="1" si="53"/>
        <v>0</v>
      </c>
      <c r="AU38" s="389">
        <f t="shared" ca="1" si="54"/>
        <v>0</v>
      </c>
      <c r="AV38" s="389">
        <f t="shared" ca="1" si="55"/>
        <v>0</v>
      </c>
      <c r="AW38" s="389">
        <f t="shared" ca="1" si="56"/>
        <v>0</v>
      </c>
      <c r="AX38" s="384">
        <f t="shared" ca="1" si="57"/>
        <v>0</v>
      </c>
      <c r="AY38" s="384">
        <f t="shared" ca="1" si="58"/>
        <v>0</v>
      </c>
      <c r="AZ38" s="387">
        <f t="shared" ca="1" si="23"/>
        <v>1800</v>
      </c>
      <c r="BA38" s="383">
        <f t="shared" ca="1" si="24"/>
        <v>0</v>
      </c>
      <c r="BB38" s="152">
        <f t="shared" ca="1" si="59"/>
        <v>0</v>
      </c>
      <c r="BC38" s="152">
        <f ca="1">IF(OR(BA38=0,BB38=0),0,tDiff(BB38,BA38))</f>
        <v>0</v>
      </c>
      <c r="BD38" s="386">
        <f t="shared" ca="1" si="60"/>
        <v>0</v>
      </c>
      <c r="BE38" s="386">
        <f t="shared" ca="1" si="27"/>
        <v>0</v>
      </c>
      <c r="BF38" s="380" t="str">
        <f ca="1">IF(BE38&lt;&gt;0,tpm(BE38,BD38,"s"),"")</f>
        <v/>
      </c>
      <c r="BG38" s="386">
        <f ca="1">IF(BE38&lt;&gt;0,tDiff(BE38,BD38,"s"), 0)</f>
        <v>0</v>
      </c>
      <c r="BH38" s="387">
        <f ca="1">IF(BE38=0,пропускСФ,MIN(tInt(BG38,"s")*отклонениеРД,пределРД))</f>
        <v>1800</v>
      </c>
      <c r="BI38" s="388">
        <f t="shared" ca="1" si="61"/>
        <v>0</v>
      </c>
      <c r="BJ38" s="386">
        <f t="shared" ca="1" si="28"/>
        <v>0</v>
      </c>
      <c r="BK38" s="384" t="str">
        <f ca="1">IF(BJ38&lt;&gt;0,tpm(BJ38,BI38,"s"),"")</f>
        <v/>
      </c>
      <c r="BL38" s="386">
        <f ca="1">IF(BJ38&lt;&gt;0,tDiff(BJ38,BI38,"s"), 0)</f>
        <v>0</v>
      </c>
      <c r="BM38" s="387">
        <f ca="1">IF(BJ38=0,пропускСФ,MIN(tInt(BL38,"s")*отклонениеРД,пределРД))</f>
        <v>1800</v>
      </c>
      <c r="BN38" s="388">
        <f t="shared" ca="1" si="62"/>
        <v>0</v>
      </c>
      <c r="BO38" s="386">
        <f t="shared" ca="1" si="29"/>
        <v>0</v>
      </c>
      <c r="BP38" s="384" t="str">
        <f ca="1">IF(AND(BO38&lt;&gt;0,BN38&lt;&gt;0),tpm(BO38,BN38,"s"),"")</f>
        <v/>
      </c>
      <c r="BQ38" s="386">
        <f ca="1">IF(AND(BO38&lt;&gt;0,BN38&lt;&gt;0),tDiff(BO38,BN38,"s"), 0)</f>
        <v>0</v>
      </c>
      <c r="BR38" s="387">
        <f ca="1">IF(BN38=0,0,IF(BO38=0,пропускДС,MIN(tInt(BQ38,"s")*отклонениеРД,пределРД)))</f>
        <v>0</v>
      </c>
      <c r="BS38" s="390">
        <f t="shared" ca="1" si="30"/>
        <v>0</v>
      </c>
      <c r="BT38" s="387">
        <f t="shared" ca="1" si="63"/>
        <v>0</v>
      </c>
      <c r="BU38" s="383">
        <f t="shared" ca="1" si="32"/>
        <v>0</v>
      </c>
      <c r="BV38" s="391">
        <f t="shared" ca="1" si="64"/>
        <v>900</v>
      </c>
      <c r="BW38" s="383">
        <f t="shared" ca="1" si="34"/>
        <v>0</v>
      </c>
      <c r="BX38" s="391">
        <f t="shared" ca="1" si="65"/>
        <v>900</v>
      </c>
      <c r="BY38" s="383">
        <f t="shared" ca="1" si="34"/>
        <v>0</v>
      </c>
      <c r="BZ38" s="391">
        <f t="shared" ca="1" si="66"/>
        <v>900</v>
      </c>
      <c r="CA38" s="383">
        <f ca="1">IF(L38&lt;&gt;0,tTrunc(L38+_ВКВ1/_КВ2Скорость/24),tTrunc(K38+_ВКВ1/_КВ2Скорость/24))</f>
        <v>0.60138887166976929</v>
      </c>
      <c r="CB38" s="152">
        <f t="shared" ca="1" si="67"/>
        <v>0</v>
      </c>
      <c r="CC38" s="152">
        <f>ROUNDUP(tInt(_ВКВ1/_КВ2Скорость/24)/10,0)/1440</f>
        <v>8.3333333333333332E-3</v>
      </c>
      <c r="CD38" s="384" t="str">
        <f ca="1">IF(AND(CB38&lt;&gt;0,CA38&lt;&gt;0),tpm(CB38,CA38),"")</f>
        <v/>
      </c>
      <c r="CE38" s="152">
        <f ca="1">IF(CB38&lt;&gt;0,tDiff(CB38,CA38), 0)</f>
        <v>0</v>
      </c>
      <c r="CF38" s="391">
        <f ca="1">IF(CB38&lt;&gt;0,IF(CD38="+",0,IF(CE38&gt;CC38,tInt(CE38-CC38)*опережениеКВ,0)),пропускКВ)</f>
        <v>900</v>
      </c>
    </row>
    <row r="39" spans="1:84" s="367" customFormat="1" hidden="1" x14ac:dyDescent="0.25">
      <c r="A39" s="586" t="str">
        <f>стартоваяВедомость!B40</f>
        <v/>
      </c>
      <c r="B39" s="355">
        <f t="shared" ca="1" si="0"/>
        <v>0</v>
      </c>
      <c r="C39" s="355">
        <f t="shared" ca="1" si="1"/>
        <v>0</v>
      </c>
      <c r="D39" s="355">
        <f t="shared" ca="1" si="2"/>
        <v>0</v>
      </c>
      <c r="E39" s="355">
        <f t="shared" ca="1" si="3"/>
        <v>0</v>
      </c>
      <c r="F39" s="355">
        <f t="shared" ca="1" si="4"/>
        <v>0</v>
      </c>
      <c r="G39" s="356" t="str">
        <f t="shared" si="37"/>
        <v/>
      </c>
      <c r="H39" s="356" t="str">
        <f t="shared" ca="1" si="38"/>
        <v>DNS</v>
      </c>
      <c r="I39" s="356">
        <f t="shared" ca="1" si="39"/>
        <v>7200</v>
      </c>
      <c r="J39" s="356">
        <f t="shared" ca="1" si="40"/>
        <v>0</v>
      </c>
      <c r="K39" s="357">
        <f t="shared" ca="1" si="6"/>
        <v>0.52013888888888882</v>
      </c>
      <c r="L39" s="358">
        <f t="shared" ca="1" si="41"/>
        <v>0</v>
      </c>
      <c r="M39" s="359" t="str">
        <f ca="1">IF(L39&lt;&gt;0,tpm(L39,K39),"")</f>
        <v/>
      </c>
      <c r="N39" s="358">
        <f ca="1">IF(L39&lt;&gt;0,tDiff(L39,K39), 0)</f>
        <v>0</v>
      </c>
      <c r="O39" s="360" t="str">
        <f ca="1">IF(L39&lt;&gt;0,IF(M39="+",MIN(tInt(N39)*опережениеКВ,пределКВ),tInt(N39)*опережениеКВ),"DNS")</f>
        <v>DNS</v>
      </c>
      <c r="P39" s="358">
        <f t="shared" si="8"/>
        <v>8.3333335816860199E-2</v>
      </c>
      <c r="Q39" s="358">
        <f t="shared" ca="1" si="42"/>
        <v>0</v>
      </c>
      <c r="R39" s="357">
        <f t="shared" ca="1" si="43"/>
        <v>0.60347222470574902</v>
      </c>
      <c r="S39" s="358">
        <f t="shared" ca="1" si="44"/>
        <v>0</v>
      </c>
      <c r="T39" s="359" t="str">
        <f ca="1">IF(S39&lt;&gt;0,tpm(S39,R39),"")</f>
        <v/>
      </c>
      <c r="U39" s="358">
        <f ca="1">IF(S39&lt;&gt;0,tDiff(S39,R39), 0)</f>
        <v>0</v>
      </c>
      <c r="V39" s="360">
        <f ca="1">IF(S39&lt;&gt;0,IF(T39="+",MIN(MAX(tInt(U39-Q39),0)*опережениеКВ,пределКВ),tInt(U39)*опережениеКВ),пропускКВ)</f>
        <v>900</v>
      </c>
      <c r="W39" s="358">
        <f t="shared" si="11"/>
        <v>8.3333335816860199E-2</v>
      </c>
      <c r="X39" s="358">
        <f t="shared" ca="1" si="45"/>
        <v>0</v>
      </c>
      <c r="Y39" s="358">
        <f t="shared" ca="1" si="46"/>
        <v>0</v>
      </c>
      <c r="Z39" s="357">
        <f t="shared" ca="1" si="47"/>
        <v>0.68680556052260922</v>
      </c>
      <c r="AA39" s="358">
        <f t="shared" ca="1" si="48"/>
        <v>0</v>
      </c>
      <c r="AB39" s="359" t="str">
        <f ca="1">IF(AA39&lt;&gt;0,tpm(AA39,Z39),"")</f>
        <v/>
      </c>
      <c r="AC39" s="358">
        <f ca="1">IF(AA39&lt;&gt;0,tDiff(AA39,Z39), 0)</f>
        <v>0</v>
      </c>
      <c r="AD39" s="360" t="str">
        <f ca="1">IF(AA39&lt;&gt;0,IF(AB39="+",MIN(MAX(tInt(AC39-Y39),0)*опережениеКВ,пределКВ),IF(tInt(AC39)&lt;=ROUNDUP(tInt(W39)*0.1,0),0,(tInt(AC39)-ROUNDUP(tInt(W39)*0.1,0))*опережениеКВ)),"DNF")</f>
        <v>DNF</v>
      </c>
      <c r="AE39" s="357">
        <f t="shared" ca="1" si="14"/>
        <v>0</v>
      </c>
      <c r="AF39" s="358">
        <f t="shared" ca="1" si="49"/>
        <v>0</v>
      </c>
      <c r="AG39" s="358">
        <f ca="1">IF(OR(AE39=0,AF39=0),0,tDiff(AF39,AE39))</f>
        <v>0</v>
      </c>
      <c r="AH39" s="362">
        <f t="shared" ca="1" si="50"/>
        <v>0</v>
      </c>
      <c r="AI39" s="362">
        <f t="shared" ca="1" si="17"/>
        <v>0</v>
      </c>
      <c r="AJ39" s="354" t="str">
        <f ca="1">IF(AI39&lt;&gt;0,tpm(AI39,AH39,"s"),"")</f>
        <v/>
      </c>
      <c r="AK39" s="362">
        <f ca="1">IF(AI39&lt;&gt;0,tDiff(AI39,AH39,"s"), 0)</f>
        <v>0</v>
      </c>
      <c r="AL39" s="363">
        <f ca="1">IF(AI39=0,пропускСФ,MIN(tInt(AK39,"s")*отклонениеРД,пределРД))</f>
        <v>1800</v>
      </c>
      <c r="AM39" s="364">
        <f t="shared" ca="1" si="51"/>
        <v>0</v>
      </c>
      <c r="AN39" s="362">
        <f t="shared" ca="1" si="18"/>
        <v>0</v>
      </c>
      <c r="AO39" s="359" t="str">
        <f ca="1">IF(AND(AM39&lt;&gt;0,AN39&lt;&gt;0),tpm(AN39,AM39,"s"),"")</f>
        <v/>
      </c>
      <c r="AP39" s="362">
        <f ca="1">IF(AND(AM39&lt;&gt;0,AN39&lt;&gt;0),tDiff(AN39,AM39,"s"), 0)</f>
        <v>0</v>
      </c>
      <c r="AQ39" s="363">
        <f ca="1">IF(AM39=0,0,IF(AN39=0,пропускДС,MIN(tInt(AP39,"s")*отклонениеРД,пределРД)))</f>
        <v>0</v>
      </c>
      <c r="AR39" s="357">
        <f t="shared" ca="1" si="19"/>
        <v>0</v>
      </c>
      <c r="AS39" s="358">
        <f t="shared" ca="1" si="52"/>
        <v>0</v>
      </c>
      <c r="AT39" s="358">
        <f t="shared" ca="1" si="53"/>
        <v>0</v>
      </c>
      <c r="AU39" s="365">
        <f t="shared" ca="1" si="54"/>
        <v>0</v>
      </c>
      <c r="AV39" s="365">
        <f t="shared" ca="1" si="55"/>
        <v>0</v>
      </c>
      <c r="AW39" s="365">
        <f t="shared" ca="1" si="56"/>
        <v>0</v>
      </c>
      <c r="AX39" s="359">
        <f t="shared" ca="1" si="57"/>
        <v>0</v>
      </c>
      <c r="AY39" s="359">
        <f t="shared" ca="1" si="58"/>
        <v>0</v>
      </c>
      <c r="AZ39" s="363">
        <f t="shared" ca="1" si="23"/>
        <v>1800</v>
      </c>
      <c r="BA39" s="357">
        <f t="shared" ca="1" si="24"/>
        <v>0</v>
      </c>
      <c r="BB39" s="358">
        <f t="shared" ca="1" si="59"/>
        <v>0</v>
      </c>
      <c r="BC39" s="358">
        <f ca="1">IF(OR(BA39=0,BB39=0),0,tDiff(BB39,BA39))</f>
        <v>0</v>
      </c>
      <c r="BD39" s="362">
        <f t="shared" ca="1" si="60"/>
        <v>0</v>
      </c>
      <c r="BE39" s="362">
        <f t="shared" ca="1" si="27"/>
        <v>0</v>
      </c>
      <c r="BF39" s="354" t="str">
        <f ca="1">IF(BE39&lt;&gt;0,tpm(BE39,BD39,"s"),"")</f>
        <v/>
      </c>
      <c r="BG39" s="362">
        <f ca="1">IF(BE39&lt;&gt;0,tDiff(BE39,BD39,"s"), 0)</f>
        <v>0</v>
      </c>
      <c r="BH39" s="363">
        <f ca="1">IF(BE39=0,пропускСФ,MIN(tInt(BG39,"s")*отклонениеРД,пределРД))</f>
        <v>1800</v>
      </c>
      <c r="BI39" s="364">
        <f t="shared" ca="1" si="61"/>
        <v>0</v>
      </c>
      <c r="BJ39" s="362">
        <f t="shared" ca="1" si="28"/>
        <v>0</v>
      </c>
      <c r="BK39" s="359" t="str">
        <f ca="1">IF(BJ39&lt;&gt;0,tpm(BJ39,BI39,"s"),"")</f>
        <v/>
      </c>
      <c r="BL39" s="362">
        <f ca="1">IF(BJ39&lt;&gt;0,tDiff(BJ39,BI39,"s"), 0)</f>
        <v>0</v>
      </c>
      <c r="BM39" s="363">
        <f ca="1">IF(BJ39=0,пропускСФ,MIN(tInt(BL39,"s")*отклонениеРД,пределРД))</f>
        <v>1800</v>
      </c>
      <c r="BN39" s="364">
        <f t="shared" ca="1" si="62"/>
        <v>0</v>
      </c>
      <c r="BO39" s="362">
        <f t="shared" ca="1" si="29"/>
        <v>0</v>
      </c>
      <c r="BP39" s="359" t="str">
        <f ca="1">IF(AND(BO39&lt;&gt;0,BN39&lt;&gt;0),tpm(BO39,BN39,"s"),"")</f>
        <v/>
      </c>
      <c r="BQ39" s="362">
        <f ca="1">IF(AND(BO39&lt;&gt;0,BN39&lt;&gt;0),tDiff(BO39,BN39,"s"), 0)</f>
        <v>0</v>
      </c>
      <c r="BR39" s="363">
        <f ca="1">IF(BN39=0,0,IF(BO39=0,пропускДС,MIN(tInt(BQ39,"s")*отклонениеРД,пределРД)))</f>
        <v>0</v>
      </c>
      <c r="BS39" s="366">
        <f t="shared" ca="1" si="30"/>
        <v>0</v>
      </c>
      <c r="BT39" s="363">
        <f t="shared" ca="1" si="63"/>
        <v>0</v>
      </c>
      <c r="BU39" s="357">
        <f t="shared" ca="1" si="32"/>
        <v>0</v>
      </c>
      <c r="BV39" s="361">
        <f t="shared" ca="1" si="64"/>
        <v>900</v>
      </c>
      <c r="BW39" s="357">
        <f t="shared" ca="1" si="34"/>
        <v>0</v>
      </c>
      <c r="BX39" s="361">
        <f t="shared" ca="1" si="65"/>
        <v>900</v>
      </c>
      <c r="BY39" s="357">
        <f t="shared" ca="1" si="34"/>
        <v>0</v>
      </c>
      <c r="BZ39" s="361">
        <f t="shared" ca="1" si="66"/>
        <v>900</v>
      </c>
      <c r="CA39" s="357">
        <f ca="1">IF(L39&lt;&gt;0,tTrunc(L39+_ВКВ1/_КВ2Скорость/24),tTrunc(K39+_ВКВ1/_КВ2Скорость/24))</f>
        <v>0.60138887166976929</v>
      </c>
      <c r="CB39" s="358">
        <f t="shared" ca="1" si="67"/>
        <v>0</v>
      </c>
      <c r="CC39" s="358">
        <f>ROUNDUP(tInt(_ВКВ1/_КВ2Скорость/24)/10,0)/1440</f>
        <v>8.3333333333333332E-3</v>
      </c>
      <c r="CD39" s="359" t="str">
        <f ca="1">IF(AND(CB39&lt;&gt;0,CA39&lt;&gt;0),tpm(CB39,CA39),"")</f>
        <v/>
      </c>
      <c r="CE39" s="358">
        <f ca="1">IF(CB39&lt;&gt;0,tDiff(CB39,CA39), 0)</f>
        <v>0</v>
      </c>
      <c r="CF39" s="361">
        <f ca="1">IF(CB39&lt;&gt;0,IF(CD39="+",0,IF(CE39&gt;CC39,tInt(CE39-CC39)*опережениеКВ,0)),пропускКВ)</f>
        <v>900</v>
      </c>
    </row>
    <row r="40" spans="1:84" s="22" customFormat="1" hidden="1" x14ac:dyDescent="0.25">
      <c r="A40" s="587" t="str">
        <f>стартоваяВедомость!B41</f>
        <v/>
      </c>
      <c r="B40" s="381">
        <f t="shared" ca="1" si="0"/>
        <v>0</v>
      </c>
      <c r="C40" s="381">
        <f t="shared" ca="1" si="1"/>
        <v>0</v>
      </c>
      <c r="D40" s="381">
        <f t="shared" ca="1" si="2"/>
        <v>0</v>
      </c>
      <c r="E40" s="381">
        <f t="shared" ca="1" si="3"/>
        <v>0</v>
      </c>
      <c r="F40" s="381">
        <f t="shared" ca="1" si="4"/>
        <v>0</v>
      </c>
      <c r="G40" s="382" t="str">
        <f t="shared" si="37"/>
        <v/>
      </c>
      <c r="H40" s="382" t="str">
        <f t="shared" ca="1" si="38"/>
        <v>DNS</v>
      </c>
      <c r="I40" s="382">
        <f t="shared" ca="1" si="39"/>
        <v>7200</v>
      </c>
      <c r="J40" s="382">
        <f t="shared" ca="1" si="40"/>
        <v>0</v>
      </c>
      <c r="K40" s="383">
        <f t="shared" ca="1" si="6"/>
        <v>0.52013888888888882</v>
      </c>
      <c r="L40" s="152">
        <f t="shared" ca="1" si="41"/>
        <v>0</v>
      </c>
      <c r="M40" s="384" t="str">
        <f ca="1">IF(L40&lt;&gt;0,tpm(L40,K40),"")</f>
        <v/>
      </c>
      <c r="N40" s="152">
        <f ca="1">IF(L40&lt;&gt;0,tDiff(L40,K40), 0)</f>
        <v>0</v>
      </c>
      <c r="O40" s="385" t="str">
        <f ca="1">IF(L40&lt;&gt;0,IF(M40="+",MIN(tInt(N40)*опережениеКВ,пределКВ),tInt(N40)*опережениеКВ),"DNS")</f>
        <v>DNS</v>
      </c>
      <c r="P40" s="152">
        <f t="shared" si="8"/>
        <v>8.3333335816860199E-2</v>
      </c>
      <c r="Q40" s="152">
        <f t="shared" ca="1" si="42"/>
        <v>0</v>
      </c>
      <c r="R40" s="383">
        <f t="shared" ca="1" si="43"/>
        <v>0.60347222470574902</v>
      </c>
      <c r="S40" s="152">
        <f t="shared" ca="1" si="44"/>
        <v>0</v>
      </c>
      <c r="T40" s="384" t="str">
        <f ca="1">IF(S40&lt;&gt;0,tpm(S40,R40),"")</f>
        <v/>
      </c>
      <c r="U40" s="152">
        <f ca="1">IF(S40&lt;&gt;0,tDiff(S40,R40), 0)</f>
        <v>0</v>
      </c>
      <c r="V40" s="385">
        <f ca="1">IF(S40&lt;&gt;0,IF(T40="+",MIN(MAX(tInt(U40-Q40),0)*опережениеКВ,пределКВ),tInt(U40)*опережениеКВ),пропускКВ)</f>
        <v>900</v>
      </c>
      <c r="W40" s="152">
        <f t="shared" si="11"/>
        <v>8.3333335816860199E-2</v>
      </c>
      <c r="X40" s="152">
        <f t="shared" ca="1" si="45"/>
        <v>0</v>
      </c>
      <c r="Y40" s="152">
        <f t="shared" ca="1" si="46"/>
        <v>0</v>
      </c>
      <c r="Z40" s="383">
        <f t="shared" ca="1" si="47"/>
        <v>0.68680556052260922</v>
      </c>
      <c r="AA40" s="152">
        <f t="shared" ca="1" si="48"/>
        <v>0</v>
      </c>
      <c r="AB40" s="384" t="str">
        <f ca="1">IF(AA40&lt;&gt;0,tpm(AA40,Z40),"")</f>
        <v/>
      </c>
      <c r="AC40" s="152">
        <f ca="1">IF(AA40&lt;&gt;0,tDiff(AA40,Z40), 0)</f>
        <v>0</v>
      </c>
      <c r="AD40" s="385" t="str">
        <f ca="1">IF(AA40&lt;&gt;0,IF(AB40="+",MIN(MAX(tInt(AC40-Y40),0)*опережениеКВ,пределКВ),IF(tInt(AC40)&lt;=ROUNDUP(tInt(W40)*0.1,0),0,(tInt(AC40)-ROUNDUP(tInt(W40)*0.1,0))*опережениеКВ)),"DNF")</f>
        <v>DNF</v>
      </c>
      <c r="AE40" s="383">
        <f t="shared" ca="1" si="14"/>
        <v>0</v>
      </c>
      <c r="AF40" s="152">
        <f t="shared" ca="1" si="49"/>
        <v>0</v>
      </c>
      <c r="AG40" s="152">
        <f ca="1">IF(OR(AE40=0,AF40=0),0,tDiff(AF40,AE40))</f>
        <v>0</v>
      </c>
      <c r="AH40" s="386">
        <f t="shared" ca="1" si="50"/>
        <v>0</v>
      </c>
      <c r="AI40" s="386">
        <f t="shared" ca="1" si="17"/>
        <v>0</v>
      </c>
      <c r="AJ40" s="380" t="str">
        <f ca="1">IF(AI40&lt;&gt;0,tpm(AI40,AH40,"s"),"")</f>
        <v/>
      </c>
      <c r="AK40" s="386">
        <f ca="1">IF(AI40&lt;&gt;0,tDiff(AI40,AH40,"s"), 0)</f>
        <v>0</v>
      </c>
      <c r="AL40" s="387">
        <f ca="1">IF(AI40=0,пропускСФ,MIN(tInt(AK40,"s")*отклонениеРД,пределРД))</f>
        <v>1800</v>
      </c>
      <c r="AM40" s="388">
        <f t="shared" ca="1" si="51"/>
        <v>0</v>
      </c>
      <c r="AN40" s="386">
        <f t="shared" ca="1" si="18"/>
        <v>0</v>
      </c>
      <c r="AO40" s="384" t="str">
        <f ca="1">IF(AND(AM40&lt;&gt;0,AN40&lt;&gt;0),tpm(AN40,AM40,"s"),"")</f>
        <v/>
      </c>
      <c r="AP40" s="386">
        <f ca="1">IF(AND(AM40&lt;&gt;0,AN40&lt;&gt;0),tDiff(AN40,AM40,"s"), 0)</f>
        <v>0</v>
      </c>
      <c r="AQ40" s="387">
        <f ca="1">IF(AM40=0,0,IF(AN40=0,пропускДС,MIN(tInt(AP40,"s")*отклонениеРД,пределРД)))</f>
        <v>0</v>
      </c>
      <c r="AR40" s="383">
        <f t="shared" ca="1" si="19"/>
        <v>0</v>
      </c>
      <c r="AS40" s="152">
        <f t="shared" ca="1" si="52"/>
        <v>0</v>
      </c>
      <c r="AT40" s="152">
        <f t="shared" ca="1" si="53"/>
        <v>0</v>
      </c>
      <c r="AU40" s="389">
        <f t="shared" ca="1" si="54"/>
        <v>0</v>
      </c>
      <c r="AV40" s="389">
        <f t="shared" ca="1" si="55"/>
        <v>0</v>
      </c>
      <c r="AW40" s="389">
        <f t="shared" ca="1" si="56"/>
        <v>0</v>
      </c>
      <c r="AX40" s="384">
        <f t="shared" ca="1" si="57"/>
        <v>0</v>
      </c>
      <c r="AY40" s="384">
        <f t="shared" ca="1" si="58"/>
        <v>0</v>
      </c>
      <c r="AZ40" s="387">
        <f t="shared" ca="1" si="23"/>
        <v>1800</v>
      </c>
      <c r="BA40" s="383">
        <f t="shared" ca="1" si="24"/>
        <v>0</v>
      </c>
      <c r="BB40" s="152">
        <f t="shared" ca="1" si="59"/>
        <v>0</v>
      </c>
      <c r="BC40" s="152">
        <f ca="1">IF(OR(BA40=0,BB40=0),0,tDiff(BB40,BA40))</f>
        <v>0</v>
      </c>
      <c r="BD40" s="386">
        <f t="shared" ca="1" si="60"/>
        <v>0</v>
      </c>
      <c r="BE40" s="386">
        <f t="shared" ca="1" si="27"/>
        <v>0</v>
      </c>
      <c r="BF40" s="380" t="str">
        <f ca="1">IF(BE40&lt;&gt;0,tpm(BE40,BD40,"s"),"")</f>
        <v/>
      </c>
      <c r="BG40" s="386">
        <f ca="1">IF(BE40&lt;&gt;0,tDiff(BE40,BD40,"s"), 0)</f>
        <v>0</v>
      </c>
      <c r="BH40" s="387">
        <f ca="1">IF(BE40=0,пропускСФ,MIN(tInt(BG40,"s")*отклонениеРД,пределРД))</f>
        <v>1800</v>
      </c>
      <c r="BI40" s="388">
        <f t="shared" ca="1" si="61"/>
        <v>0</v>
      </c>
      <c r="BJ40" s="386">
        <f t="shared" ca="1" si="28"/>
        <v>0</v>
      </c>
      <c r="BK40" s="384" t="str">
        <f ca="1">IF(BJ40&lt;&gt;0,tpm(BJ40,BI40,"s"),"")</f>
        <v/>
      </c>
      <c r="BL40" s="386">
        <f ca="1">IF(BJ40&lt;&gt;0,tDiff(BJ40,BI40,"s"), 0)</f>
        <v>0</v>
      </c>
      <c r="BM40" s="387">
        <f ca="1">IF(BJ40=0,пропускСФ,MIN(tInt(BL40,"s")*отклонениеРД,пределРД))</f>
        <v>1800</v>
      </c>
      <c r="BN40" s="388">
        <f t="shared" ca="1" si="62"/>
        <v>0</v>
      </c>
      <c r="BO40" s="386">
        <f t="shared" ca="1" si="29"/>
        <v>0</v>
      </c>
      <c r="BP40" s="384" t="str">
        <f ca="1">IF(AND(BO40&lt;&gt;0,BN40&lt;&gt;0),tpm(BO40,BN40,"s"),"")</f>
        <v/>
      </c>
      <c r="BQ40" s="386">
        <f ca="1">IF(AND(BO40&lt;&gt;0,BN40&lt;&gt;0),tDiff(BO40,BN40,"s"), 0)</f>
        <v>0</v>
      </c>
      <c r="BR40" s="387">
        <f ca="1">IF(BN40=0,0,IF(BO40=0,пропускДС,MIN(tInt(BQ40,"s")*отклонениеРД,пределРД)))</f>
        <v>0</v>
      </c>
      <c r="BS40" s="390">
        <f t="shared" ca="1" si="30"/>
        <v>0</v>
      </c>
      <c r="BT40" s="387">
        <f t="shared" ca="1" si="63"/>
        <v>0</v>
      </c>
      <c r="BU40" s="383">
        <f t="shared" ca="1" si="32"/>
        <v>0</v>
      </c>
      <c r="BV40" s="391">
        <f t="shared" ca="1" si="64"/>
        <v>900</v>
      </c>
      <c r="BW40" s="383">
        <f t="shared" ca="1" si="34"/>
        <v>0</v>
      </c>
      <c r="BX40" s="391">
        <f t="shared" ca="1" si="65"/>
        <v>900</v>
      </c>
      <c r="BY40" s="383">
        <f t="shared" ca="1" si="34"/>
        <v>0</v>
      </c>
      <c r="BZ40" s="391">
        <f t="shared" ca="1" si="66"/>
        <v>900</v>
      </c>
      <c r="CA40" s="383">
        <f ca="1">IF(L40&lt;&gt;0,tTrunc(L40+_ВКВ1/_КВ2Скорость/24),tTrunc(K40+_ВКВ1/_КВ2Скорость/24))</f>
        <v>0.60138887166976929</v>
      </c>
      <c r="CB40" s="152">
        <f t="shared" ca="1" si="67"/>
        <v>0</v>
      </c>
      <c r="CC40" s="152">
        <f>ROUNDUP(tInt(_ВКВ1/_КВ2Скорость/24)/10,0)/1440</f>
        <v>8.3333333333333332E-3</v>
      </c>
      <c r="CD40" s="384" t="str">
        <f ca="1">IF(AND(CB40&lt;&gt;0,CA40&lt;&gt;0),tpm(CB40,CA40),"")</f>
        <v/>
      </c>
      <c r="CE40" s="152">
        <f ca="1">IF(CB40&lt;&gt;0,tDiff(CB40,CA40), 0)</f>
        <v>0</v>
      </c>
      <c r="CF40" s="391">
        <f ca="1">IF(CB40&lt;&gt;0,IF(CD40="+",0,IF(CE40&gt;CC40,tInt(CE40-CC40)*опережениеКВ,0)),пропускКВ)</f>
        <v>900</v>
      </c>
    </row>
    <row r="41" spans="1:84" s="367" customFormat="1" hidden="1" x14ac:dyDescent="0.25">
      <c r="A41" s="586" t="str">
        <f>стартоваяВедомость!B42</f>
        <v/>
      </c>
      <c r="B41" s="355">
        <f t="shared" ca="1" si="0"/>
        <v>0</v>
      </c>
      <c r="C41" s="355">
        <f t="shared" ca="1" si="1"/>
        <v>0</v>
      </c>
      <c r="D41" s="355">
        <f t="shared" ca="1" si="2"/>
        <v>0</v>
      </c>
      <c r="E41" s="355">
        <f t="shared" ca="1" si="3"/>
        <v>0</v>
      </c>
      <c r="F41" s="355">
        <f t="shared" ca="1" si="4"/>
        <v>0</v>
      </c>
      <c r="G41" s="356" t="str">
        <f t="shared" si="37"/>
        <v/>
      </c>
      <c r="H41" s="356" t="str">
        <f t="shared" ca="1" si="38"/>
        <v>DNS</v>
      </c>
      <c r="I41" s="356">
        <f t="shared" ca="1" si="39"/>
        <v>7200</v>
      </c>
      <c r="J41" s="356">
        <f t="shared" ca="1" si="40"/>
        <v>0</v>
      </c>
      <c r="K41" s="357">
        <f t="shared" ca="1" si="6"/>
        <v>0.52013888888888882</v>
      </c>
      <c r="L41" s="358">
        <f t="shared" ca="1" si="41"/>
        <v>0</v>
      </c>
      <c r="M41" s="359" t="str">
        <f ca="1">IF(L41&lt;&gt;0,tpm(L41,K41),"")</f>
        <v/>
      </c>
      <c r="N41" s="358">
        <f ca="1">IF(L41&lt;&gt;0,tDiff(L41,K41), 0)</f>
        <v>0</v>
      </c>
      <c r="O41" s="360" t="str">
        <f ca="1">IF(L41&lt;&gt;0,IF(M41="+",MIN(tInt(N41)*опережениеКВ,пределКВ),tInt(N41)*опережениеКВ),"DNS")</f>
        <v>DNS</v>
      </c>
      <c r="P41" s="358">
        <f t="shared" si="8"/>
        <v>8.3333335816860199E-2</v>
      </c>
      <c r="Q41" s="358">
        <f t="shared" ca="1" si="42"/>
        <v>0</v>
      </c>
      <c r="R41" s="357">
        <f t="shared" ca="1" si="43"/>
        <v>0.60347222470574902</v>
      </c>
      <c r="S41" s="358">
        <f t="shared" ca="1" si="44"/>
        <v>0</v>
      </c>
      <c r="T41" s="359" t="str">
        <f ca="1">IF(S41&lt;&gt;0,tpm(S41,R41),"")</f>
        <v/>
      </c>
      <c r="U41" s="358">
        <f ca="1">IF(S41&lt;&gt;0,tDiff(S41,R41), 0)</f>
        <v>0</v>
      </c>
      <c r="V41" s="360">
        <f ca="1">IF(S41&lt;&gt;0,IF(T41="+",MIN(MAX(tInt(U41-Q41),0)*опережениеКВ,пределКВ),tInt(U41)*опережениеКВ),пропускКВ)</f>
        <v>900</v>
      </c>
      <c r="W41" s="358">
        <f t="shared" si="11"/>
        <v>8.3333335816860199E-2</v>
      </c>
      <c r="X41" s="358">
        <f t="shared" ca="1" si="45"/>
        <v>0</v>
      </c>
      <c r="Y41" s="358">
        <f t="shared" ca="1" si="46"/>
        <v>0</v>
      </c>
      <c r="Z41" s="357">
        <f t="shared" ca="1" si="47"/>
        <v>0.68680556052260922</v>
      </c>
      <c r="AA41" s="358">
        <f t="shared" ca="1" si="48"/>
        <v>0</v>
      </c>
      <c r="AB41" s="359" t="str">
        <f ca="1">IF(AA41&lt;&gt;0,tpm(AA41,Z41),"")</f>
        <v/>
      </c>
      <c r="AC41" s="358">
        <f ca="1">IF(AA41&lt;&gt;0,tDiff(AA41,Z41), 0)</f>
        <v>0</v>
      </c>
      <c r="AD41" s="360" t="str">
        <f ca="1">IF(AA41&lt;&gt;0,IF(AB41="+",MIN(MAX(tInt(AC41-Y41),0)*опережениеКВ,пределКВ),IF(tInt(AC41)&lt;=ROUNDUP(tInt(W41)*0.1,0),0,(tInt(AC41)-ROUNDUP(tInt(W41)*0.1,0))*опережениеКВ)),"DNF")</f>
        <v>DNF</v>
      </c>
      <c r="AE41" s="357">
        <f t="shared" ca="1" si="14"/>
        <v>0</v>
      </c>
      <c r="AF41" s="358">
        <f t="shared" ca="1" si="49"/>
        <v>0</v>
      </c>
      <c r="AG41" s="358">
        <f ca="1">IF(OR(AE41=0,AF41=0),0,tDiff(AF41,AE41))</f>
        <v>0</v>
      </c>
      <c r="AH41" s="362">
        <f t="shared" ca="1" si="50"/>
        <v>0</v>
      </c>
      <c r="AI41" s="362">
        <f t="shared" ca="1" si="17"/>
        <v>0</v>
      </c>
      <c r="AJ41" s="354" t="str">
        <f ca="1">IF(AI41&lt;&gt;0,tpm(AI41,AH41,"s"),"")</f>
        <v/>
      </c>
      <c r="AK41" s="362">
        <f ca="1">IF(AI41&lt;&gt;0,tDiff(AI41,AH41,"s"), 0)</f>
        <v>0</v>
      </c>
      <c r="AL41" s="363">
        <f ca="1">IF(AI41=0,пропускСФ,MIN(tInt(AK41,"s")*отклонениеРД,пределРД))</f>
        <v>1800</v>
      </c>
      <c r="AM41" s="364">
        <f t="shared" ca="1" si="51"/>
        <v>0</v>
      </c>
      <c r="AN41" s="362">
        <f t="shared" ca="1" si="18"/>
        <v>0</v>
      </c>
      <c r="AO41" s="359" t="str">
        <f ca="1">IF(AND(AM41&lt;&gt;0,AN41&lt;&gt;0),tpm(AN41,AM41,"s"),"")</f>
        <v/>
      </c>
      <c r="AP41" s="362">
        <f ca="1">IF(AND(AM41&lt;&gt;0,AN41&lt;&gt;0),tDiff(AN41,AM41,"s"), 0)</f>
        <v>0</v>
      </c>
      <c r="AQ41" s="363">
        <f ca="1">IF(AM41=0,0,IF(AN41=0,пропускДС,MIN(tInt(AP41,"s")*отклонениеРД,пределРД)))</f>
        <v>0</v>
      </c>
      <c r="AR41" s="357">
        <f t="shared" ca="1" si="19"/>
        <v>0</v>
      </c>
      <c r="AS41" s="358">
        <f t="shared" ca="1" si="52"/>
        <v>0</v>
      </c>
      <c r="AT41" s="358">
        <f t="shared" ca="1" si="53"/>
        <v>0</v>
      </c>
      <c r="AU41" s="365">
        <f t="shared" ca="1" si="54"/>
        <v>0</v>
      </c>
      <c r="AV41" s="365">
        <f t="shared" ca="1" si="55"/>
        <v>0</v>
      </c>
      <c r="AW41" s="365">
        <f t="shared" ca="1" si="56"/>
        <v>0</v>
      </c>
      <c r="AX41" s="359">
        <f t="shared" ca="1" si="57"/>
        <v>0</v>
      </c>
      <c r="AY41" s="359">
        <f t="shared" ca="1" si="58"/>
        <v>0</v>
      </c>
      <c r="AZ41" s="363">
        <f t="shared" ref="AZ41:AZ68" ca="1" si="68">IF(AU41=0,пропускДС+пропускДС,AU41*секундаСЛ+AV41*конус+AW41*конус+IF(AX41&lt;&gt;0,фальстарт,0)+IF(AY41&lt;&gt;0,база,0))</f>
        <v>1800</v>
      </c>
      <c r="BA41" s="357">
        <f t="shared" ca="1" si="24"/>
        <v>0</v>
      </c>
      <c r="BB41" s="358">
        <f t="shared" ca="1" si="59"/>
        <v>0</v>
      </c>
      <c r="BC41" s="358">
        <f ca="1">IF(OR(BA41=0,BB41=0),0,tDiff(BB41,BA41))</f>
        <v>0</v>
      </c>
      <c r="BD41" s="362">
        <f t="shared" ca="1" si="60"/>
        <v>0</v>
      </c>
      <c r="BE41" s="362">
        <f t="shared" ca="1" si="27"/>
        <v>0</v>
      </c>
      <c r="BF41" s="354" t="str">
        <f ca="1">IF(BE41&lt;&gt;0,tpm(BE41,BD41,"s"),"")</f>
        <v/>
      </c>
      <c r="BG41" s="362">
        <f ca="1">IF(BE41&lt;&gt;0,tDiff(BE41,BD41,"s"), 0)</f>
        <v>0</v>
      </c>
      <c r="BH41" s="363">
        <f ca="1">IF(BE41=0,пропускСФ,MIN(tInt(BG41,"s")*отклонениеРД,пределРД))</f>
        <v>1800</v>
      </c>
      <c r="BI41" s="364">
        <f t="shared" ca="1" si="61"/>
        <v>0</v>
      </c>
      <c r="BJ41" s="362">
        <f t="shared" ca="1" si="28"/>
        <v>0</v>
      </c>
      <c r="BK41" s="359" t="str">
        <f ca="1">IF(BJ41&lt;&gt;0,tpm(BJ41,BI41,"s"),"")</f>
        <v/>
      </c>
      <c r="BL41" s="362">
        <f ca="1">IF(BJ41&lt;&gt;0,tDiff(BJ41,BI41,"s"), 0)</f>
        <v>0</v>
      </c>
      <c r="BM41" s="363">
        <f ca="1">IF(BJ41=0,пропускСФ,MIN(tInt(BL41,"s")*отклонениеРД,пределРД))</f>
        <v>1800</v>
      </c>
      <c r="BN41" s="364">
        <f t="shared" ca="1" si="62"/>
        <v>0</v>
      </c>
      <c r="BO41" s="362">
        <f t="shared" ca="1" si="29"/>
        <v>0</v>
      </c>
      <c r="BP41" s="359" t="str">
        <f ca="1">IF(AND(BO41&lt;&gt;0,BN41&lt;&gt;0),tpm(BO41,BN41,"s"),"")</f>
        <v/>
      </c>
      <c r="BQ41" s="362">
        <f ca="1">IF(AND(BO41&lt;&gt;0,BN41&lt;&gt;0),tDiff(BO41,BN41,"s"), 0)</f>
        <v>0</v>
      </c>
      <c r="BR41" s="363">
        <f ca="1">IF(BN41=0,0,IF(BO41=0,пропускДС,MIN(tInt(BQ41,"s")*отклонениеРД,пределРД)))</f>
        <v>0</v>
      </c>
      <c r="BS41" s="366">
        <f t="shared" ca="1" si="30"/>
        <v>0</v>
      </c>
      <c r="BT41" s="363">
        <f t="shared" ca="1" si="63"/>
        <v>0</v>
      </c>
      <c r="BU41" s="357">
        <f t="shared" ca="1" si="32"/>
        <v>0</v>
      </c>
      <c r="BV41" s="361">
        <f t="shared" ca="1" si="64"/>
        <v>900</v>
      </c>
      <c r="BW41" s="357">
        <f t="shared" ref="BW41:BY68" ca="1" si="69">IFERROR(VLOOKUP($A41,INDIRECT(BW$6),2,FALSE),0)</f>
        <v>0</v>
      </c>
      <c r="BX41" s="361">
        <f t="shared" ca="1" si="65"/>
        <v>900</v>
      </c>
      <c r="BY41" s="357">
        <f t="shared" ca="1" si="69"/>
        <v>0</v>
      </c>
      <c r="BZ41" s="361">
        <f t="shared" ca="1" si="66"/>
        <v>900</v>
      </c>
      <c r="CA41" s="357">
        <f ca="1">IF(L41&lt;&gt;0,tTrunc(L41+_ВКВ1/_КВ2Скорость/24),tTrunc(K41+_ВКВ1/_КВ2Скорость/24))</f>
        <v>0.60138887166976929</v>
      </c>
      <c r="CB41" s="358">
        <f t="shared" ca="1" si="67"/>
        <v>0</v>
      </c>
      <c r="CC41" s="358">
        <f>ROUNDUP(tInt(_ВКВ1/_КВ2Скорость/24)/10,0)/1440</f>
        <v>8.3333333333333332E-3</v>
      </c>
      <c r="CD41" s="359" t="str">
        <f ca="1">IF(AND(CB41&lt;&gt;0,CA41&lt;&gt;0),tpm(CB41,CA41),"")</f>
        <v/>
      </c>
      <c r="CE41" s="358">
        <f ca="1">IF(CB41&lt;&gt;0,tDiff(CB41,CA41), 0)</f>
        <v>0</v>
      </c>
      <c r="CF41" s="361">
        <f ca="1">IF(CB41&lt;&gt;0,IF(CD41="+",0,IF(CE41&gt;CC41,tInt(CE41-CC41)*опережениеКВ,0)),пропускКВ)</f>
        <v>900</v>
      </c>
    </row>
    <row r="42" spans="1:84" s="22" customFormat="1" hidden="1" x14ac:dyDescent="0.25">
      <c r="A42" s="587" t="str">
        <f>стартоваяВедомость!B43</f>
        <v/>
      </c>
      <c r="B42" s="381">
        <f t="shared" ca="1" si="0"/>
        <v>0</v>
      </c>
      <c r="C42" s="381">
        <f t="shared" ca="1" si="1"/>
        <v>0</v>
      </c>
      <c r="D42" s="381">
        <f t="shared" ca="1" si="2"/>
        <v>0</v>
      </c>
      <c r="E42" s="381">
        <f t="shared" ca="1" si="3"/>
        <v>0</v>
      </c>
      <c r="F42" s="381">
        <f t="shared" ca="1" si="4"/>
        <v>0</v>
      </c>
      <c r="G42" s="382" t="str">
        <f t="shared" si="37"/>
        <v/>
      </c>
      <c r="H42" s="382" t="str">
        <f t="shared" ca="1" si="38"/>
        <v>DNS</v>
      </c>
      <c r="I42" s="382">
        <f t="shared" ca="1" si="39"/>
        <v>7200</v>
      </c>
      <c r="J42" s="382">
        <f t="shared" ca="1" si="40"/>
        <v>0</v>
      </c>
      <c r="K42" s="383">
        <f t="shared" ca="1" si="6"/>
        <v>0.52013888888888882</v>
      </c>
      <c r="L42" s="152">
        <f t="shared" ca="1" si="41"/>
        <v>0</v>
      </c>
      <c r="M42" s="384" t="str">
        <f ca="1">IF(L42&lt;&gt;0,tpm(L42,K42),"")</f>
        <v/>
      </c>
      <c r="N42" s="152">
        <f ca="1">IF(L42&lt;&gt;0,tDiff(L42,K42), 0)</f>
        <v>0</v>
      </c>
      <c r="O42" s="385" t="str">
        <f ca="1">IF(L42&lt;&gt;0,IF(M42="+",MIN(tInt(N42)*опережениеКВ,пределКВ),tInt(N42)*опережениеКВ),"DNS")</f>
        <v>DNS</v>
      </c>
      <c r="P42" s="152">
        <f t="shared" si="8"/>
        <v>8.3333335816860199E-2</v>
      </c>
      <c r="Q42" s="152">
        <f t="shared" ca="1" si="42"/>
        <v>0</v>
      </c>
      <c r="R42" s="383">
        <f t="shared" ca="1" si="43"/>
        <v>0.60347222470574902</v>
      </c>
      <c r="S42" s="152">
        <f t="shared" ca="1" si="44"/>
        <v>0</v>
      </c>
      <c r="T42" s="384" t="str">
        <f ca="1">IF(S42&lt;&gt;0,tpm(S42,R42),"")</f>
        <v/>
      </c>
      <c r="U42" s="152">
        <f ca="1">IF(S42&lt;&gt;0,tDiff(S42,R42), 0)</f>
        <v>0</v>
      </c>
      <c r="V42" s="385">
        <f ca="1">IF(S42&lt;&gt;0,IF(T42="+",MIN(MAX(tInt(U42-Q42),0)*опережениеКВ,пределКВ),tInt(U42)*опережениеКВ),пропускКВ)</f>
        <v>900</v>
      </c>
      <c r="W42" s="152">
        <f t="shared" si="11"/>
        <v>8.3333335816860199E-2</v>
      </c>
      <c r="X42" s="152">
        <f t="shared" ca="1" si="45"/>
        <v>0</v>
      </c>
      <c r="Y42" s="152">
        <f t="shared" ca="1" si="46"/>
        <v>0</v>
      </c>
      <c r="Z42" s="383">
        <f t="shared" ca="1" si="47"/>
        <v>0.68680556052260922</v>
      </c>
      <c r="AA42" s="152">
        <f t="shared" ca="1" si="48"/>
        <v>0</v>
      </c>
      <c r="AB42" s="384" t="str">
        <f ca="1">IF(AA42&lt;&gt;0,tpm(AA42,Z42),"")</f>
        <v/>
      </c>
      <c r="AC42" s="152">
        <f ca="1">IF(AA42&lt;&gt;0,tDiff(AA42,Z42), 0)</f>
        <v>0</v>
      </c>
      <c r="AD42" s="385" t="str">
        <f ca="1">IF(AA42&lt;&gt;0,IF(AB42="+",MIN(MAX(tInt(AC42-Y42),0)*опережениеКВ,пределКВ),IF(tInt(AC42)&lt;=ROUNDUP(tInt(W42)*0.1,0),0,(tInt(AC42)-ROUNDUP(tInt(W42)*0.1,0))*опережениеКВ)),"DNF")</f>
        <v>DNF</v>
      </c>
      <c r="AE42" s="383">
        <f t="shared" ca="1" si="14"/>
        <v>0</v>
      </c>
      <c r="AF42" s="152">
        <f t="shared" ca="1" si="49"/>
        <v>0</v>
      </c>
      <c r="AG42" s="152">
        <f ca="1">IF(OR(AE42=0,AF42=0),0,tDiff(AF42,AE42))</f>
        <v>0</v>
      </c>
      <c r="AH42" s="386">
        <f t="shared" ca="1" si="50"/>
        <v>0</v>
      </c>
      <c r="AI42" s="386">
        <f t="shared" ca="1" si="17"/>
        <v>0</v>
      </c>
      <c r="AJ42" s="380" t="str">
        <f ca="1">IF(AI42&lt;&gt;0,tpm(AI42,AH42,"s"),"")</f>
        <v/>
      </c>
      <c r="AK42" s="386">
        <f ca="1">IF(AI42&lt;&gt;0,tDiff(AI42,AH42,"s"), 0)</f>
        <v>0</v>
      </c>
      <c r="AL42" s="387">
        <f ca="1">IF(AI42=0,пропускСФ,MIN(tInt(AK42,"s")*отклонениеРД,пределРД))</f>
        <v>1800</v>
      </c>
      <c r="AM42" s="388">
        <f t="shared" ca="1" si="51"/>
        <v>0</v>
      </c>
      <c r="AN42" s="386">
        <f t="shared" ca="1" si="18"/>
        <v>0</v>
      </c>
      <c r="AO42" s="384" t="str">
        <f ca="1">IF(AND(AM42&lt;&gt;0,AN42&lt;&gt;0),tpm(AN42,AM42,"s"),"")</f>
        <v/>
      </c>
      <c r="AP42" s="386">
        <f ca="1">IF(AND(AM42&lt;&gt;0,AN42&lt;&gt;0),tDiff(AN42,AM42,"s"), 0)</f>
        <v>0</v>
      </c>
      <c r="AQ42" s="387">
        <f ca="1">IF(AM42=0,0,IF(AN42=0,пропускДС,MIN(tInt(AP42,"s")*отклонениеРД,пределРД)))</f>
        <v>0</v>
      </c>
      <c r="AR42" s="383">
        <f t="shared" ca="1" si="19"/>
        <v>0</v>
      </c>
      <c r="AS42" s="152">
        <f t="shared" ca="1" si="52"/>
        <v>0</v>
      </c>
      <c r="AT42" s="152">
        <f t="shared" ca="1" si="53"/>
        <v>0</v>
      </c>
      <c r="AU42" s="389">
        <f t="shared" ca="1" si="54"/>
        <v>0</v>
      </c>
      <c r="AV42" s="389">
        <f t="shared" ca="1" si="55"/>
        <v>0</v>
      </c>
      <c r="AW42" s="389">
        <f t="shared" ca="1" si="56"/>
        <v>0</v>
      </c>
      <c r="AX42" s="384">
        <f t="shared" ca="1" si="57"/>
        <v>0</v>
      </c>
      <c r="AY42" s="384">
        <f t="shared" ca="1" si="58"/>
        <v>0</v>
      </c>
      <c r="AZ42" s="387">
        <f t="shared" ca="1" si="68"/>
        <v>1800</v>
      </c>
      <c r="BA42" s="383">
        <f t="shared" ca="1" si="24"/>
        <v>0</v>
      </c>
      <c r="BB42" s="152">
        <f t="shared" ca="1" si="59"/>
        <v>0</v>
      </c>
      <c r="BC42" s="152">
        <f ca="1">IF(OR(BA42=0,BB42=0),0,tDiff(BB42,BA42))</f>
        <v>0</v>
      </c>
      <c r="BD42" s="386">
        <f t="shared" ca="1" si="60"/>
        <v>0</v>
      </c>
      <c r="BE42" s="386">
        <f t="shared" ca="1" si="27"/>
        <v>0</v>
      </c>
      <c r="BF42" s="380" t="str">
        <f ca="1">IF(BE42&lt;&gt;0,tpm(BE42,BD42,"s"),"")</f>
        <v/>
      </c>
      <c r="BG42" s="386">
        <f ca="1">IF(BE42&lt;&gt;0,tDiff(BE42,BD42,"s"), 0)</f>
        <v>0</v>
      </c>
      <c r="BH42" s="387">
        <f ca="1">IF(BE42=0,пропускСФ,MIN(tInt(BG42,"s")*отклонениеРД,пределРД))</f>
        <v>1800</v>
      </c>
      <c r="BI42" s="388">
        <f t="shared" ca="1" si="61"/>
        <v>0</v>
      </c>
      <c r="BJ42" s="386">
        <f t="shared" ca="1" si="28"/>
        <v>0</v>
      </c>
      <c r="BK42" s="384" t="str">
        <f ca="1">IF(BJ42&lt;&gt;0,tpm(BJ42,BI42,"s"),"")</f>
        <v/>
      </c>
      <c r="BL42" s="386">
        <f ca="1">IF(BJ42&lt;&gt;0,tDiff(BJ42,BI42,"s"), 0)</f>
        <v>0</v>
      </c>
      <c r="BM42" s="387">
        <f ca="1">IF(BJ42=0,пропускСФ,MIN(tInt(BL42,"s")*отклонениеРД,пределРД))</f>
        <v>1800</v>
      </c>
      <c r="BN42" s="388">
        <f t="shared" ca="1" si="62"/>
        <v>0</v>
      </c>
      <c r="BO42" s="386">
        <f t="shared" ca="1" si="29"/>
        <v>0</v>
      </c>
      <c r="BP42" s="384" t="str">
        <f ca="1">IF(AND(BO42&lt;&gt;0,BN42&lt;&gt;0),tpm(BO42,BN42,"s"),"")</f>
        <v/>
      </c>
      <c r="BQ42" s="386">
        <f ca="1">IF(AND(BO42&lt;&gt;0,BN42&lt;&gt;0),tDiff(BO42,BN42,"s"), 0)</f>
        <v>0</v>
      </c>
      <c r="BR42" s="387">
        <f ca="1">IF(BN42=0,0,IF(BO42=0,пропускДС,MIN(tInt(BQ42,"s")*отклонениеРД,пределРД)))</f>
        <v>0</v>
      </c>
      <c r="BS42" s="390">
        <f t="shared" ca="1" si="30"/>
        <v>0</v>
      </c>
      <c r="BT42" s="387">
        <f t="shared" ca="1" si="63"/>
        <v>0</v>
      </c>
      <c r="BU42" s="383">
        <f t="shared" ca="1" si="32"/>
        <v>0</v>
      </c>
      <c r="BV42" s="391">
        <f t="shared" ca="1" si="64"/>
        <v>900</v>
      </c>
      <c r="BW42" s="383">
        <f t="shared" ca="1" si="69"/>
        <v>0</v>
      </c>
      <c r="BX42" s="391">
        <f t="shared" ca="1" si="65"/>
        <v>900</v>
      </c>
      <c r="BY42" s="383">
        <f t="shared" ca="1" si="69"/>
        <v>0</v>
      </c>
      <c r="BZ42" s="391">
        <f t="shared" ca="1" si="66"/>
        <v>900</v>
      </c>
      <c r="CA42" s="383">
        <f ca="1">IF(L42&lt;&gt;0,tTrunc(L42+_ВКВ1/_КВ2Скорость/24),tTrunc(K42+_ВКВ1/_КВ2Скорость/24))</f>
        <v>0.60138887166976929</v>
      </c>
      <c r="CB42" s="152">
        <f t="shared" ca="1" si="67"/>
        <v>0</v>
      </c>
      <c r="CC42" s="152">
        <f>ROUNDUP(tInt(_ВКВ1/_КВ2Скорость/24)/10,0)/1440</f>
        <v>8.3333333333333332E-3</v>
      </c>
      <c r="CD42" s="384" t="str">
        <f ca="1">IF(AND(CB42&lt;&gt;0,CA42&lt;&gt;0),tpm(CB42,CA42),"")</f>
        <v/>
      </c>
      <c r="CE42" s="152">
        <f ca="1">IF(CB42&lt;&gt;0,tDiff(CB42,CA42), 0)</f>
        <v>0</v>
      </c>
      <c r="CF42" s="391">
        <f ca="1">IF(CB42&lt;&gt;0,IF(CD42="+",0,IF(CE42&gt;CC42,tInt(CE42-CC42)*опережениеКВ,0)),пропускКВ)</f>
        <v>900</v>
      </c>
    </row>
    <row r="43" spans="1:84" s="367" customFormat="1" hidden="1" x14ac:dyDescent="0.25">
      <c r="A43" s="586" t="str">
        <f>стартоваяВедомость!B44</f>
        <v/>
      </c>
      <c r="B43" s="355">
        <f t="shared" ca="1" si="0"/>
        <v>0</v>
      </c>
      <c r="C43" s="355">
        <f t="shared" ca="1" si="1"/>
        <v>0</v>
      </c>
      <c r="D43" s="355">
        <f t="shared" ca="1" si="2"/>
        <v>0</v>
      </c>
      <c r="E43" s="355">
        <f t="shared" ca="1" si="3"/>
        <v>0</v>
      </c>
      <c r="F43" s="355">
        <f t="shared" ca="1" si="4"/>
        <v>0</v>
      </c>
      <c r="G43" s="356" t="str">
        <f t="shared" si="37"/>
        <v/>
      </c>
      <c r="H43" s="356" t="str">
        <f t="shared" ca="1" si="38"/>
        <v>DNS</v>
      </c>
      <c r="I43" s="356">
        <f t="shared" ca="1" si="39"/>
        <v>7200</v>
      </c>
      <c r="J43" s="356">
        <f t="shared" ca="1" si="40"/>
        <v>0</v>
      </c>
      <c r="K43" s="357">
        <f t="shared" ca="1" si="6"/>
        <v>0.52013888888888882</v>
      </c>
      <c r="L43" s="358">
        <f t="shared" ca="1" si="41"/>
        <v>0</v>
      </c>
      <c r="M43" s="359" t="str">
        <f ca="1">IF(L43&lt;&gt;0,tpm(L43,K43),"")</f>
        <v/>
      </c>
      <c r="N43" s="358">
        <f ca="1">IF(L43&lt;&gt;0,tDiff(L43,K43), 0)</f>
        <v>0</v>
      </c>
      <c r="O43" s="360" t="str">
        <f ca="1">IF(L43&lt;&gt;0,IF(M43="+",MIN(tInt(N43)*опережениеКВ,пределКВ),tInt(N43)*опережениеКВ),"DNS")</f>
        <v>DNS</v>
      </c>
      <c r="P43" s="358">
        <f t="shared" si="8"/>
        <v>8.3333335816860199E-2</v>
      </c>
      <c r="Q43" s="358">
        <f t="shared" ca="1" si="42"/>
        <v>0</v>
      </c>
      <c r="R43" s="357">
        <f t="shared" ca="1" si="43"/>
        <v>0.60347222470574902</v>
      </c>
      <c r="S43" s="358">
        <f t="shared" ca="1" si="44"/>
        <v>0</v>
      </c>
      <c r="T43" s="359" t="str">
        <f ca="1">IF(S43&lt;&gt;0,tpm(S43,R43),"")</f>
        <v/>
      </c>
      <c r="U43" s="358">
        <f ca="1">IF(S43&lt;&gt;0,tDiff(S43,R43), 0)</f>
        <v>0</v>
      </c>
      <c r="V43" s="360">
        <f ca="1">IF(S43&lt;&gt;0,IF(T43="+",MIN(MAX(tInt(U43-Q43),0)*опережениеКВ,пределКВ),tInt(U43)*опережениеКВ),пропускКВ)</f>
        <v>900</v>
      </c>
      <c r="W43" s="358">
        <f t="shared" si="11"/>
        <v>8.3333335816860199E-2</v>
      </c>
      <c r="X43" s="358">
        <f t="shared" ca="1" si="45"/>
        <v>0</v>
      </c>
      <c r="Y43" s="358">
        <f t="shared" ca="1" si="46"/>
        <v>0</v>
      </c>
      <c r="Z43" s="357">
        <f t="shared" ca="1" si="47"/>
        <v>0.68680556052260922</v>
      </c>
      <c r="AA43" s="358">
        <f t="shared" ca="1" si="48"/>
        <v>0</v>
      </c>
      <c r="AB43" s="359" t="str">
        <f ca="1">IF(AA43&lt;&gt;0,tpm(AA43,Z43),"")</f>
        <v/>
      </c>
      <c r="AC43" s="358">
        <f ca="1">IF(AA43&lt;&gt;0,tDiff(AA43,Z43), 0)</f>
        <v>0</v>
      </c>
      <c r="AD43" s="360" t="str">
        <f ca="1">IF(AA43&lt;&gt;0,IF(AB43="+",MIN(MAX(tInt(AC43-Y43),0)*опережениеКВ,пределКВ),IF(tInt(AC43)&lt;=ROUNDUP(tInt(W43)*0.1,0),0,(tInt(AC43)-ROUNDUP(tInt(W43)*0.1,0))*опережениеКВ)),"DNF")</f>
        <v>DNF</v>
      </c>
      <c r="AE43" s="357">
        <f t="shared" ca="1" si="14"/>
        <v>0</v>
      </c>
      <c r="AF43" s="358">
        <f t="shared" ca="1" si="49"/>
        <v>0</v>
      </c>
      <c r="AG43" s="358">
        <f ca="1">IF(OR(AE43=0,AF43=0),0,tDiff(AF43,AE43))</f>
        <v>0</v>
      </c>
      <c r="AH43" s="362">
        <f t="shared" ca="1" si="50"/>
        <v>0</v>
      </c>
      <c r="AI43" s="362">
        <f t="shared" ca="1" si="17"/>
        <v>0</v>
      </c>
      <c r="AJ43" s="354" t="str">
        <f ca="1">IF(AI43&lt;&gt;0,tpm(AI43,AH43,"s"),"")</f>
        <v/>
      </c>
      <c r="AK43" s="362">
        <f ca="1">IF(AI43&lt;&gt;0,tDiff(AI43,AH43,"s"), 0)</f>
        <v>0</v>
      </c>
      <c r="AL43" s="363">
        <f ca="1">IF(AI43=0,пропускСФ,MIN(tInt(AK43,"s")*отклонениеРД,пределРД))</f>
        <v>1800</v>
      </c>
      <c r="AM43" s="364">
        <f t="shared" ca="1" si="51"/>
        <v>0</v>
      </c>
      <c r="AN43" s="362">
        <f t="shared" ca="1" si="18"/>
        <v>0</v>
      </c>
      <c r="AO43" s="359" t="str">
        <f ca="1">IF(AND(AM43&lt;&gt;0,AN43&lt;&gt;0),tpm(AN43,AM43,"s"),"")</f>
        <v/>
      </c>
      <c r="AP43" s="362">
        <f ca="1">IF(AND(AM43&lt;&gt;0,AN43&lt;&gt;0),tDiff(AN43,AM43,"s"), 0)</f>
        <v>0</v>
      </c>
      <c r="AQ43" s="363">
        <f ca="1">IF(AM43=0,0,IF(AN43=0,пропускДС,MIN(tInt(AP43,"s")*отклонениеРД,пределРД)))</f>
        <v>0</v>
      </c>
      <c r="AR43" s="357">
        <f t="shared" ca="1" si="19"/>
        <v>0</v>
      </c>
      <c r="AS43" s="358">
        <f t="shared" ca="1" si="52"/>
        <v>0</v>
      </c>
      <c r="AT43" s="358">
        <f t="shared" ca="1" si="53"/>
        <v>0</v>
      </c>
      <c r="AU43" s="365">
        <f t="shared" ca="1" si="54"/>
        <v>0</v>
      </c>
      <c r="AV43" s="365">
        <f t="shared" ca="1" si="55"/>
        <v>0</v>
      </c>
      <c r="AW43" s="365">
        <f t="shared" ca="1" si="56"/>
        <v>0</v>
      </c>
      <c r="AX43" s="359">
        <f t="shared" ca="1" si="57"/>
        <v>0</v>
      </c>
      <c r="AY43" s="359">
        <f t="shared" ca="1" si="58"/>
        <v>0</v>
      </c>
      <c r="AZ43" s="363">
        <f t="shared" ca="1" si="68"/>
        <v>1800</v>
      </c>
      <c r="BA43" s="357">
        <f t="shared" ca="1" si="24"/>
        <v>0</v>
      </c>
      <c r="BB43" s="358">
        <f t="shared" ca="1" si="59"/>
        <v>0</v>
      </c>
      <c r="BC43" s="358">
        <f ca="1">IF(OR(BA43=0,BB43=0),0,tDiff(BB43,BA43))</f>
        <v>0</v>
      </c>
      <c r="BD43" s="362">
        <f t="shared" ca="1" si="60"/>
        <v>0</v>
      </c>
      <c r="BE43" s="362">
        <f t="shared" ca="1" si="27"/>
        <v>0</v>
      </c>
      <c r="BF43" s="354" t="str">
        <f ca="1">IF(BE43&lt;&gt;0,tpm(BE43,BD43,"s"),"")</f>
        <v/>
      </c>
      <c r="BG43" s="362">
        <f ca="1">IF(BE43&lt;&gt;0,tDiff(BE43,BD43,"s"), 0)</f>
        <v>0</v>
      </c>
      <c r="BH43" s="363">
        <f ca="1">IF(BE43=0,пропускСФ,MIN(tInt(BG43,"s")*отклонениеРД,пределРД))</f>
        <v>1800</v>
      </c>
      <c r="BI43" s="364">
        <f t="shared" ca="1" si="61"/>
        <v>0</v>
      </c>
      <c r="BJ43" s="362">
        <f t="shared" ca="1" si="28"/>
        <v>0</v>
      </c>
      <c r="BK43" s="359" t="str">
        <f ca="1">IF(BJ43&lt;&gt;0,tpm(BJ43,BI43,"s"),"")</f>
        <v/>
      </c>
      <c r="BL43" s="362">
        <f ca="1">IF(BJ43&lt;&gt;0,tDiff(BJ43,BI43,"s"), 0)</f>
        <v>0</v>
      </c>
      <c r="BM43" s="363">
        <f ca="1">IF(BJ43=0,пропускСФ,MIN(tInt(BL43,"s")*отклонениеРД,пределРД))</f>
        <v>1800</v>
      </c>
      <c r="BN43" s="364">
        <f t="shared" ca="1" si="62"/>
        <v>0</v>
      </c>
      <c r="BO43" s="362">
        <f t="shared" ca="1" si="29"/>
        <v>0</v>
      </c>
      <c r="BP43" s="359" t="str">
        <f ca="1">IF(AND(BO43&lt;&gt;0,BN43&lt;&gt;0),tpm(BO43,BN43,"s"),"")</f>
        <v/>
      </c>
      <c r="BQ43" s="362">
        <f ca="1">IF(AND(BO43&lt;&gt;0,BN43&lt;&gt;0),tDiff(BO43,BN43,"s"), 0)</f>
        <v>0</v>
      </c>
      <c r="BR43" s="363">
        <f ca="1">IF(BN43=0,0,IF(BO43=0,пропускДС,MIN(tInt(BQ43,"s")*отклонениеРД,пределРД)))</f>
        <v>0</v>
      </c>
      <c r="BS43" s="366">
        <f t="shared" ca="1" si="30"/>
        <v>0</v>
      </c>
      <c r="BT43" s="363">
        <f t="shared" ca="1" si="63"/>
        <v>0</v>
      </c>
      <c r="BU43" s="357">
        <f t="shared" ca="1" si="32"/>
        <v>0</v>
      </c>
      <c r="BV43" s="361">
        <f t="shared" ca="1" si="64"/>
        <v>900</v>
      </c>
      <c r="BW43" s="357">
        <f t="shared" ca="1" si="69"/>
        <v>0</v>
      </c>
      <c r="BX43" s="361">
        <f t="shared" ca="1" si="65"/>
        <v>900</v>
      </c>
      <c r="BY43" s="357">
        <f t="shared" ca="1" si="69"/>
        <v>0</v>
      </c>
      <c r="BZ43" s="361">
        <f t="shared" ca="1" si="66"/>
        <v>900</v>
      </c>
      <c r="CA43" s="357">
        <f ca="1">IF(L43&lt;&gt;0,tTrunc(L43+_ВКВ1/_КВ2Скорость/24),tTrunc(K43+_ВКВ1/_КВ2Скорость/24))</f>
        <v>0.60138887166976929</v>
      </c>
      <c r="CB43" s="358">
        <f t="shared" ca="1" si="67"/>
        <v>0</v>
      </c>
      <c r="CC43" s="358">
        <f>ROUNDUP(tInt(_ВКВ1/_КВ2Скорость/24)/10,0)/1440</f>
        <v>8.3333333333333332E-3</v>
      </c>
      <c r="CD43" s="359" t="str">
        <f ca="1">IF(AND(CB43&lt;&gt;0,CA43&lt;&gt;0),tpm(CB43,CA43),"")</f>
        <v/>
      </c>
      <c r="CE43" s="358">
        <f ca="1">IF(CB43&lt;&gt;0,tDiff(CB43,CA43), 0)</f>
        <v>0</v>
      </c>
      <c r="CF43" s="361">
        <f ca="1">IF(CB43&lt;&gt;0,IF(CD43="+",0,IF(CE43&gt;CC43,tInt(CE43-CC43)*опережениеКВ,0)),пропускКВ)</f>
        <v>900</v>
      </c>
    </row>
    <row r="44" spans="1:84" s="22" customFormat="1" hidden="1" x14ac:dyDescent="0.25">
      <c r="A44" s="587" t="str">
        <f>стартоваяВедомость!B45</f>
        <v/>
      </c>
      <c r="B44" s="381">
        <f t="shared" ca="1" si="0"/>
        <v>0</v>
      </c>
      <c r="C44" s="381">
        <f t="shared" ca="1" si="1"/>
        <v>0</v>
      </c>
      <c r="D44" s="381">
        <f t="shared" ca="1" si="2"/>
        <v>0</v>
      </c>
      <c r="E44" s="381">
        <f t="shared" ca="1" si="3"/>
        <v>0</v>
      </c>
      <c r="F44" s="381">
        <f t="shared" ca="1" si="4"/>
        <v>0</v>
      </c>
      <c r="G44" s="382" t="str">
        <f t="shared" si="37"/>
        <v/>
      </c>
      <c r="H44" s="382" t="str">
        <f t="shared" ca="1" si="38"/>
        <v>DNS</v>
      </c>
      <c r="I44" s="382">
        <f t="shared" ca="1" si="39"/>
        <v>7200</v>
      </c>
      <c r="J44" s="382">
        <f t="shared" ca="1" si="40"/>
        <v>0</v>
      </c>
      <c r="K44" s="383">
        <f t="shared" ca="1" si="6"/>
        <v>0.52013888888888882</v>
      </c>
      <c r="L44" s="152">
        <f t="shared" ca="1" si="41"/>
        <v>0</v>
      </c>
      <c r="M44" s="384" t="str">
        <f ca="1">IF(L44&lt;&gt;0,tpm(L44,K44),"")</f>
        <v/>
      </c>
      <c r="N44" s="152">
        <f ca="1">IF(L44&lt;&gt;0,tDiff(L44,K44), 0)</f>
        <v>0</v>
      </c>
      <c r="O44" s="385" t="str">
        <f ca="1">IF(L44&lt;&gt;0,IF(M44="+",MIN(tInt(N44)*опережениеКВ,пределКВ),tInt(N44)*опережениеКВ),"DNS")</f>
        <v>DNS</v>
      </c>
      <c r="P44" s="152">
        <f t="shared" si="8"/>
        <v>8.3333335816860199E-2</v>
      </c>
      <c r="Q44" s="152">
        <f t="shared" ca="1" si="42"/>
        <v>0</v>
      </c>
      <c r="R44" s="383">
        <f t="shared" ca="1" si="43"/>
        <v>0.60347222470574902</v>
      </c>
      <c r="S44" s="152">
        <f t="shared" ca="1" si="44"/>
        <v>0</v>
      </c>
      <c r="T44" s="384" t="str">
        <f ca="1">IF(S44&lt;&gt;0,tpm(S44,R44),"")</f>
        <v/>
      </c>
      <c r="U44" s="152">
        <f ca="1">IF(S44&lt;&gt;0,tDiff(S44,R44), 0)</f>
        <v>0</v>
      </c>
      <c r="V44" s="385">
        <f ca="1">IF(S44&lt;&gt;0,IF(T44="+",MIN(MAX(tInt(U44-Q44),0)*опережениеКВ,пределКВ),tInt(U44)*опережениеКВ),пропускКВ)</f>
        <v>900</v>
      </c>
      <c r="W44" s="152">
        <f t="shared" si="11"/>
        <v>8.3333335816860199E-2</v>
      </c>
      <c r="X44" s="152">
        <f t="shared" ca="1" si="45"/>
        <v>0</v>
      </c>
      <c r="Y44" s="152">
        <f t="shared" ca="1" si="46"/>
        <v>0</v>
      </c>
      <c r="Z44" s="383">
        <f t="shared" ca="1" si="47"/>
        <v>0.68680556052260922</v>
      </c>
      <c r="AA44" s="152">
        <f t="shared" ca="1" si="48"/>
        <v>0</v>
      </c>
      <c r="AB44" s="384" t="str">
        <f ca="1">IF(AA44&lt;&gt;0,tpm(AA44,Z44),"")</f>
        <v/>
      </c>
      <c r="AC44" s="152">
        <f ca="1">IF(AA44&lt;&gt;0,tDiff(AA44,Z44), 0)</f>
        <v>0</v>
      </c>
      <c r="AD44" s="385" t="str">
        <f ca="1">IF(AA44&lt;&gt;0,IF(AB44="+",MIN(MAX(tInt(AC44-Y44),0)*опережениеКВ,пределКВ),IF(tInt(AC44)&lt;=ROUNDUP(tInt(W44)*0.1,0),0,(tInt(AC44)-ROUNDUP(tInt(W44)*0.1,0))*опережениеКВ)),"DNF")</f>
        <v>DNF</v>
      </c>
      <c r="AE44" s="383">
        <f t="shared" ca="1" si="14"/>
        <v>0</v>
      </c>
      <c r="AF44" s="152">
        <f t="shared" ca="1" si="49"/>
        <v>0</v>
      </c>
      <c r="AG44" s="152">
        <f ca="1">IF(OR(AE44=0,AF44=0),0,tDiff(AF44,AE44))</f>
        <v>0</v>
      </c>
      <c r="AH44" s="386">
        <f t="shared" ca="1" si="50"/>
        <v>0</v>
      </c>
      <c r="AI44" s="386">
        <f t="shared" ca="1" si="17"/>
        <v>0</v>
      </c>
      <c r="AJ44" s="380" t="str">
        <f ca="1">IF(AI44&lt;&gt;0,tpm(AI44,AH44,"s"),"")</f>
        <v/>
      </c>
      <c r="AK44" s="386">
        <f ca="1">IF(AI44&lt;&gt;0,tDiff(AI44,AH44,"s"), 0)</f>
        <v>0</v>
      </c>
      <c r="AL44" s="387">
        <f ca="1">IF(AI44=0,пропускСФ,MIN(tInt(AK44,"s")*отклонениеРД,пределРД))</f>
        <v>1800</v>
      </c>
      <c r="AM44" s="388">
        <f t="shared" ca="1" si="51"/>
        <v>0</v>
      </c>
      <c r="AN44" s="386">
        <f t="shared" ca="1" si="18"/>
        <v>0</v>
      </c>
      <c r="AO44" s="384" t="str">
        <f ca="1">IF(AND(AM44&lt;&gt;0,AN44&lt;&gt;0),tpm(AN44,AM44,"s"),"")</f>
        <v/>
      </c>
      <c r="AP44" s="386">
        <f ca="1">IF(AND(AM44&lt;&gt;0,AN44&lt;&gt;0),tDiff(AN44,AM44,"s"), 0)</f>
        <v>0</v>
      </c>
      <c r="AQ44" s="387">
        <f ca="1">IF(AM44=0,0,IF(AN44=0,пропускДС,MIN(tInt(AP44,"s")*отклонениеРД,пределРД)))</f>
        <v>0</v>
      </c>
      <c r="AR44" s="383">
        <f t="shared" ca="1" si="19"/>
        <v>0</v>
      </c>
      <c r="AS44" s="152">
        <f t="shared" ca="1" si="52"/>
        <v>0</v>
      </c>
      <c r="AT44" s="152">
        <f t="shared" ca="1" si="53"/>
        <v>0</v>
      </c>
      <c r="AU44" s="389">
        <f t="shared" ca="1" si="54"/>
        <v>0</v>
      </c>
      <c r="AV44" s="389">
        <f t="shared" ca="1" si="55"/>
        <v>0</v>
      </c>
      <c r="AW44" s="389">
        <f t="shared" ca="1" si="56"/>
        <v>0</v>
      </c>
      <c r="AX44" s="384">
        <f t="shared" ca="1" si="57"/>
        <v>0</v>
      </c>
      <c r="AY44" s="384">
        <f t="shared" ca="1" si="58"/>
        <v>0</v>
      </c>
      <c r="AZ44" s="387">
        <f t="shared" ca="1" si="68"/>
        <v>1800</v>
      </c>
      <c r="BA44" s="383">
        <f t="shared" ca="1" si="24"/>
        <v>0</v>
      </c>
      <c r="BB44" s="152">
        <f t="shared" ca="1" si="59"/>
        <v>0</v>
      </c>
      <c r="BC44" s="152">
        <f ca="1">IF(OR(BA44=0,BB44=0),0,tDiff(BB44,BA44))</f>
        <v>0</v>
      </c>
      <c r="BD44" s="386">
        <f t="shared" ca="1" si="60"/>
        <v>0</v>
      </c>
      <c r="BE44" s="386">
        <f t="shared" ca="1" si="27"/>
        <v>0</v>
      </c>
      <c r="BF44" s="380" t="str">
        <f ca="1">IF(BE44&lt;&gt;0,tpm(BE44,BD44,"s"),"")</f>
        <v/>
      </c>
      <c r="BG44" s="386">
        <f ca="1">IF(BE44&lt;&gt;0,tDiff(BE44,BD44,"s"), 0)</f>
        <v>0</v>
      </c>
      <c r="BH44" s="387">
        <f ca="1">IF(BE44=0,пропускСФ,MIN(tInt(BG44,"s")*отклонениеРД,пределРД))</f>
        <v>1800</v>
      </c>
      <c r="BI44" s="388">
        <f t="shared" ca="1" si="61"/>
        <v>0</v>
      </c>
      <c r="BJ44" s="386">
        <f t="shared" ca="1" si="28"/>
        <v>0</v>
      </c>
      <c r="BK44" s="384" t="str">
        <f ca="1">IF(BJ44&lt;&gt;0,tpm(BJ44,BI44,"s"),"")</f>
        <v/>
      </c>
      <c r="BL44" s="386">
        <f ca="1">IF(BJ44&lt;&gt;0,tDiff(BJ44,BI44,"s"), 0)</f>
        <v>0</v>
      </c>
      <c r="BM44" s="387">
        <f ca="1">IF(BJ44=0,пропускСФ,MIN(tInt(BL44,"s")*отклонениеРД,пределРД))</f>
        <v>1800</v>
      </c>
      <c r="BN44" s="388">
        <f t="shared" ca="1" si="62"/>
        <v>0</v>
      </c>
      <c r="BO44" s="386">
        <f t="shared" ca="1" si="29"/>
        <v>0</v>
      </c>
      <c r="BP44" s="384" t="str">
        <f ca="1">IF(AND(BO44&lt;&gt;0,BN44&lt;&gt;0),tpm(BO44,BN44,"s"),"")</f>
        <v/>
      </c>
      <c r="BQ44" s="386">
        <f ca="1">IF(AND(BO44&lt;&gt;0,BN44&lt;&gt;0),tDiff(BO44,BN44,"s"), 0)</f>
        <v>0</v>
      </c>
      <c r="BR44" s="387">
        <f ca="1">IF(BN44=0,0,IF(BO44=0,пропускДС,MIN(tInt(BQ44,"s")*отклонениеРД,пределРД)))</f>
        <v>0</v>
      </c>
      <c r="BS44" s="390">
        <f t="shared" ca="1" si="30"/>
        <v>0</v>
      </c>
      <c r="BT44" s="387">
        <f t="shared" ca="1" si="63"/>
        <v>0</v>
      </c>
      <c r="BU44" s="383">
        <f t="shared" ca="1" si="32"/>
        <v>0</v>
      </c>
      <c r="BV44" s="391">
        <f t="shared" ca="1" si="64"/>
        <v>900</v>
      </c>
      <c r="BW44" s="383">
        <f t="shared" ca="1" si="69"/>
        <v>0</v>
      </c>
      <c r="BX44" s="391">
        <f t="shared" ca="1" si="65"/>
        <v>900</v>
      </c>
      <c r="BY44" s="383">
        <f t="shared" ca="1" si="69"/>
        <v>0</v>
      </c>
      <c r="BZ44" s="391">
        <f t="shared" ca="1" si="66"/>
        <v>900</v>
      </c>
      <c r="CA44" s="383">
        <f ca="1">IF(L44&lt;&gt;0,tTrunc(L44+_ВКВ1/_КВ2Скорость/24),tTrunc(K44+_ВКВ1/_КВ2Скорость/24))</f>
        <v>0.60138887166976929</v>
      </c>
      <c r="CB44" s="152">
        <f t="shared" ca="1" si="67"/>
        <v>0</v>
      </c>
      <c r="CC44" s="152">
        <f>ROUNDUP(tInt(_ВКВ1/_КВ2Скорость/24)/10,0)/1440</f>
        <v>8.3333333333333332E-3</v>
      </c>
      <c r="CD44" s="384" t="str">
        <f ca="1">IF(AND(CB44&lt;&gt;0,CA44&lt;&gt;0),tpm(CB44,CA44),"")</f>
        <v/>
      </c>
      <c r="CE44" s="152">
        <f ca="1">IF(CB44&lt;&gt;0,tDiff(CB44,CA44), 0)</f>
        <v>0</v>
      </c>
      <c r="CF44" s="391">
        <f ca="1">IF(CB44&lt;&gt;0,IF(CD44="+",0,IF(CE44&gt;CC44,tInt(CE44-CC44)*опережениеКВ,0)),пропускКВ)</f>
        <v>900</v>
      </c>
    </row>
    <row r="45" spans="1:84" s="367" customFormat="1" hidden="1" x14ac:dyDescent="0.25">
      <c r="A45" s="586" t="str">
        <f>стартоваяВедомость!B46</f>
        <v/>
      </c>
      <c r="B45" s="355">
        <f t="shared" ca="1" si="0"/>
        <v>0</v>
      </c>
      <c r="C45" s="355">
        <f t="shared" ca="1" si="1"/>
        <v>0</v>
      </c>
      <c r="D45" s="355">
        <f t="shared" ca="1" si="2"/>
        <v>0</v>
      </c>
      <c r="E45" s="355">
        <f t="shared" ca="1" si="3"/>
        <v>0</v>
      </c>
      <c r="F45" s="355">
        <f t="shared" ca="1" si="4"/>
        <v>0</v>
      </c>
      <c r="G45" s="356" t="str">
        <f t="shared" si="37"/>
        <v/>
      </c>
      <c r="H45" s="356" t="str">
        <f t="shared" ca="1" si="38"/>
        <v>DNS</v>
      </c>
      <c r="I45" s="356">
        <f t="shared" ca="1" si="39"/>
        <v>7200</v>
      </c>
      <c r="J45" s="356">
        <f t="shared" ca="1" si="40"/>
        <v>0</v>
      </c>
      <c r="K45" s="357">
        <f t="shared" ca="1" si="6"/>
        <v>0.52013888888888882</v>
      </c>
      <c r="L45" s="358">
        <f t="shared" ca="1" si="41"/>
        <v>0</v>
      </c>
      <c r="M45" s="359" t="str">
        <f ca="1">IF(L45&lt;&gt;0,tpm(L45,K45),"")</f>
        <v/>
      </c>
      <c r="N45" s="358">
        <f ca="1">IF(L45&lt;&gt;0,tDiff(L45,K45), 0)</f>
        <v>0</v>
      </c>
      <c r="O45" s="360" t="str">
        <f ca="1">IF(L45&lt;&gt;0,IF(M45="+",MIN(tInt(N45)*опережениеКВ,пределКВ),tInt(N45)*опережениеКВ),"DNS")</f>
        <v>DNS</v>
      </c>
      <c r="P45" s="358">
        <f t="shared" si="8"/>
        <v>8.3333335816860199E-2</v>
      </c>
      <c r="Q45" s="358">
        <f t="shared" ca="1" si="42"/>
        <v>0</v>
      </c>
      <c r="R45" s="357">
        <f t="shared" ca="1" si="43"/>
        <v>0.60347222470574902</v>
      </c>
      <c r="S45" s="358">
        <f t="shared" ca="1" si="44"/>
        <v>0</v>
      </c>
      <c r="T45" s="359" t="str">
        <f ca="1">IF(S45&lt;&gt;0,tpm(S45,R45),"")</f>
        <v/>
      </c>
      <c r="U45" s="358">
        <f ca="1">IF(S45&lt;&gt;0,tDiff(S45,R45), 0)</f>
        <v>0</v>
      </c>
      <c r="V45" s="360">
        <f ca="1">IF(S45&lt;&gt;0,IF(T45="+",MIN(MAX(tInt(U45-Q45),0)*опережениеКВ,пределКВ),tInt(U45)*опережениеКВ),пропускКВ)</f>
        <v>900</v>
      </c>
      <c r="W45" s="358">
        <f t="shared" si="11"/>
        <v>8.3333335816860199E-2</v>
      </c>
      <c r="X45" s="358">
        <f t="shared" ca="1" si="45"/>
        <v>0</v>
      </c>
      <c r="Y45" s="358">
        <f t="shared" ca="1" si="46"/>
        <v>0</v>
      </c>
      <c r="Z45" s="357">
        <f t="shared" ca="1" si="47"/>
        <v>0.68680556052260922</v>
      </c>
      <c r="AA45" s="358">
        <f t="shared" ca="1" si="48"/>
        <v>0</v>
      </c>
      <c r="AB45" s="359" t="str">
        <f ca="1">IF(AA45&lt;&gt;0,tpm(AA45,Z45),"")</f>
        <v/>
      </c>
      <c r="AC45" s="358">
        <f ca="1">IF(AA45&lt;&gt;0,tDiff(AA45,Z45), 0)</f>
        <v>0</v>
      </c>
      <c r="AD45" s="360" t="str">
        <f ca="1">IF(AA45&lt;&gt;0,IF(AB45="+",MIN(MAX(tInt(AC45-Y45),0)*опережениеКВ,пределКВ),IF(tInt(AC45)&lt;=ROUNDUP(tInt(W45)*0.1,0),0,(tInt(AC45)-ROUNDUP(tInt(W45)*0.1,0))*опережениеКВ)),"DNF")</f>
        <v>DNF</v>
      </c>
      <c r="AE45" s="357">
        <f t="shared" ca="1" si="14"/>
        <v>0</v>
      </c>
      <c r="AF45" s="358">
        <f t="shared" ca="1" si="49"/>
        <v>0</v>
      </c>
      <c r="AG45" s="358">
        <f ca="1">IF(OR(AE45=0,AF45=0),0,tDiff(AF45,AE45))</f>
        <v>0</v>
      </c>
      <c r="AH45" s="362">
        <f t="shared" ca="1" si="50"/>
        <v>0</v>
      </c>
      <c r="AI45" s="362">
        <f t="shared" ca="1" si="17"/>
        <v>0</v>
      </c>
      <c r="AJ45" s="354" t="str">
        <f ca="1">IF(AI45&lt;&gt;0,tpm(AI45,AH45,"s"),"")</f>
        <v/>
      </c>
      <c r="AK45" s="362">
        <f ca="1">IF(AI45&lt;&gt;0,tDiff(AI45,AH45,"s"), 0)</f>
        <v>0</v>
      </c>
      <c r="AL45" s="363">
        <f ca="1">IF(AI45=0,пропускСФ,MIN(tInt(AK45,"s")*отклонениеРД,пределРД))</f>
        <v>1800</v>
      </c>
      <c r="AM45" s="364">
        <f t="shared" ca="1" si="51"/>
        <v>0</v>
      </c>
      <c r="AN45" s="362">
        <f t="shared" ca="1" si="18"/>
        <v>0</v>
      </c>
      <c r="AO45" s="359" t="str">
        <f ca="1">IF(AND(AM45&lt;&gt;0,AN45&lt;&gt;0),tpm(AN45,AM45,"s"),"")</f>
        <v/>
      </c>
      <c r="AP45" s="362">
        <f ca="1">IF(AND(AM45&lt;&gt;0,AN45&lt;&gt;0),tDiff(AN45,AM45,"s"), 0)</f>
        <v>0</v>
      </c>
      <c r="AQ45" s="363">
        <f ca="1">IF(AM45=0,0,IF(AN45=0,пропускДС,MIN(tInt(AP45,"s")*отклонениеРД,пределРД)))</f>
        <v>0</v>
      </c>
      <c r="AR45" s="357">
        <f t="shared" ca="1" si="19"/>
        <v>0</v>
      </c>
      <c r="AS45" s="358">
        <f t="shared" ca="1" si="52"/>
        <v>0</v>
      </c>
      <c r="AT45" s="358">
        <f t="shared" ca="1" si="53"/>
        <v>0</v>
      </c>
      <c r="AU45" s="365">
        <f t="shared" ca="1" si="54"/>
        <v>0</v>
      </c>
      <c r="AV45" s="365">
        <f t="shared" ca="1" si="55"/>
        <v>0</v>
      </c>
      <c r="AW45" s="365">
        <f t="shared" ca="1" si="56"/>
        <v>0</v>
      </c>
      <c r="AX45" s="359">
        <f t="shared" ca="1" si="57"/>
        <v>0</v>
      </c>
      <c r="AY45" s="359">
        <f t="shared" ca="1" si="58"/>
        <v>0</v>
      </c>
      <c r="AZ45" s="363">
        <f t="shared" ca="1" si="68"/>
        <v>1800</v>
      </c>
      <c r="BA45" s="357">
        <f t="shared" ca="1" si="24"/>
        <v>0</v>
      </c>
      <c r="BB45" s="358">
        <f t="shared" ca="1" si="59"/>
        <v>0</v>
      </c>
      <c r="BC45" s="358">
        <f ca="1">IF(OR(BA45=0,BB45=0),0,tDiff(BB45,BA45))</f>
        <v>0</v>
      </c>
      <c r="BD45" s="362">
        <f t="shared" ca="1" si="60"/>
        <v>0</v>
      </c>
      <c r="BE45" s="362">
        <f t="shared" ca="1" si="27"/>
        <v>0</v>
      </c>
      <c r="BF45" s="354" t="str">
        <f ca="1">IF(BE45&lt;&gt;0,tpm(BE45,BD45,"s"),"")</f>
        <v/>
      </c>
      <c r="BG45" s="362">
        <f ca="1">IF(BE45&lt;&gt;0,tDiff(BE45,BD45,"s"), 0)</f>
        <v>0</v>
      </c>
      <c r="BH45" s="363">
        <f ca="1">IF(BE45=0,пропускСФ,MIN(tInt(BG45,"s")*отклонениеРД,пределРД))</f>
        <v>1800</v>
      </c>
      <c r="BI45" s="364">
        <f t="shared" ca="1" si="61"/>
        <v>0</v>
      </c>
      <c r="BJ45" s="362">
        <f t="shared" ca="1" si="28"/>
        <v>0</v>
      </c>
      <c r="BK45" s="359" t="str">
        <f ca="1">IF(BJ45&lt;&gt;0,tpm(BJ45,BI45,"s"),"")</f>
        <v/>
      </c>
      <c r="BL45" s="362">
        <f ca="1">IF(BJ45&lt;&gt;0,tDiff(BJ45,BI45,"s"), 0)</f>
        <v>0</v>
      </c>
      <c r="BM45" s="363">
        <f ca="1">IF(BJ45=0,пропускСФ,MIN(tInt(BL45,"s")*отклонениеРД,пределРД))</f>
        <v>1800</v>
      </c>
      <c r="BN45" s="364">
        <f t="shared" ca="1" si="62"/>
        <v>0</v>
      </c>
      <c r="BO45" s="362">
        <f t="shared" ca="1" si="29"/>
        <v>0</v>
      </c>
      <c r="BP45" s="359" t="str">
        <f ca="1">IF(AND(BO45&lt;&gt;0,BN45&lt;&gt;0),tpm(BO45,BN45,"s"),"")</f>
        <v/>
      </c>
      <c r="BQ45" s="362">
        <f ca="1">IF(AND(BO45&lt;&gt;0,BN45&lt;&gt;0),tDiff(BO45,BN45,"s"), 0)</f>
        <v>0</v>
      </c>
      <c r="BR45" s="363">
        <f ca="1">IF(BN45=0,0,IF(BO45=0,пропускДС,MIN(tInt(BQ45,"s")*отклонениеРД,пределРД)))</f>
        <v>0</v>
      </c>
      <c r="BS45" s="366">
        <f t="shared" ca="1" si="30"/>
        <v>0</v>
      </c>
      <c r="BT45" s="363">
        <f t="shared" ca="1" si="63"/>
        <v>0</v>
      </c>
      <c r="BU45" s="357">
        <f t="shared" ca="1" si="32"/>
        <v>0</v>
      </c>
      <c r="BV45" s="361">
        <f t="shared" ca="1" si="64"/>
        <v>900</v>
      </c>
      <c r="BW45" s="357">
        <f t="shared" ca="1" si="69"/>
        <v>0</v>
      </c>
      <c r="BX45" s="361">
        <f t="shared" ca="1" si="65"/>
        <v>900</v>
      </c>
      <c r="BY45" s="357">
        <f t="shared" ca="1" si="69"/>
        <v>0</v>
      </c>
      <c r="BZ45" s="361">
        <f t="shared" ca="1" si="66"/>
        <v>900</v>
      </c>
      <c r="CA45" s="357">
        <f ca="1">IF(L45&lt;&gt;0,tTrunc(L45+_ВКВ1/_КВ2Скорость/24),tTrunc(K45+_ВКВ1/_КВ2Скорость/24))</f>
        <v>0.60138887166976929</v>
      </c>
      <c r="CB45" s="358">
        <f t="shared" ca="1" si="67"/>
        <v>0</v>
      </c>
      <c r="CC45" s="358">
        <f>ROUNDUP(tInt(_ВКВ1/_КВ2Скорость/24)/10,0)/1440</f>
        <v>8.3333333333333332E-3</v>
      </c>
      <c r="CD45" s="359" t="str">
        <f ca="1">IF(AND(CB45&lt;&gt;0,CA45&lt;&gt;0),tpm(CB45,CA45),"")</f>
        <v/>
      </c>
      <c r="CE45" s="358">
        <f ca="1">IF(CB45&lt;&gt;0,tDiff(CB45,CA45), 0)</f>
        <v>0</v>
      </c>
      <c r="CF45" s="361">
        <f ca="1">IF(CB45&lt;&gt;0,IF(CD45="+",0,IF(CE45&gt;CC45,tInt(CE45-CC45)*опережениеКВ,0)),пропускКВ)</f>
        <v>900</v>
      </c>
    </row>
    <row r="46" spans="1:84" s="22" customFormat="1" hidden="1" x14ac:dyDescent="0.25">
      <c r="A46" s="587" t="str">
        <f>стартоваяВедомость!B47</f>
        <v/>
      </c>
      <c r="B46" s="381">
        <f t="shared" ca="1" si="0"/>
        <v>0</v>
      </c>
      <c r="C46" s="381">
        <f t="shared" ca="1" si="1"/>
        <v>0</v>
      </c>
      <c r="D46" s="381">
        <f t="shared" ca="1" si="2"/>
        <v>0</v>
      </c>
      <c r="E46" s="381">
        <f t="shared" ca="1" si="3"/>
        <v>0</v>
      </c>
      <c r="F46" s="381">
        <f t="shared" ca="1" si="4"/>
        <v>0</v>
      </c>
      <c r="G46" s="382" t="str">
        <f t="shared" si="37"/>
        <v/>
      </c>
      <c r="H46" s="382" t="str">
        <f t="shared" ca="1" si="38"/>
        <v>DNS</v>
      </c>
      <c r="I46" s="382">
        <f t="shared" ca="1" si="39"/>
        <v>7200</v>
      </c>
      <c r="J46" s="382">
        <f t="shared" ca="1" si="40"/>
        <v>0</v>
      </c>
      <c r="K46" s="383">
        <f t="shared" ca="1" si="6"/>
        <v>0.52013888888888882</v>
      </c>
      <c r="L46" s="152">
        <f t="shared" ca="1" si="41"/>
        <v>0</v>
      </c>
      <c r="M46" s="384" t="str">
        <f ca="1">IF(L46&lt;&gt;0,tpm(L46,K46),"")</f>
        <v/>
      </c>
      <c r="N46" s="152">
        <f ca="1">IF(L46&lt;&gt;0,tDiff(L46,K46), 0)</f>
        <v>0</v>
      </c>
      <c r="O46" s="385" t="str">
        <f ca="1">IF(L46&lt;&gt;0,IF(M46="+",MIN(tInt(N46)*опережениеКВ,пределКВ),tInt(N46)*опережениеКВ),"DNS")</f>
        <v>DNS</v>
      </c>
      <c r="P46" s="152">
        <f t="shared" si="8"/>
        <v>8.3333335816860199E-2</v>
      </c>
      <c r="Q46" s="152">
        <f t="shared" ca="1" si="42"/>
        <v>0</v>
      </c>
      <c r="R46" s="383">
        <f t="shared" ca="1" si="43"/>
        <v>0.60347222470574902</v>
      </c>
      <c r="S46" s="152">
        <f t="shared" ca="1" si="44"/>
        <v>0</v>
      </c>
      <c r="T46" s="384" t="str">
        <f ca="1">IF(S46&lt;&gt;0,tpm(S46,R46),"")</f>
        <v/>
      </c>
      <c r="U46" s="152">
        <f ca="1">IF(S46&lt;&gt;0,tDiff(S46,R46), 0)</f>
        <v>0</v>
      </c>
      <c r="V46" s="385">
        <f ca="1">IF(S46&lt;&gt;0,IF(T46="+",MIN(MAX(tInt(U46-Q46),0)*опережениеКВ,пределКВ),tInt(U46)*опережениеКВ),пропускКВ)</f>
        <v>900</v>
      </c>
      <c r="W46" s="152">
        <f t="shared" si="11"/>
        <v>8.3333335816860199E-2</v>
      </c>
      <c r="X46" s="152">
        <f t="shared" ca="1" si="45"/>
        <v>0</v>
      </c>
      <c r="Y46" s="152">
        <f t="shared" ca="1" si="46"/>
        <v>0</v>
      </c>
      <c r="Z46" s="383">
        <f t="shared" ca="1" si="47"/>
        <v>0.68680556052260922</v>
      </c>
      <c r="AA46" s="152">
        <f t="shared" ca="1" si="48"/>
        <v>0</v>
      </c>
      <c r="AB46" s="384" t="str">
        <f ca="1">IF(AA46&lt;&gt;0,tpm(AA46,Z46),"")</f>
        <v/>
      </c>
      <c r="AC46" s="152">
        <f ca="1">IF(AA46&lt;&gt;0,tDiff(AA46,Z46), 0)</f>
        <v>0</v>
      </c>
      <c r="AD46" s="385" t="str">
        <f ca="1">IF(AA46&lt;&gt;0,IF(AB46="+",MIN(MAX(tInt(AC46-Y46),0)*опережениеКВ,пределКВ),IF(tInt(AC46)&lt;=ROUNDUP(tInt(W46)*0.1,0),0,(tInt(AC46)-ROUNDUP(tInt(W46)*0.1,0))*опережениеКВ)),"DNF")</f>
        <v>DNF</v>
      </c>
      <c r="AE46" s="383">
        <f t="shared" ca="1" si="14"/>
        <v>0</v>
      </c>
      <c r="AF46" s="152">
        <f t="shared" ca="1" si="49"/>
        <v>0</v>
      </c>
      <c r="AG46" s="152">
        <f ca="1">IF(OR(AE46=0,AF46=0),0,tDiff(AF46,AE46))</f>
        <v>0</v>
      </c>
      <c r="AH46" s="386">
        <f t="shared" ca="1" si="50"/>
        <v>0</v>
      </c>
      <c r="AI46" s="386">
        <f t="shared" ca="1" si="17"/>
        <v>0</v>
      </c>
      <c r="AJ46" s="380" t="str">
        <f ca="1">IF(AI46&lt;&gt;0,tpm(AI46,AH46,"s"),"")</f>
        <v/>
      </c>
      <c r="AK46" s="386">
        <f ca="1">IF(AI46&lt;&gt;0,tDiff(AI46,AH46,"s"), 0)</f>
        <v>0</v>
      </c>
      <c r="AL46" s="387">
        <f ca="1">IF(AI46=0,пропускСФ,MIN(tInt(AK46,"s")*отклонениеРД,пределРД))</f>
        <v>1800</v>
      </c>
      <c r="AM46" s="388">
        <f t="shared" ca="1" si="51"/>
        <v>0</v>
      </c>
      <c r="AN46" s="386">
        <f t="shared" ca="1" si="18"/>
        <v>0</v>
      </c>
      <c r="AO46" s="384" t="str">
        <f ca="1">IF(AND(AM46&lt;&gt;0,AN46&lt;&gt;0),tpm(AN46,AM46,"s"),"")</f>
        <v/>
      </c>
      <c r="AP46" s="386">
        <f ca="1">IF(AND(AM46&lt;&gt;0,AN46&lt;&gt;0),tDiff(AN46,AM46,"s"), 0)</f>
        <v>0</v>
      </c>
      <c r="AQ46" s="387">
        <f ca="1">IF(AM46=0,0,IF(AN46=0,пропускДС,MIN(tInt(AP46,"s")*отклонениеРД,пределРД)))</f>
        <v>0</v>
      </c>
      <c r="AR46" s="383">
        <f t="shared" ca="1" si="19"/>
        <v>0</v>
      </c>
      <c r="AS46" s="152">
        <f t="shared" ca="1" si="52"/>
        <v>0</v>
      </c>
      <c r="AT46" s="152">
        <f t="shared" ca="1" si="53"/>
        <v>0</v>
      </c>
      <c r="AU46" s="389">
        <f t="shared" ca="1" si="54"/>
        <v>0</v>
      </c>
      <c r="AV46" s="389">
        <f t="shared" ca="1" si="55"/>
        <v>0</v>
      </c>
      <c r="AW46" s="389">
        <f t="shared" ca="1" si="56"/>
        <v>0</v>
      </c>
      <c r="AX46" s="384">
        <f t="shared" ca="1" si="57"/>
        <v>0</v>
      </c>
      <c r="AY46" s="384">
        <f t="shared" ca="1" si="58"/>
        <v>0</v>
      </c>
      <c r="AZ46" s="387">
        <f t="shared" ca="1" si="68"/>
        <v>1800</v>
      </c>
      <c r="BA46" s="383">
        <f t="shared" ca="1" si="24"/>
        <v>0</v>
      </c>
      <c r="BB46" s="152">
        <f t="shared" ca="1" si="59"/>
        <v>0</v>
      </c>
      <c r="BC46" s="152">
        <f ca="1">IF(OR(BA46=0,BB46=0),0,tDiff(BB46,BA46))</f>
        <v>0</v>
      </c>
      <c r="BD46" s="386">
        <f t="shared" ca="1" si="60"/>
        <v>0</v>
      </c>
      <c r="BE46" s="386">
        <f t="shared" ca="1" si="27"/>
        <v>0</v>
      </c>
      <c r="BF46" s="380" t="str">
        <f ca="1">IF(BE46&lt;&gt;0,tpm(BE46,BD46,"s"),"")</f>
        <v/>
      </c>
      <c r="BG46" s="386">
        <f ca="1">IF(BE46&lt;&gt;0,tDiff(BE46,BD46,"s"), 0)</f>
        <v>0</v>
      </c>
      <c r="BH46" s="387">
        <f ca="1">IF(BE46=0,пропускСФ,MIN(tInt(BG46,"s")*отклонениеРД,пределРД))</f>
        <v>1800</v>
      </c>
      <c r="BI46" s="388">
        <f t="shared" ca="1" si="61"/>
        <v>0</v>
      </c>
      <c r="BJ46" s="386">
        <f t="shared" ca="1" si="28"/>
        <v>0</v>
      </c>
      <c r="BK46" s="384" t="str">
        <f ca="1">IF(BJ46&lt;&gt;0,tpm(BJ46,BI46,"s"),"")</f>
        <v/>
      </c>
      <c r="BL46" s="386">
        <f ca="1">IF(BJ46&lt;&gt;0,tDiff(BJ46,BI46,"s"), 0)</f>
        <v>0</v>
      </c>
      <c r="BM46" s="387">
        <f ca="1">IF(BJ46=0,пропускСФ,MIN(tInt(BL46,"s")*отклонениеРД,пределРД))</f>
        <v>1800</v>
      </c>
      <c r="BN46" s="388">
        <f t="shared" ca="1" si="62"/>
        <v>0</v>
      </c>
      <c r="BO46" s="386">
        <f t="shared" ca="1" si="29"/>
        <v>0</v>
      </c>
      <c r="BP46" s="384" t="str">
        <f ca="1">IF(AND(BO46&lt;&gt;0,BN46&lt;&gt;0),tpm(BO46,BN46,"s"),"")</f>
        <v/>
      </c>
      <c r="BQ46" s="386">
        <f ca="1">IF(AND(BO46&lt;&gt;0,BN46&lt;&gt;0),tDiff(BO46,BN46,"s"), 0)</f>
        <v>0</v>
      </c>
      <c r="BR46" s="387">
        <f ca="1">IF(BN46=0,0,IF(BO46=0,пропускДС,MIN(tInt(BQ46,"s")*отклонениеРД,пределРД)))</f>
        <v>0</v>
      </c>
      <c r="BS46" s="390">
        <f t="shared" ca="1" si="30"/>
        <v>0</v>
      </c>
      <c r="BT46" s="387">
        <f t="shared" ca="1" si="63"/>
        <v>0</v>
      </c>
      <c r="BU46" s="383">
        <f t="shared" ca="1" si="32"/>
        <v>0</v>
      </c>
      <c r="BV46" s="391">
        <f t="shared" ca="1" si="64"/>
        <v>900</v>
      </c>
      <c r="BW46" s="383">
        <f t="shared" ca="1" si="69"/>
        <v>0</v>
      </c>
      <c r="BX46" s="391">
        <f t="shared" ca="1" si="65"/>
        <v>900</v>
      </c>
      <c r="BY46" s="383">
        <f t="shared" ca="1" si="69"/>
        <v>0</v>
      </c>
      <c r="BZ46" s="391">
        <f t="shared" ca="1" si="66"/>
        <v>900</v>
      </c>
      <c r="CA46" s="383">
        <f ca="1">IF(L46&lt;&gt;0,tTrunc(L46+_ВКВ1/_КВ2Скорость/24),tTrunc(K46+_ВКВ1/_КВ2Скорость/24))</f>
        <v>0.60138887166976929</v>
      </c>
      <c r="CB46" s="152">
        <f t="shared" ca="1" si="67"/>
        <v>0</v>
      </c>
      <c r="CC46" s="152">
        <f>ROUNDUP(tInt(_ВКВ1/_КВ2Скорость/24)/10,0)/1440</f>
        <v>8.3333333333333332E-3</v>
      </c>
      <c r="CD46" s="384" t="str">
        <f ca="1">IF(AND(CB46&lt;&gt;0,CA46&lt;&gt;0),tpm(CB46,CA46),"")</f>
        <v/>
      </c>
      <c r="CE46" s="152">
        <f ca="1">IF(CB46&lt;&gt;0,tDiff(CB46,CA46), 0)</f>
        <v>0</v>
      </c>
      <c r="CF46" s="391">
        <f ca="1">IF(CB46&lt;&gt;0,IF(CD46="+",0,IF(CE46&gt;CC46,tInt(CE46-CC46)*опережениеКВ,0)),пропускКВ)</f>
        <v>900</v>
      </c>
    </row>
    <row r="47" spans="1:84" s="367" customFormat="1" hidden="1" x14ac:dyDescent="0.25">
      <c r="A47" s="586" t="str">
        <f>стартоваяВедомость!B48</f>
        <v/>
      </c>
      <c r="B47" s="355">
        <f t="shared" ca="1" si="0"/>
        <v>0</v>
      </c>
      <c r="C47" s="355">
        <f t="shared" ca="1" si="1"/>
        <v>0</v>
      </c>
      <c r="D47" s="355">
        <f t="shared" ca="1" si="2"/>
        <v>0</v>
      </c>
      <c r="E47" s="355">
        <f t="shared" ca="1" si="3"/>
        <v>0</v>
      </c>
      <c r="F47" s="355">
        <f t="shared" ca="1" si="4"/>
        <v>0</v>
      </c>
      <c r="G47" s="356" t="str">
        <f t="shared" si="37"/>
        <v/>
      </c>
      <c r="H47" s="356" t="str">
        <f t="shared" ca="1" si="38"/>
        <v>DNS</v>
      </c>
      <c r="I47" s="356">
        <f t="shared" ca="1" si="39"/>
        <v>7200</v>
      </c>
      <c r="J47" s="356">
        <f t="shared" ca="1" si="40"/>
        <v>0</v>
      </c>
      <c r="K47" s="357">
        <f t="shared" ca="1" si="6"/>
        <v>0.52013888888888882</v>
      </c>
      <c r="L47" s="358">
        <f t="shared" ca="1" si="41"/>
        <v>0</v>
      </c>
      <c r="M47" s="359" t="str">
        <f ca="1">IF(L47&lt;&gt;0,tpm(L47,K47),"")</f>
        <v/>
      </c>
      <c r="N47" s="358">
        <f ca="1">IF(L47&lt;&gt;0,tDiff(L47,K47), 0)</f>
        <v>0</v>
      </c>
      <c r="O47" s="360" t="str">
        <f ca="1">IF(L47&lt;&gt;0,IF(M47="+",MIN(tInt(N47)*опережениеКВ,пределКВ),tInt(N47)*опережениеКВ),"DNS")</f>
        <v>DNS</v>
      </c>
      <c r="P47" s="358">
        <f t="shared" si="8"/>
        <v>8.3333335816860199E-2</v>
      </c>
      <c r="Q47" s="358">
        <f t="shared" ca="1" si="42"/>
        <v>0</v>
      </c>
      <c r="R47" s="357">
        <f t="shared" ca="1" si="43"/>
        <v>0.60347222470574902</v>
      </c>
      <c r="S47" s="358">
        <f t="shared" ca="1" si="44"/>
        <v>0</v>
      </c>
      <c r="T47" s="359" t="str">
        <f ca="1">IF(S47&lt;&gt;0,tpm(S47,R47),"")</f>
        <v/>
      </c>
      <c r="U47" s="358">
        <f ca="1">IF(S47&lt;&gt;0,tDiff(S47,R47), 0)</f>
        <v>0</v>
      </c>
      <c r="V47" s="360">
        <f ca="1">IF(S47&lt;&gt;0,IF(T47="+",MIN(MAX(tInt(U47-Q47),0)*опережениеКВ,пределКВ),tInt(U47)*опережениеКВ),пропускКВ)</f>
        <v>900</v>
      </c>
      <c r="W47" s="358">
        <f t="shared" si="11"/>
        <v>8.3333335816860199E-2</v>
      </c>
      <c r="X47" s="358">
        <f t="shared" ca="1" si="45"/>
        <v>0</v>
      </c>
      <c r="Y47" s="358">
        <f t="shared" ca="1" si="46"/>
        <v>0</v>
      </c>
      <c r="Z47" s="357">
        <f t="shared" ca="1" si="47"/>
        <v>0.68680556052260922</v>
      </c>
      <c r="AA47" s="358">
        <f t="shared" ca="1" si="48"/>
        <v>0</v>
      </c>
      <c r="AB47" s="359" t="str">
        <f ca="1">IF(AA47&lt;&gt;0,tpm(AA47,Z47),"")</f>
        <v/>
      </c>
      <c r="AC47" s="358">
        <f ca="1">IF(AA47&lt;&gt;0,tDiff(AA47,Z47), 0)</f>
        <v>0</v>
      </c>
      <c r="AD47" s="360" t="str">
        <f ca="1">IF(AA47&lt;&gt;0,IF(AB47="+",MIN(MAX(tInt(AC47-Y47),0)*опережениеКВ,пределКВ),IF(tInt(AC47)&lt;=ROUNDUP(tInt(W47)*0.1,0),0,(tInt(AC47)-ROUNDUP(tInt(W47)*0.1,0))*опережениеКВ)),"DNF")</f>
        <v>DNF</v>
      </c>
      <c r="AE47" s="357">
        <f t="shared" ca="1" si="14"/>
        <v>0</v>
      </c>
      <c r="AF47" s="358">
        <f t="shared" ca="1" si="49"/>
        <v>0</v>
      </c>
      <c r="AG47" s="358">
        <f ca="1">IF(OR(AE47=0,AF47=0),0,tDiff(AF47,AE47))</f>
        <v>0</v>
      </c>
      <c r="AH47" s="362">
        <f t="shared" ca="1" si="50"/>
        <v>0</v>
      </c>
      <c r="AI47" s="362">
        <f t="shared" ca="1" si="17"/>
        <v>0</v>
      </c>
      <c r="AJ47" s="354" t="str">
        <f ca="1">IF(AI47&lt;&gt;0,tpm(AI47,AH47,"s"),"")</f>
        <v/>
      </c>
      <c r="AK47" s="362">
        <f ca="1">IF(AI47&lt;&gt;0,tDiff(AI47,AH47,"s"), 0)</f>
        <v>0</v>
      </c>
      <c r="AL47" s="363">
        <f ca="1">IF(AI47=0,пропускСФ,MIN(tInt(AK47,"s")*отклонениеРД,пределРД))</f>
        <v>1800</v>
      </c>
      <c r="AM47" s="364">
        <f t="shared" ca="1" si="51"/>
        <v>0</v>
      </c>
      <c r="AN47" s="362">
        <f t="shared" ca="1" si="18"/>
        <v>0</v>
      </c>
      <c r="AO47" s="359" t="str">
        <f ca="1">IF(AND(AM47&lt;&gt;0,AN47&lt;&gt;0),tpm(AN47,AM47,"s"),"")</f>
        <v/>
      </c>
      <c r="AP47" s="362">
        <f ca="1">IF(AND(AM47&lt;&gt;0,AN47&lt;&gt;0),tDiff(AN47,AM47,"s"), 0)</f>
        <v>0</v>
      </c>
      <c r="AQ47" s="363">
        <f ca="1">IF(AM47=0,0,IF(AN47=0,пропускДС,MIN(tInt(AP47,"s")*отклонениеРД,пределРД)))</f>
        <v>0</v>
      </c>
      <c r="AR47" s="357">
        <f t="shared" ca="1" si="19"/>
        <v>0</v>
      </c>
      <c r="AS47" s="358">
        <f t="shared" ca="1" si="52"/>
        <v>0</v>
      </c>
      <c r="AT47" s="358">
        <f t="shared" ca="1" si="53"/>
        <v>0</v>
      </c>
      <c r="AU47" s="365">
        <f t="shared" ca="1" si="54"/>
        <v>0</v>
      </c>
      <c r="AV47" s="365">
        <f t="shared" ca="1" si="55"/>
        <v>0</v>
      </c>
      <c r="AW47" s="365">
        <f t="shared" ca="1" si="56"/>
        <v>0</v>
      </c>
      <c r="AX47" s="359">
        <f t="shared" ca="1" si="57"/>
        <v>0</v>
      </c>
      <c r="AY47" s="359">
        <f t="shared" ca="1" si="58"/>
        <v>0</v>
      </c>
      <c r="AZ47" s="363">
        <f t="shared" ca="1" si="68"/>
        <v>1800</v>
      </c>
      <c r="BA47" s="357">
        <f t="shared" ca="1" si="24"/>
        <v>0</v>
      </c>
      <c r="BB47" s="358">
        <f t="shared" ca="1" si="59"/>
        <v>0</v>
      </c>
      <c r="BC47" s="358">
        <f ca="1">IF(OR(BA47=0,BB47=0),0,tDiff(BB47,BA47))</f>
        <v>0</v>
      </c>
      <c r="BD47" s="362">
        <f t="shared" ca="1" si="60"/>
        <v>0</v>
      </c>
      <c r="BE47" s="362">
        <f t="shared" ca="1" si="27"/>
        <v>0</v>
      </c>
      <c r="BF47" s="354" t="str">
        <f ca="1">IF(BE47&lt;&gt;0,tpm(BE47,BD47,"s"),"")</f>
        <v/>
      </c>
      <c r="BG47" s="362">
        <f ca="1">IF(BE47&lt;&gt;0,tDiff(BE47,BD47,"s"), 0)</f>
        <v>0</v>
      </c>
      <c r="BH47" s="363">
        <f ca="1">IF(BE47=0,пропускСФ,MIN(tInt(BG47,"s")*отклонениеРД,пределРД))</f>
        <v>1800</v>
      </c>
      <c r="BI47" s="364">
        <f t="shared" ca="1" si="61"/>
        <v>0</v>
      </c>
      <c r="BJ47" s="362">
        <f t="shared" ca="1" si="28"/>
        <v>0</v>
      </c>
      <c r="BK47" s="359" t="str">
        <f ca="1">IF(BJ47&lt;&gt;0,tpm(BJ47,BI47,"s"),"")</f>
        <v/>
      </c>
      <c r="BL47" s="362">
        <f ca="1">IF(BJ47&lt;&gt;0,tDiff(BJ47,BI47,"s"), 0)</f>
        <v>0</v>
      </c>
      <c r="BM47" s="363">
        <f ca="1">IF(BJ47=0,пропускСФ,MIN(tInt(BL47,"s")*отклонениеРД,пределРД))</f>
        <v>1800</v>
      </c>
      <c r="BN47" s="364">
        <f t="shared" ca="1" si="62"/>
        <v>0</v>
      </c>
      <c r="BO47" s="362">
        <f t="shared" ca="1" si="29"/>
        <v>0</v>
      </c>
      <c r="BP47" s="359" t="str">
        <f ca="1">IF(AND(BO47&lt;&gt;0,BN47&lt;&gt;0),tpm(BO47,BN47,"s"),"")</f>
        <v/>
      </c>
      <c r="BQ47" s="362">
        <f ca="1">IF(AND(BO47&lt;&gt;0,BN47&lt;&gt;0),tDiff(BO47,BN47,"s"), 0)</f>
        <v>0</v>
      </c>
      <c r="BR47" s="363">
        <f ca="1">IF(BN47=0,0,IF(BO47=0,пропускДС,MIN(tInt(BQ47,"s")*отклонениеРД,пределРД)))</f>
        <v>0</v>
      </c>
      <c r="BS47" s="366">
        <f t="shared" ca="1" si="30"/>
        <v>0</v>
      </c>
      <c r="BT47" s="363">
        <f t="shared" ca="1" si="63"/>
        <v>0</v>
      </c>
      <c r="BU47" s="357">
        <f t="shared" ca="1" si="32"/>
        <v>0</v>
      </c>
      <c r="BV47" s="361">
        <f t="shared" ca="1" si="64"/>
        <v>900</v>
      </c>
      <c r="BW47" s="357">
        <f t="shared" ca="1" si="69"/>
        <v>0</v>
      </c>
      <c r="BX47" s="361">
        <f t="shared" ca="1" si="65"/>
        <v>900</v>
      </c>
      <c r="BY47" s="357">
        <f t="shared" ca="1" si="69"/>
        <v>0</v>
      </c>
      <c r="BZ47" s="361">
        <f t="shared" ca="1" si="66"/>
        <v>900</v>
      </c>
      <c r="CA47" s="357">
        <f ca="1">IF(L47&lt;&gt;0,tTrunc(L47+_ВКВ1/_КВ2Скорость/24),tTrunc(K47+_ВКВ1/_КВ2Скорость/24))</f>
        <v>0.60138887166976929</v>
      </c>
      <c r="CB47" s="358">
        <f t="shared" ca="1" si="67"/>
        <v>0</v>
      </c>
      <c r="CC47" s="358">
        <f>ROUNDUP(tInt(_ВКВ1/_КВ2Скорость/24)/10,0)/1440</f>
        <v>8.3333333333333332E-3</v>
      </c>
      <c r="CD47" s="359" t="str">
        <f ca="1">IF(AND(CB47&lt;&gt;0,CA47&lt;&gt;0),tpm(CB47,CA47),"")</f>
        <v/>
      </c>
      <c r="CE47" s="358">
        <f ca="1">IF(CB47&lt;&gt;0,tDiff(CB47,CA47), 0)</f>
        <v>0</v>
      </c>
      <c r="CF47" s="361">
        <f ca="1">IF(CB47&lt;&gt;0,IF(CD47="+",0,IF(CE47&gt;CC47,tInt(CE47-CC47)*опережениеКВ,0)),пропускКВ)</f>
        <v>900</v>
      </c>
    </row>
    <row r="48" spans="1:84" s="22" customFormat="1" hidden="1" x14ac:dyDescent="0.25">
      <c r="A48" s="587" t="str">
        <f>стартоваяВедомость!B49</f>
        <v/>
      </c>
      <c r="B48" s="381">
        <f t="shared" ca="1" si="0"/>
        <v>0</v>
      </c>
      <c r="C48" s="381">
        <f t="shared" ca="1" si="1"/>
        <v>0</v>
      </c>
      <c r="D48" s="381">
        <f t="shared" ca="1" si="2"/>
        <v>0</v>
      </c>
      <c r="E48" s="381">
        <f t="shared" ca="1" si="3"/>
        <v>0</v>
      </c>
      <c r="F48" s="381">
        <f t="shared" ca="1" si="4"/>
        <v>0</v>
      </c>
      <c r="G48" s="382" t="str">
        <f t="shared" si="37"/>
        <v/>
      </c>
      <c r="H48" s="382" t="str">
        <f t="shared" ca="1" si="38"/>
        <v>DNS</v>
      </c>
      <c r="I48" s="382">
        <f t="shared" ca="1" si="39"/>
        <v>7200</v>
      </c>
      <c r="J48" s="382">
        <f t="shared" ca="1" si="40"/>
        <v>0</v>
      </c>
      <c r="K48" s="383">
        <f t="shared" ca="1" si="6"/>
        <v>0.52013888888888882</v>
      </c>
      <c r="L48" s="152">
        <f t="shared" ca="1" si="41"/>
        <v>0</v>
      </c>
      <c r="M48" s="384" t="str">
        <f ca="1">IF(L48&lt;&gt;0,tpm(L48,K48),"")</f>
        <v/>
      </c>
      <c r="N48" s="152">
        <f ca="1">IF(L48&lt;&gt;0,tDiff(L48,K48), 0)</f>
        <v>0</v>
      </c>
      <c r="O48" s="385" t="str">
        <f ca="1">IF(L48&lt;&gt;0,IF(M48="+",MIN(tInt(N48)*опережениеКВ,пределКВ),tInt(N48)*опережениеКВ),"DNS")</f>
        <v>DNS</v>
      </c>
      <c r="P48" s="152">
        <f t="shared" si="8"/>
        <v>8.3333335816860199E-2</v>
      </c>
      <c r="Q48" s="152">
        <f t="shared" ca="1" si="42"/>
        <v>0</v>
      </c>
      <c r="R48" s="383">
        <f t="shared" ca="1" si="43"/>
        <v>0.60347222470574902</v>
      </c>
      <c r="S48" s="152">
        <f t="shared" ca="1" si="44"/>
        <v>0</v>
      </c>
      <c r="T48" s="384" t="str">
        <f ca="1">IF(S48&lt;&gt;0,tpm(S48,R48),"")</f>
        <v/>
      </c>
      <c r="U48" s="152">
        <f ca="1">IF(S48&lt;&gt;0,tDiff(S48,R48), 0)</f>
        <v>0</v>
      </c>
      <c r="V48" s="385">
        <f ca="1">IF(S48&lt;&gt;0,IF(T48="+",MIN(MAX(tInt(U48-Q48),0)*опережениеКВ,пределКВ),tInt(U48)*опережениеКВ),пропускКВ)</f>
        <v>900</v>
      </c>
      <c r="W48" s="152">
        <f t="shared" si="11"/>
        <v>8.3333335816860199E-2</v>
      </c>
      <c r="X48" s="152">
        <f t="shared" ca="1" si="45"/>
        <v>0</v>
      </c>
      <c r="Y48" s="152">
        <f t="shared" ca="1" si="46"/>
        <v>0</v>
      </c>
      <c r="Z48" s="383">
        <f t="shared" ca="1" si="47"/>
        <v>0.68680556052260922</v>
      </c>
      <c r="AA48" s="152">
        <f t="shared" ca="1" si="48"/>
        <v>0</v>
      </c>
      <c r="AB48" s="384" t="str">
        <f ca="1">IF(AA48&lt;&gt;0,tpm(AA48,Z48),"")</f>
        <v/>
      </c>
      <c r="AC48" s="152">
        <f ca="1">IF(AA48&lt;&gt;0,tDiff(AA48,Z48), 0)</f>
        <v>0</v>
      </c>
      <c r="AD48" s="385" t="str">
        <f ca="1">IF(AA48&lt;&gt;0,IF(AB48="+",MIN(MAX(tInt(AC48-Y48),0)*опережениеКВ,пределКВ),IF(tInt(AC48)&lt;=ROUNDUP(tInt(W48)*0.1,0),0,(tInt(AC48)-ROUNDUP(tInt(W48)*0.1,0))*опережениеКВ)),"DNF")</f>
        <v>DNF</v>
      </c>
      <c r="AE48" s="383">
        <f t="shared" ca="1" si="14"/>
        <v>0</v>
      </c>
      <c r="AF48" s="152">
        <f t="shared" ca="1" si="49"/>
        <v>0</v>
      </c>
      <c r="AG48" s="152">
        <f ca="1">IF(OR(AE48=0,AF48=0),0,tDiff(AF48,AE48))</f>
        <v>0</v>
      </c>
      <c r="AH48" s="386">
        <f t="shared" ca="1" si="50"/>
        <v>0</v>
      </c>
      <c r="AI48" s="386">
        <f t="shared" ca="1" si="17"/>
        <v>0</v>
      </c>
      <c r="AJ48" s="380" t="str">
        <f ca="1">IF(AI48&lt;&gt;0,tpm(AI48,AH48,"s"),"")</f>
        <v/>
      </c>
      <c r="AK48" s="386">
        <f ca="1">IF(AI48&lt;&gt;0,tDiff(AI48,AH48,"s"), 0)</f>
        <v>0</v>
      </c>
      <c r="AL48" s="387">
        <f ca="1">IF(AI48=0,пропускСФ,MIN(tInt(AK48,"s")*отклонениеРД,пределРД))</f>
        <v>1800</v>
      </c>
      <c r="AM48" s="388">
        <f t="shared" ca="1" si="51"/>
        <v>0</v>
      </c>
      <c r="AN48" s="386">
        <f t="shared" ca="1" si="18"/>
        <v>0</v>
      </c>
      <c r="AO48" s="384" t="str">
        <f ca="1">IF(AND(AM48&lt;&gt;0,AN48&lt;&gt;0),tpm(AN48,AM48,"s"),"")</f>
        <v/>
      </c>
      <c r="AP48" s="386">
        <f ca="1">IF(AND(AM48&lt;&gt;0,AN48&lt;&gt;0),tDiff(AN48,AM48,"s"), 0)</f>
        <v>0</v>
      </c>
      <c r="AQ48" s="387">
        <f ca="1">IF(AM48=0,0,IF(AN48=0,пропускДС,MIN(tInt(AP48,"s")*отклонениеРД,пределРД)))</f>
        <v>0</v>
      </c>
      <c r="AR48" s="383">
        <f t="shared" ca="1" si="19"/>
        <v>0</v>
      </c>
      <c r="AS48" s="152">
        <f t="shared" ca="1" si="52"/>
        <v>0</v>
      </c>
      <c r="AT48" s="152">
        <f t="shared" ca="1" si="53"/>
        <v>0</v>
      </c>
      <c r="AU48" s="389">
        <f t="shared" ca="1" si="54"/>
        <v>0</v>
      </c>
      <c r="AV48" s="389">
        <f t="shared" ca="1" si="55"/>
        <v>0</v>
      </c>
      <c r="AW48" s="389">
        <f t="shared" ca="1" si="56"/>
        <v>0</v>
      </c>
      <c r="AX48" s="384">
        <f t="shared" ca="1" si="57"/>
        <v>0</v>
      </c>
      <c r="AY48" s="384">
        <f t="shared" ca="1" si="58"/>
        <v>0</v>
      </c>
      <c r="AZ48" s="387">
        <f t="shared" ca="1" si="68"/>
        <v>1800</v>
      </c>
      <c r="BA48" s="383">
        <f t="shared" ca="1" si="24"/>
        <v>0</v>
      </c>
      <c r="BB48" s="152">
        <f t="shared" ca="1" si="59"/>
        <v>0</v>
      </c>
      <c r="BC48" s="152">
        <f ca="1">IF(OR(BA48=0,BB48=0),0,tDiff(BB48,BA48))</f>
        <v>0</v>
      </c>
      <c r="BD48" s="386">
        <f t="shared" ca="1" si="60"/>
        <v>0</v>
      </c>
      <c r="BE48" s="386">
        <f t="shared" ca="1" si="27"/>
        <v>0</v>
      </c>
      <c r="BF48" s="380" t="str">
        <f ca="1">IF(BE48&lt;&gt;0,tpm(BE48,BD48,"s"),"")</f>
        <v/>
      </c>
      <c r="BG48" s="386">
        <f ca="1">IF(BE48&lt;&gt;0,tDiff(BE48,BD48,"s"), 0)</f>
        <v>0</v>
      </c>
      <c r="BH48" s="387">
        <f ca="1">IF(BE48=0,пропускСФ,MIN(tInt(BG48,"s")*отклонениеРД,пределРД))</f>
        <v>1800</v>
      </c>
      <c r="BI48" s="388">
        <f t="shared" ca="1" si="61"/>
        <v>0</v>
      </c>
      <c r="BJ48" s="386">
        <f t="shared" ca="1" si="28"/>
        <v>0</v>
      </c>
      <c r="BK48" s="384" t="str">
        <f ca="1">IF(BJ48&lt;&gt;0,tpm(BJ48,BI48,"s"),"")</f>
        <v/>
      </c>
      <c r="BL48" s="386">
        <f ca="1">IF(BJ48&lt;&gt;0,tDiff(BJ48,BI48,"s"), 0)</f>
        <v>0</v>
      </c>
      <c r="BM48" s="387">
        <f ca="1">IF(BJ48=0,пропускСФ,MIN(tInt(BL48,"s")*отклонениеРД,пределРД))</f>
        <v>1800</v>
      </c>
      <c r="BN48" s="388">
        <f t="shared" ca="1" si="62"/>
        <v>0</v>
      </c>
      <c r="BO48" s="386">
        <f t="shared" ca="1" si="29"/>
        <v>0</v>
      </c>
      <c r="BP48" s="384" t="str">
        <f ca="1">IF(AND(BO48&lt;&gt;0,BN48&lt;&gt;0),tpm(BO48,BN48,"s"),"")</f>
        <v/>
      </c>
      <c r="BQ48" s="386">
        <f ca="1">IF(AND(BO48&lt;&gt;0,BN48&lt;&gt;0),tDiff(BO48,BN48,"s"), 0)</f>
        <v>0</v>
      </c>
      <c r="BR48" s="387">
        <f ca="1">IF(BN48=0,0,IF(BO48=0,пропускДС,MIN(tInt(BQ48,"s")*отклонениеРД,пределРД)))</f>
        <v>0</v>
      </c>
      <c r="BS48" s="390">
        <f t="shared" ca="1" si="30"/>
        <v>0</v>
      </c>
      <c r="BT48" s="387">
        <f t="shared" ca="1" si="63"/>
        <v>0</v>
      </c>
      <c r="BU48" s="383">
        <f t="shared" ca="1" si="32"/>
        <v>0</v>
      </c>
      <c r="BV48" s="391">
        <f t="shared" ca="1" si="64"/>
        <v>900</v>
      </c>
      <c r="BW48" s="383">
        <f t="shared" ca="1" si="69"/>
        <v>0</v>
      </c>
      <c r="BX48" s="391">
        <f t="shared" ca="1" si="65"/>
        <v>900</v>
      </c>
      <c r="BY48" s="383">
        <f t="shared" ca="1" si="69"/>
        <v>0</v>
      </c>
      <c r="BZ48" s="391">
        <f t="shared" ca="1" si="66"/>
        <v>900</v>
      </c>
      <c r="CA48" s="383">
        <f ca="1">IF(L48&lt;&gt;0,tTrunc(L48+_ВКВ1/_КВ2Скорость/24),tTrunc(K48+_ВКВ1/_КВ2Скорость/24))</f>
        <v>0.60138887166976929</v>
      </c>
      <c r="CB48" s="152">
        <f t="shared" ca="1" si="67"/>
        <v>0</v>
      </c>
      <c r="CC48" s="152">
        <f>ROUNDUP(tInt(_ВКВ1/_КВ2Скорость/24)/10,0)/1440</f>
        <v>8.3333333333333332E-3</v>
      </c>
      <c r="CD48" s="384" t="str">
        <f ca="1">IF(AND(CB48&lt;&gt;0,CA48&lt;&gt;0),tpm(CB48,CA48),"")</f>
        <v/>
      </c>
      <c r="CE48" s="152">
        <f ca="1">IF(CB48&lt;&gt;0,tDiff(CB48,CA48), 0)</f>
        <v>0</v>
      </c>
      <c r="CF48" s="391">
        <f ca="1">IF(CB48&lt;&gt;0,IF(CD48="+",0,IF(CE48&gt;CC48,tInt(CE48-CC48)*опережениеКВ,0)),пропускКВ)</f>
        <v>900</v>
      </c>
    </row>
    <row r="49" spans="1:84" s="367" customFormat="1" hidden="1" x14ac:dyDescent="0.25">
      <c r="A49" s="586" t="str">
        <f>стартоваяВедомость!B50</f>
        <v/>
      </c>
      <c r="B49" s="355">
        <f t="shared" ca="1" si="0"/>
        <v>0</v>
      </c>
      <c r="C49" s="355">
        <f t="shared" ca="1" si="1"/>
        <v>0</v>
      </c>
      <c r="D49" s="355">
        <f t="shared" ca="1" si="2"/>
        <v>0</v>
      </c>
      <c r="E49" s="355">
        <f t="shared" ca="1" si="3"/>
        <v>0</v>
      </c>
      <c r="F49" s="355">
        <f t="shared" ca="1" si="4"/>
        <v>0</v>
      </c>
      <c r="G49" s="356" t="str">
        <f t="shared" si="37"/>
        <v/>
      </c>
      <c r="H49" s="356" t="str">
        <f t="shared" ca="1" si="38"/>
        <v>DNS</v>
      </c>
      <c r="I49" s="356">
        <f t="shared" ca="1" si="39"/>
        <v>7200</v>
      </c>
      <c r="J49" s="356">
        <f t="shared" ca="1" si="40"/>
        <v>0</v>
      </c>
      <c r="K49" s="357">
        <f t="shared" ca="1" si="6"/>
        <v>0.52013888888888882</v>
      </c>
      <c r="L49" s="358">
        <f t="shared" ca="1" si="41"/>
        <v>0</v>
      </c>
      <c r="M49" s="359" t="str">
        <f ca="1">IF(L49&lt;&gt;0,tpm(L49,K49),"")</f>
        <v/>
      </c>
      <c r="N49" s="358">
        <f ca="1">IF(L49&lt;&gt;0,tDiff(L49,K49), 0)</f>
        <v>0</v>
      </c>
      <c r="O49" s="360" t="str">
        <f ca="1">IF(L49&lt;&gt;0,IF(M49="+",MIN(tInt(N49)*опережениеКВ,пределКВ),tInt(N49)*опережениеКВ),"DNS")</f>
        <v>DNS</v>
      </c>
      <c r="P49" s="358">
        <f t="shared" si="8"/>
        <v>8.3333335816860199E-2</v>
      </c>
      <c r="Q49" s="358">
        <f t="shared" ca="1" si="42"/>
        <v>0</v>
      </c>
      <c r="R49" s="357">
        <f t="shared" ca="1" si="43"/>
        <v>0.60347222470574902</v>
      </c>
      <c r="S49" s="358">
        <f t="shared" ca="1" si="44"/>
        <v>0</v>
      </c>
      <c r="T49" s="359" t="str">
        <f ca="1">IF(S49&lt;&gt;0,tpm(S49,R49),"")</f>
        <v/>
      </c>
      <c r="U49" s="358">
        <f ca="1">IF(S49&lt;&gt;0,tDiff(S49,R49), 0)</f>
        <v>0</v>
      </c>
      <c r="V49" s="360">
        <f ca="1">IF(S49&lt;&gt;0,IF(T49="+",MIN(MAX(tInt(U49-Q49),0)*опережениеКВ,пределКВ),tInt(U49)*опережениеКВ),пропускКВ)</f>
        <v>900</v>
      </c>
      <c r="W49" s="358">
        <f t="shared" si="11"/>
        <v>8.3333335816860199E-2</v>
      </c>
      <c r="X49" s="358">
        <f t="shared" ca="1" si="45"/>
        <v>0</v>
      </c>
      <c r="Y49" s="358">
        <f t="shared" ca="1" si="46"/>
        <v>0</v>
      </c>
      <c r="Z49" s="357">
        <f t="shared" ca="1" si="47"/>
        <v>0.68680556052260922</v>
      </c>
      <c r="AA49" s="358">
        <f t="shared" ca="1" si="48"/>
        <v>0</v>
      </c>
      <c r="AB49" s="359" t="str">
        <f ca="1">IF(AA49&lt;&gt;0,tpm(AA49,Z49),"")</f>
        <v/>
      </c>
      <c r="AC49" s="358">
        <f ca="1">IF(AA49&lt;&gt;0,tDiff(AA49,Z49), 0)</f>
        <v>0</v>
      </c>
      <c r="AD49" s="360" t="str">
        <f ca="1">IF(AA49&lt;&gt;0,IF(AB49="+",MIN(MAX(tInt(AC49-Y49),0)*опережениеКВ,пределКВ),IF(tInt(AC49)&lt;=ROUNDUP(tInt(W49)*0.1,0),0,(tInt(AC49)-ROUNDUP(tInt(W49)*0.1,0))*опережениеКВ)),"DNF")</f>
        <v>DNF</v>
      </c>
      <c r="AE49" s="357">
        <f t="shared" ca="1" si="14"/>
        <v>0</v>
      </c>
      <c r="AF49" s="358">
        <f t="shared" ca="1" si="49"/>
        <v>0</v>
      </c>
      <c r="AG49" s="358">
        <f ca="1">IF(OR(AE49=0,AF49=0),0,tDiff(AF49,AE49))</f>
        <v>0</v>
      </c>
      <c r="AH49" s="362">
        <f t="shared" ca="1" si="50"/>
        <v>0</v>
      </c>
      <c r="AI49" s="362">
        <f t="shared" ca="1" si="17"/>
        <v>0</v>
      </c>
      <c r="AJ49" s="354" t="str">
        <f ca="1">IF(AI49&lt;&gt;0,tpm(AI49,AH49,"s"),"")</f>
        <v/>
      </c>
      <c r="AK49" s="362">
        <f ca="1">IF(AI49&lt;&gt;0,tDiff(AI49,AH49,"s"), 0)</f>
        <v>0</v>
      </c>
      <c r="AL49" s="363">
        <f ca="1">IF(AI49=0,пропускСФ,MIN(tInt(AK49,"s")*отклонениеРД,пределРД))</f>
        <v>1800</v>
      </c>
      <c r="AM49" s="364">
        <f t="shared" ca="1" si="51"/>
        <v>0</v>
      </c>
      <c r="AN49" s="362">
        <f t="shared" ca="1" si="18"/>
        <v>0</v>
      </c>
      <c r="AO49" s="359" t="str">
        <f ca="1">IF(AND(AM49&lt;&gt;0,AN49&lt;&gt;0),tpm(AN49,AM49,"s"),"")</f>
        <v/>
      </c>
      <c r="AP49" s="362">
        <f ca="1">IF(AND(AM49&lt;&gt;0,AN49&lt;&gt;0),tDiff(AN49,AM49,"s"), 0)</f>
        <v>0</v>
      </c>
      <c r="AQ49" s="363">
        <f ca="1">IF(AM49=0,0,IF(AN49=0,пропускДС,MIN(tInt(AP49,"s")*отклонениеРД,пределРД)))</f>
        <v>0</v>
      </c>
      <c r="AR49" s="357">
        <f t="shared" ca="1" si="19"/>
        <v>0</v>
      </c>
      <c r="AS49" s="358">
        <f t="shared" ca="1" si="52"/>
        <v>0</v>
      </c>
      <c r="AT49" s="358">
        <f t="shared" ca="1" si="53"/>
        <v>0</v>
      </c>
      <c r="AU49" s="365">
        <f t="shared" ca="1" si="54"/>
        <v>0</v>
      </c>
      <c r="AV49" s="365">
        <f t="shared" ca="1" si="55"/>
        <v>0</v>
      </c>
      <c r="AW49" s="365">
        <f t="shared" ca="1" si="56"/>
        <v>0</v>
      </c>
      <c r="AX49" s="359">
        <f t="shared" ca="1" si="57"/>
        <v>0</v>
      </c>
      <c r="AY49" s="359">
        <f t="shared" ca="1" si="58"/>
        <v>0</v>
      </c>
      <c r="AZ49" s="363">
        <f t="shared" ca="1" si="68"/>
        <v>1800</v>
      </c>
      <c r="BA49" s="357">
        <f t="shared" ca="1" si="24"/>
        <v>0</v>
      </c>
      <c r="BB49" s="358">
        <f t="shared" ca="1" si="59"/>
        <v>0</v>
      </c>
      <c r="BC49" s="358">
        <f ca="1">IF(OR(BA49=0,BB49=0),0,tDiff(BB49,BA49))</f>
        <v>0</v>
      </c>
      <c r="BD49" s="362">
        <f t="shared" ca="1" si="60"/>
        <v>0</v>
      </c>
      <c r="BE49" s="362">
        <f t="shared" ca="1" si="27"/>
        <v>0</v>
      </c>
      <c r="BF49" s="354" t="str">
        <f ca="1">IF(BE49&lt;&gt;0,tpm(BE49,BD49,"s"),"")</f>
        <v/>
      </c>
      <c r="BG49" s="362">
        <f ca="1">IF(BE49&lt;&gt;0,tDiff(BE49,BD49,"s"), 0)</f>
        <v>0</v>
      </c>
      <c r="BH49" s="363">
        <f ca="1">IF(BE49=0,пропускСФ,MIN(tInt(BG49,"s")*отклонениеРД,пределРД))</f>
        <v>1800</v>
      </c>
      <c r="BI49" s="364">
        <f t="shared" ca="1" si="61"/>
        <v>0</v>
      </c>
      <c r="BJ49" s="362">
        <f t="shared" ca="1" si="28"/>
        <v>0</v>
      </c>
      <c r="BK49" s="359" t="str">
        <f ca="1">IF(BJ49&lt;&gt;0,tpm(BJ49,BI49,"s"),"")</f>
        <v/>
      </c>
      <c r="BL49" s="362">
        <f ca="1">IF(BJ49&lt;&gt;0,tDiff(BJ49,BI49,"s"), 0)</f>
        <v>0</v>
      </c>
      <c r="BM49" s="363">
        <f ca="1">IF(BJ49=0,пропускСФ,MIN(tInt(BL49,"s")*отклонениеРД,пределРД))</f>
        <v>1800</v>
      </c>
      <c r="BN49" s="364">
        <f t="shared" ca="1" si="62"/>
        <v>0</v>
      </c>
      <c r="BO49" s="362">
        <f t="shared" ca="1" si="29"/>
        <v>0</v>
      </c>
      <c r="BP49" s="359" t="str">
        <f ca="1">IF(AND(BO49&lt;&gt;0,BN49&lt;&gt;0),tpm(BO49,BN49,"s"),"")</f>
        <v/>
      </c>
      <c r="BQ49" s="362">
        <f ca="1">IF(AND(BO49&lt;&gt;0,BN49&lt;&gt;0),tDiff(BO49,BN49,"s"), 0)</f>
        <v>0</v>
      </c>
      <c r="BR49" s="363">
        <f ca="1">IF(BN49=0,0,IF(BO49=0,пропускДС,MIN(tInt(BQ49,"s")*отклонениеРД,пределРД)))</f>
        <v>0</v>
      </c>
      <c r="BS49" s="366">
        <f t="shared" ca="1" si="30"/>
        <v>0</v>
      </c>
      <c r="BT49" s="363">
        <f t="shared" ca="1" si="63"/>
        <v>0</v>
      </c>
      <c r="BU49" s="357">
        <f t="shared" ca="1" si="32"/>
        <v>0</v>
      </c>
      <c r="BV49" s="361">
        <f t="shared" ca="1" si="64"/>
        <v>900</v>
      </c>
      <c r="BW49" s="357">
        <f t="shared" ca="1" si="69"/>
        <v>0</v>
      </c>
      <c r="BX49" s="361">
        <f t="shared" ca="1" si="65"/>
        <v>900</v>
      </c>
      <c r="BY49" s="357">
        <f t="shared" ca="1" si="69"/>
        <v>0</v>
      </c>
      <c r="BZ49" s="361">
        <f t="shared" ca="1" si="66"/>
        <v>900</v>
      </c>
      <c r="CA49" s="357">
        <f ca="1">IF(L49&lt;&gt;0,tTrunc(L49+_ВКВ1/_КВ2Скорость/24),tTrunc(K49+_ВКВ1/_КВ2Скорость/24))</f>
        <v>0.60138887166976929</v>
      </c>
      <c r="CB49" s="358">
        <f t="shared" ca="1" si="67"/>
        <v>0</v>
      </c>
      <c r="CC49" s="358">
        <f>ROUNDUP(tInt(_ВКВ1/_КВ2Скорость/24)/10,0)/1440</f>
        <v>8.3333333333333332E-3</v>
      </c>
      <c r="CD49" s="359" t="str">
        <f ca="1">IF(AND(CB49&lt;&gt;0,CA49&lt;&gt;0),tpm(CB49,CA49),"")</f>
        <v/>
      </c>
      <c r="CE49" s="358">
        <f ca="1">IF(CB49&lt;&gt;0,tDiff(CB49,CA49), 0)</f>
        <v>0</v>
      </c>
      <c r="CF49" s="361">
        <f ca="1">IF(CB49&lt;&gt;0,IF(CD49="+",0,IF(CE49&gt;CC49,tInt(CE49-CC49)*опережениеКВ,0)),пропускКВ)</f>
        <v>900</v>
      </c>
    </row>
    <row r="50" spans="1:84" s="22" customFormat="1" hidden="1" x14ac:dyDescent="0.25">
      <c r="A50" s="587" t="str">
        <f>стартоваяВедомость!B51</f>
        <v/>
      </c>
      <c r="B50" s="381">
        <f t="shared" ca="1" si="0"/>
        <v>0</v>
      </c>
      <c r="C50" s="381">
        <f t="shared" ca="1" si="1"/>
        <v>0</v>
      </c>
      <c r="D50" s="381">
        <f t="shared" ca="1" si="2"/>
        <v>0</v>
      </c>
      <c r="E50" s="381">
        <f t="shared" ca="1" si="3"/>
        <v>0</v>
      </c>
      <c r="F50" s="381">
        <f t="shared" ca="1" si="4"/>
        <v>0</v>
      </c>
      <c r="G50" s="382" t="str">
        <f t="shared" si="37"/>
        <v/>
      </c>
      <c r="H50" s="382" t="str">
        <f t="shared" ca="1" si="38"/>
        <v>DNS</v>
      </c>
      <c r="I50" s="382">
        <f t="shared" ca="1" si="39"/>
        <v>7200</v>
      </c>
      <c r="J50" s="382">
        <f t="shared" ca="1" si="40"/>
        <v>0</v>
      </c>
      <c r="K50" s="383">
        <f t="shared" ca="1" si="6"/>
        <v>0.52013888888888882</v>
      </c>
      <c r="L50" s="152">
        <f t="shared" ca="1" si="41"/>
        <v>0</v>
      </c>
      <c r="M50" s="384" t="str">
        <f ca="1">IF(L50&lt;&gt;0,tpm(L50,K50),"")</f>
        <v/>
      </c>
      <c r="N50" s="152">
        <f ca="1">IF(L50&lt;&gt;0,tDiff(L50,K50), 0)</f>
        <v>0</v>
      </c>
      <c r="O50" s="385" t="str">
        <f ca="1">IF(L50&lt;&gt;0,IF(M50="+",MIN(tInt(N50)*опережениеКВ,пределКВ),tInt(N50)*опережениеКВ),"DNS")</f>
        <v>DNS</v>
      </c>
      <c r="P50" s="152">
        <f t="shared" si="8"/>
        <v>8.3333335816860199E-2</v>
      </c>
      <c r="Q50" s="152">
        <f t="shared" ca="1" si="42"/>
        <v>0</v>
      </c>
      <c r="R50" s="383">
        <f t="shared" ca="1" si="43"/>
        <v>0.60347222470574902</v>
      </c>
      <c r="S50" s="152">
        <f t="shared" ca="1" si="44"/>
        <v>0</v>
      </c>
      <c r="T50" s="384" t="str">
        <f ca="1">IF(S50&lt;&gt;0,tpm(S50,R50),"")</f>
        <v/>
      </c>
      <c r="U50" s="152">
        <f ca="1">IF(S50&lt;&gt;0,tDiff(S50,R50), 0)</f>
        <v>0</v>
      </c>
      <c r="V50" s="385">
        <f ca="1">IF(S50&lt;&gt;0,IF(T50="+",MIN(MAX(tInt(U50-Q50),0)*опережениеКВ,пределКВ),tInt(U50)*опережениеКВ),пропускКВ)</f>
        <v>900</v>
      </c>
      <c r="W50" s="152">
        <f t="shared" si="11"/>
        <v>8.3333335816860199E-2</v>
      </c>
      <c r="X50" s="152">
        <f t="shared" ca="1" si="45"/>
        <v>0</v>
      </c>
      <c r="Y50" s="152">
        <f t="shared" ca="1" si="46"/>
        <v>0</v>
      </c>
      <c r="Z50" s="383">
        <f t="shared" ca="1" si="47"/>
        <v>0.68680556052260922</v>
      </c>
      <c r="AA50" s="152">
        <f t="shared" ca="1" si="48"/>
        <v>0</v>
      </c>
      <c r="AB50" s="384" t="str">
        <f ca="1">IF(AA50&lt;&gt;0,tpm(AA50,Z50),"")</f>
        <v/>
      </c>
      <c r="AC50" s="152">
        <f ca="1">IF(AA50&lt;&gt;0,tDiff(AA50,Z50), 0)</f>
        <v>0</v>
      </c>
      <c r="AD50" s="385" t="str">
        <f ca="1">IF(AA50&lt;&gt;0,IF(AB50="+",MIN(MAX(tInt(AC50-Y50),0)*опережениеКВ,пределКВ),IF(tInt(AC50)&lt;=ROUNDUP(tInt(W50)*0.1,0),0,(tInt(AC50)-ROUNDUP(tInt(W50)*0.1,0))*опережениеКВ)),"DNF")</f>
        <v>DNF</v>
      </c>
      <c r="AE50" s="383">
        <f t="shared" ca="1" si="14"/>
        <v>0</v>
      </c>
      <c r="AF50" s="152">
        <f t="shared" ca="1" si="49"/>
        <v>0</v>
      </c>
      <c r="AG50" s="152">
        <f ca="1">IF(OR(AE50=0,AF50=0),0,tDiff(AF50,AE50))</f>
        <v>0</v>
      </c>
      <c r="AH50" s="386">
        <f t="shared" ca="1" si="50"/>
        <v>0</v>
      </c>
      <c r="AI50" s="386">
        <f t="shared" ca="1" si="17"/>
        <v>0</v>
      </c>
      <c r="AJ50" s="380" t="str">
        <f ca="1">IF(AI50&lt;&gt;0,tpm(AI50,AH50,"s"),"")</f>
        <v/>
      </c>
      <c r="AK50" s="386">
        <f ca="1">IF(AI50&lt;&gt;0,tDiff(AI50,AH50,"s"), 0)</f>
        <v>0</v>
      </c>
      <c r="AL50" s="387">
        <f ca="1">IF(AI50=0,пропускСФ,MIN(tInt(AK50,"s")*отклонениеРД,пределРД))</f>
        <v>1800</v>
      </c>
      <c r="AM50" s="388">
        <f t="shared" ca="1" si="51"/>
        <v>0</v>
      </c>
      <c r="AN50" s="386">
        <f t="shared" ca="1" si="18"/>
        <v>0</v>
      </c>
      <c r="AO50" s="384" t="str">
        <f ca="1">IF(AND(AM50&lt;&gt;0,AN50&lt;&gt;0),tpm(AN50,AM50,"s"),"")</f>
        <v/>
      </c>
      <c r="AP50" s="386">
        <f ca="1">IF(AND(AM50&lt;&gt;0,AN50&lt;&gt;0),tDiff(AN50,AM50,"s"), 0)</f>
        <v>0</v>
      </c>
      <c r="AQ50" s="387">
        <f ca="1">IF(AM50=0,0,IF(AN50=0,пропускДС,MIN(tInt(AP50,"s")*отклонениеРД,пределРД)))</f>
        <v>0</v>
      </c>
      <c r="AR50" s="383">
        <f t="shared" ca="1" si="19"/>
        <v>0</v>
      </c>
      <c r="AS50" s="152">
        <f t="shared" ca="1" si="52"/>
        <v>0</v>
      </c>
      <c r="AT50" s="152">
        <f t="shared" ca="1" si="53"/>
        <v>0</v>
      </c>
      <c r="AU50" s="389">
        <f t="shared" ca="1" si="54"/>
        <v>0</v>
      </c>
      <c r="AV50" s="389">
        <f t="shared" ca="1" si="55"/>
        <v>0</v>
      </c>
      <c r="AW50" s="389">
        <f t="shared" ca="1" si="56"/>
        <v>0</v>
      </c>
      <c r="AX50" s="384">
        <f t="shared" ca="1" si="57"/>
        <v>0</v>
      </c>
      <c r="AY50" s="384">
        <f t="shared" ca="1" si="58"/>
        <v>0</v>
      </c>
      <c r="AZ50" s="387">
        <f t="shared" ca="1" si="68"/>
        <v>1800</v>
      </c>
      <c r="BA50" s="383">
        <f t="shared" ca="1" si="24"/>
        <v>0</v>
      </c>
      <c r="BB50" s="152">
        <f t="shared" ca="1" si="59"/>
        <v>0</v>
      </c>
      <c r="BC50" s="152">
        <f ca="1">IF(OR(BA50=0,BB50=0),0,tDiff(BB50,BA50))</f>
        <v>0</v>
      </c>
      <c r="BD50" s="386">
        <f t="shared" ca="1" si="60"/>
        <v>0</v>
      </c>
      <c r="BE50" s="386">
        <f t="shared" ca="1" si="27"/>
        <v>0</v>
      </c>
      <c r="BF50" s="380" t="str">
        <f ca="1">IF(BE50&lt;&gt;0,tpm(BE50,BD50,"s"),"")</f>
        <v/>
      </c>
      <c r="BG50" s="386">
        <f ca="1">IF(BE50&lt;&gt;0,tDiff(BE50,BD50,"s"), 0)</f>
        <v>0</v>
      </c>
      <c r="BH50" s="387">
        <f ca="1">IF(BE50=0,пропускСФ,MIN(tInt(BG50,"s")*отклонениеРД,пределРД))</f>
        <v>1800</v>
      </c>
      <c r="BI50" s="388">
        <f t="shared" ca="1" si="61"/>
        <v>0</v>
      </c>
      <c r="BJ50" s="386">
        <f t="shared" ca="1" si="28"/>
        <v>0</v>
      </c>
      <c r="BK50" s="384" t="str">
        <f ca="1">IF(BJ50&lt;&gt;0,tpm(BJ50,BI50,"s"),"")</f>
        <v/>
      </c>
      <c r="BL50" s="386">
        <f ca="1">IF(BJ50&lt;&gt;0,tDiff(BJ50,BI50,"s"), 0)</f>
        <v>0</v>
      </c>
      <c r="BM50" s="387">
        <f ca="1">IF(BJ50=0,пропускСФ,MIN(tInt(BL50,"s")*отклонениеРД,пределРД))</f>
        <v>1800</v>
      </c>
      <c r="BN50" s="388">
        <f t="shared" ca="1" si="62"/>
        <v>0</v>
      </c>
      <c r="BO50" s="386">
        <f t="shared" ca="1" si="29"/>
        <v>0</v>
      </c>
      <c r="BP50" s="384" t="str">
        <f ca="1">IF(AND(BO50&lt;&gt;0,BN50&lt;&gt;0),tpm(BO50,BN50,"s"),"")</f>
        <v/>
      </c>
      <c r="BQ50" s="386">
        <f ca="1">IF(AND(BO50&lt;&gt;0,BN50&lt;&gt;0),tDiff(BO50,BN50,"s"), 0)</f>
        <v>0</v>
      </c>
      <c r="BR50" s="387">
        <f ca="1">IF(BN50=0,0,IF(BO50=0,пропускДС,MIN(tInt(BQ50,"s")*отклонениеРД,пределРД)))</f>
        <v>0</v>
      </c>
      <c r="BS50" s="390">
        <f t="shared" ca="1" si="30"/>
        <v>0</v>
      </c>
      <c r="BT50" s="387">
        <f t="shared" ca="1" si="63"/>
        <v>0</v>
      </c>
      <c r="BU50" s="383">
        <f t="shared" ca="1" si="32"/>
        <v>0</v>
      </c>
      <c r="BV50" s="391">
        <f t="shared" ca="1" si="64"/>
        <v>900</v>
      </c>
      <c r="BW50" s="383">
        <f t="shared" ca="1" si="69"/>
        <v>0</v>
      </c>
      <c r="BX50" s="391">
        <f t="shared" ca="1" si="65"/>
        <v>900</v>
      </c>
      <c r="BY50" s="383">
        <f t="shared" ca="1" si="69"/>
        <v>0</v>
      </c>
      <c r="BZ50" s="391">
        <f t="shared" ca="1" si="66"/>
        <v>900</v>
      </c>
      <c r="CA50" s="383">
        <f ca="1">IF(L50&lt;&gt;0,tTrunc(L50+_ВКВ1/_КВ2Скорость/24),tTrunc(K50+_ВКВ1/_КВ2Скорость/24))</f>
        <v>0.60138887166976929</v>
      </c>
      <c r="CB50" s="152">
        <f t="shared" ca="1" si="67"/>
        <v>0</v>
      </c>
      <c r="CC50" s="152">
        <f>ROUNDUP(tInt(_ВКВ1/_КВ2Скорость/24)/10,0)/1440</f>
        <v>8.3333333333333332E-3</v>
      </c>
      <c r="CD50" s="384" t="str">
        <f ca="1">IF(AND(CB50&lt;&gt;0,CA50&lt;&gt;0),tpm(CB50,CA50),"")</f>
        <v/>
      </c>
      <c r="CE50" s="152">
        <f ca="1">IF(CB50&lt;&gt;0,tDiff(CB50,CA50), 0)</f>
        <v>0</v>
      </c>
      <c r="CF50" s="391">
        <f ca="1">IF(CB50&lt;&gt;0,IF(CD50="+",0,IF(CE50&gt;CC50,tInt(CE50-CC50)*опережениеКВ,0)),пропускКВ)</f>
        <v>900</v>
      </c>
    </row>
    <row r="51" spans="1:84" s="367" customFormat="1" hidden="1" x14ac:dyDescent="0.25">
      <c r="A51" s="586" t="str">
        <f>стартоваяВедомость!B52</f>
        <v/>
      </c>
      <c r="B51" s="355">
        <f t="shared" ca="1" si="0"/>
        <v>0</v>
      </c>
      <c r="C51" s="355">
        <f t="shared" ca="1" si="1"/>
        <v>0</v>
      </c>
      <c r="D51" s="355">
        <f t="shared" ca="1" si="2"/>
        <v>0</v>
      </c>
      <c r="E51" s="355">
        <f t="shared" ca="1" si="3"/>
        <v>0</v>
      </c>
      <c r="F51" s="355">
        <f t="shared" ca="1" si="4"/>
        <v>0</v>
      </c>
      <c r="G51" s="356" t="str">
        <f t="shared" si="37"/>
        <v/>
      </c>
      <c r="H51" s="356" t="str">
        <f t="shared" ca="1" si="38"/>
        <v>DNS</v>
      </c>
      <c r="I51" s="356">
        <f t="shared" ca="1" si="39"/>
        <v>7200</v>
      </c>
      <c r="J51" s="356">
        <f t="shared" ca="1" si="40"/>
        <v>0</v>
      </c>
      <c r="K51" s="357">
        <f t="shared" ca="1" si="6"/>
        <v>0.52013888888888882</v>
      </c>
      <c r="L51" s="358">
        <f t="shared" ca="1" si="41"/>
        <v>0</v>
      </c>
      <c r="M51" s="359" t="str">
        <f ca="1">IF(L51&lt;&gt;0,tpm(L51,K51),"")</f>
        <v/>
      </c>
      <c r="N51" s="358">
        <f ca="1">IF(L51&lt;&gt;0,tDiff(L51,K51), 0)</f>
        <v>0</v>
      </c>
      <c r="O51" s="360" t="str">
        <f ca="1">IF(L51&lt;&gt;0,IF(M51="+",MIN(tInt(N51)*опережениеКВ,пределКВ),tInt(N51)*опережениеКВ),"DNS")</f>
        <v>DNS</v>
      </c>
      <c r="P51" s="358">
        <f t="shared" si="8"/>
        <v>8.3333335816860199E-2</v>
      </c>
      <c r="Q51" s="358">
        <f t="shared" ca="1" si="42"/>
        <v>0</v>
      </c>
      <c r="R51" s="357">
        <f t="shared" ca="1" si="43"/>
        <v>0.60347222470574902</v>
      </c>
      <c r="S51" s="358">
        <f t="shared" ca="1" si="44"/>
        <v>0</v>
      </c>
      <c r="T51" s="359" t="str">
        <f ca="1">IF(S51&lt;&gt;0,tpm(S51,R51),"")</f>
        <v/>
      </c>
      <c r="U51" s="358">
        <f ca="1">IF(S51&lt;&gt;0,tDiff(S51,R51), 0)</f>
        <v>0</v>
      </c>
      <c r="V51" s="360">
        <f ca="1">IF(S51&lt;&gt;0,IF(T51="+",MIN(MAX(tInt(U51-Q51),0)*опережениеКВ,пределКВ),tInt(U51)*опережениеКВ),пропускКВ)</f>
        <v>900</v>
      </c>
      <c r="W51" s="358">
        <f t="shared" si="11"/>
        <v>8.3333335816860199E-2</v>
      </c>
      <c r="X51" s="358">
        <f t="shared" ca="1" si="45"/>
        <v>0</v>
      </c>
      <c r="Y51" s="358">
        <f t="shared" ca="1" si="46"/>
        <v>0</v>
      </c>
      <c r="Z51" s="357">
        <f t="shared" ca="1" si="47"/>
        <v>0.68680556052260922</v>
      </c>
      <c r="AA51" s="358">
        <f t="shared" ca="1" si="48"/>
        <v>0</v>
      </c>
      <c r="AB51" s="359" t="str">
        <f ca="1">IF(AA51&lt;&gt;0,tpm(AA51,Z51),"")</f>
        <v/>
      </c>
      <c r="AC51" s="358">
        <f ca="1">IF(AA51&lt;&gt;0,tDiff(AA51,Z51), 0)</f>
        <v>0</v>
      </c>
      <c r="AD51" s="360" t="str">
        <f ca="1">IF(AA51&lt;&gt;0,IF(AB51="+",MIN(MAX(tInt(AC51-Y51),0)*опережениеКВ,пределКВ),IF(tInt(AC51)&lt;=ROUNDUP(tInt(W51)*0.1,0),0,(tInt(AC51)-ROUNDUP(tInt(W51)*0.1,0))*опережениеКВ)),"DNF")</f>
        <v>DNF</v>
      </c>
      <c r="AE51" s="357">
        <f t="shared" ca="1" si="14"/>
        <v>0</v>
      </c>
      <c r="AF51" s="358">
        <f t="shared" ca="1" si="49"/>
        <v>0</v>
      </c>
      <c r="AG51" s="358">
        <f ca="1">IF(OR(AE51=0,AF51=0),0,tDiff(AF51,AE51))</f>
        <v>0</v>
      </c>
      <c r="AH51" s="362">
        <f t="shared" ca="1" si="50"/>
        <v>0</v>
      </c>
      <c r="AI51" s="362">
        <f t="shared" ca="1" si="17"/>
        <v>0</v>
      </c>
      <c r="AJ51" s="354" t="str">
        <f ca="1">IF(AI51&lt;&gt;0,tpm(AI51,AH51,"s"),"")</f>
        <v/>
      </c>
      <c r="AK51" s="362">
        <f ca="1">IF(AI51&lt;&gt;0,tDiff(AI51,AH51,"s"), 0)</f>
        <v>0</v>
      </c>
      <c r="AL51" s="363">
        <f ca="1">IF(AI51=0,пропускСФ,MIN(tInt(AK51,"s")*отклонениеРД,пределРД))</f>
        <v>1800</v>
      </c>
      <c r="AM51" s="364">
        <f t="shared" ca="1" si="51"/>
        <v>0</v>
      </c>
      <c r="AN51" s="362">
        <f t="shared" ca="1" si="18"/>
        <v>0</v>
      </c>
      <c r="AO51" s="359" t="str">
        <f ca="1">IF(AND(AM51&lt;&gt;0,AN51&lt;&gt;0),tpm(AN51,AM51,"s"),"")</f>
        <v/>
      </c>
      <c r="AP51" s="362">
        <f ca="1">IF(AND(AM51&lt;&gt;0,AN51&lt;&gt;0),tDiff(AN51,AM51,"s"), 0)</f>
        <v>0</v>
      </c>
      <c r="AQ51" s="363">
        <f ca="1">IF(AM51=0,0,IF(AN51=0,пропускДС,MIN(tInt(AP51,"s")*отклонениеРД,пределРД)))</f>
        <v>0</v>
      </c>
      <c r="AR51" s="357">
        <f t="shared" ca="1" si="19"/>
        <v>0</v>
      </c>
      <c r="AS51" s="358">
        <f t="shared" ca="1" si="52"/>
        <v>0</v>
      </c>
      <c r="AT51" s="358">
        <f t="shared" ca="1" si="53"/>
        <v>0</v>
      </c>
      <c r="AU51" s="365">
        <f t="shared" ca="1" si="54"/>
        <v>0</v>
      </c>
      <c r="AV51" s="365">
        <f t="shared" ca="1" si="55"/>
        <v>0</v>
      </c>
      <c r="AW51" s="365">
        <f t="shared" ca="1" si="56"/>
        <v>0</v>
      </c>
      <c r="AX51" s="359">
        <f t="shared" ca="1" si="57"/>
        <v>0</v>
      </c>
      <c r="AY51" s="359">
        <f t="shared" ca="1" si="58"/>
        <v>0</v>
      </c>
      <c r="AZ51" s="363">
        <f t="shared" ca="1" si="68"/>
        <v>1800</v>
      </c>
      <c r="BA51" s="357">
        <f t="shared" ca="1" si="24"/>
        <v>0</v>
      </c>
      <c r="BB51" s="358">
        <f t="shared" ca="1" si="59"/>
        <v>0</v>
      </c>
      <c r="BC51" s="358">
        <f ca="1">IF(OR(BA51=0,BB51=0),0,tDiff(BB51,BA51))</f>
        <v>0</v>
      </c>
      <c r="BD51" s="362">
        <f t="shared" ca="1" si="60"/>
        <v>0</v>
      </c>
      <c r="BE51" s="362">
        <f t="shared" ca="1" si="27"/>
        <v>0</v>
      </c>
      <c r="BF51" s="354" t="str">
        <f ca="1">IF(BE51&lt;&gt;0,tpm(BE51,BD51,"s"),"")</f>
        <v/>
      </c>
      <c r="BG51" s="362">
        <f ca="1">IF(BE51&lt;&gt;0,tDiff(BE51,BD51,"s"), 0)</f>
        <v>0</v>
      </c>
      <c r="BH51" s="363">
        <f ca="1">IF(BE51=0,пропускСФ,MIN(tInt(BG51,"s")*отклонениеРД,пределРД))</f>
        <v>1800</v>
      </c>
      <c r="BI51" s="364">
        <f t="shared" ca="1" si="61"/>
        <v>0</v>
      </c>
      <c r="BJ51" s="362">
        <f t="shared" ca="1" si="28"/>
        <v>0</v>
      </c>
      <c r="BK51" s="359" t="str">
        <f ca="1">IF(BJ51&lt;&gt;0,tpm(BJ51,BI51,"s"),"")</f>
        <v/>
      </c>
      <c r="BL51" s="362">
        <f ca="1">IF(BJ51&lt;&gt;0,tDiff(BJ51,BI51,"s"), 0)</f>
        <v>0</v>
      </c>
      <c r="BM51" s="363">
        <f ca="1">IF(BJ51=0,пропускСФ,MIN(tInt(BL51,"s")*отклонениеРД,пределРД))</f>
        <v>1800</v>
      </c>
      <c r="BN51" s="364">
        <f t="shared" ca="1" si="62"/>
        <v>0</v>
      </c>
      <c r="BO51" s="362">
        <f t="shared" ca="1" si="29"/>
        <v>0</v>
      </c>
      <c r="BP51" s="359" t="str">
        <f ca="1">IF(AND(BO51&lt;&gt;0,BN51&lt;&gt;0),tpm(BO51,BN51,"s"),"")</f>
        <v/>
      </c>
      <c r="BQ51" s="362">
        <f ca="1">IF(AND(BO51&lt;&gt;0,BN51&lt;&gt;0),tDiff(BO51,BN51,"s"), 0)</f>
        <v>0</v>
      </c>
      <c r="BR51" s="363">
        <f ca="1">IF(BN51=0,0,IF(BO51=0,пропускДС,MIN(tInt(BQ51,"s")*отклонениеРД,пределРД)))</f>
        <v>0</v>
      </c>
      <c r="BS51" s="366">
        <f t="shared" ca="1" si="30"/>
        <v>0</v>
      </c>
      <c r="BT51" s="363">
        <f t="shared" ca="1" si="63"/>
        <v>0</v>
      </c>
      <c r="BU51" s="357">
        <f t="shared" ca="1" si="32"/>
        <v>0</v>
      </c>
      <c r="BV51" s="361">
        <f t="shared" ca="1" si="64"/>
        <v>900</v>
      </c>
      <c r="BW51" s="357">
        <f t="shared" ca="1" si="69"/>
        <v>0</v>
      </c>
      <c r="BX51" s="361">
        <f t="shared" ca="1" si="65"/>
        <v>900</v>
      </c>
      <c r="BY51" s="357">
        <f t="shared" ca="1" si="69"/>
        <v>0</v>
      </c>
      <c r="BZ51" s="361">
        <f t="shared" ca="1" si="66"/>
        <v>900</v>
      </c>
      <c r="CA51" s="357">
        <f ca="1">IF(L51&lt;&gt;0,tTrunc(L51+_ВКВ1/_КВ2Скорость/24),tTrunc(K51+_ВКВ1/_КВ2Скорость/24))</f>
        <v>0.60138887166976929</v>
      </c>
      <c r="CB51" s="358">
        <f t="shared" ca="1" si="67"/>
        <v>0</v>
      </c>
      <c r="CC51" s="358">
        <f>ROUNDUP(tInt(_ВКВ1/_КВ2Скорость/24)/10,0)/1440</f>
        <v>8.3333333333333332E-3</v>
      </c>
      <c r="CD51" s="359" t="str">
        <f ca="1">IF(AND(CB51&lt;&gt;0,CA51&lt;&gt;0),tpm(CB51,CA51),"")</f>
        <v/>
      </c>
      <c r="CE51" s="358">
        <f ca="1">IF(CB51&lt;&gt;0,tDiff(CB51,CA51), 0)</f>
        <v>0</v>
      </c>
      <c r="CF51" s="361">
        <f ca="1">IF(CB51&lt;&gt;0,IF(CD51="+",0,IF(CE51&gt;CC51,tInt(CE51-CC51)*опережениеКВ,0)),пропускКВ)</f>
        <v>900</v>
      </c>
    </row>
    <row r="52" spans="1:84" s="22" customFormat="1" hidden="1" x14ac:dyDescent="0.25">
      <c r="A52" s="587" t="str">
        <f>стартоваяВедомость!B53</f>
        <v/>
      </c>
      <c r="B52" s="381">
        <f t="shared" ca="1" si="0"/>
        <v>0</v>
      </c>
      <c r="C52" s="381">
        <f t="shared" ca="1" si="1"/>
        <v>0</v>
      </c>
      <c r="D52" s="381">
        <f t="shared" ca="1" si="2"/>
        <v>0</v>
      </c>
      <c r="E52" s="381">
        <f t="shared" ca="1" si="3"/>
        <v>0</v>
      </c>
      <c r="F52" s="381">
        <f t="shared" ca="1" si="4"/>
        <v>0</v>
      </c>
      <c r="G52" s="382" t="str">
        <f t="shared" si="37"/>
        <v/>
      </c>
      <c r="H52" s="382" t="str">
        <f t="shared" ca="1" si="38"/>
        <v>DNS</v>
      </c>
      <c r="I52" s="382">
        <f t="shared" ca="1" si="39"/>
        <v>7200</v>
      </c>
      <c r="J52" s="382">
        <f t="shared" ca="1" si="40"/>
        <v>0</v>
      </c>
      <c r="K52" s="383">
        <f t="shared" ca="1" si="6"/>
        <v>0.52013888888888882</v>
      </c>
      <c r="L52" s="152">
        <f t="shared" ca="1" si="41"/>
        <v>0</v>
      </c>
      <c r="M52" s="384" t="str">
        <f ca="1">IF(L52&lt;&gt;0,tpm(L52,K52),"")</f>
        <v/>
      </c>
      <c r="N52" s="152">
        <f ca="1">IF(L52&lt;&gt;0,tDiff(L52,K52), 0)</f>
        <v>0</v>
      </c>
      <c r="O52" s="385" t="str">
        <f ca="1">IF(L52&lt;&gt;0,IF(M52="+",MIN(tInt(N52)*опережениеКВ,пределКВ),tInt(N52)*опережениеКВ),"DNS")</f>
        <v>DNS</v>
      </c>
      <c r="P52" s="152">
        <f t="shared" si="8"/>
        <v>8.3333335816860199E-2</v>
      </c>
      <c r="Q52" s="152">
        <f t="shared" ca="1" si="42"/>
        <v>0</v>
      </c>
      <c r="R52" s="383">
        <f t="shared" ca="1" si="43"/>
        <v>0.60347222470574902</v>
      </c>
      <c r="S52" s="152">
        <f t="shared" ca="1" si="44"/>
        <v>0</v>
      </c>
      <c r="T52" s="384" t="str">
        <f ca="1">IF(S52&lt;&gt;0,tpm(S52,R52),"")</f>
        <v/>
      </c>
      <c r="U52" s="152">
        <f ca="1">IF(S52&lt;&gt;0,tDiff(S52,R52), 0)</f>
        <v>0</v>
      </c>
      <c r="V52" s="385">
        <f ca="1">IF(S52&lt;&gt;0,IF(T52="+",MIN(MAX(tInt(U52-Q52),0)*опережениеКВ,пределКВ),tInt(U52)*опережениеКВ),пропускКВ)</f>
        <v>900</v>
      </c>
      <c r="W52" s="152">
        <f t="shared" si="11"/>
        <v>8.3333335816860199E-2</v>
      </c>
      <c r="X52" s="152">
        <f t="shared" ca="1" si="45"/>
        <v>0</v>
      </c>
      <c r="Y52" s="152">
        <f t="shared" ca="1" si="46"/>
        <v>0</v>
      </c>
      <c r="Z52" s="383">
        <f t="shared" ca="1" si="47"/>
        <v>0.68680556052260922</v>
      </c>
      <c r="AA52" s="152">
        <f t="shared" ca="1" si="48"/>
        <v>0</v>
      </c>
      <c r="AB52" s="384" t="str">
        <f ca="1">IF(AA52&lt;&gt;0,tpm(AA52,Z52),"")</f>
        <v/>
      </c>
      <c r="AC52" s="152">
        <f ca="1">IF(AA52&lt;&gt;0,tDiff(AA52,Z52), 0)</f>
        <v>0</v>
      </c>
      <c r="AD52" s="385" t="str">
        <f ca="1">IF(AA52&lt;&gt;0,IF(AB52="+",MIN(MAX(tInt(AC52-Y52),0)*опережениеКВ,пределКВ),IF(tInt(AC52)&lt;=ROUNDUP(tInt(W52)*0.1,0),0,(tInt(AC52)-ROUNDUP(tInt(W52)*0.1,0))*опережениеКВ)),"DNF")</f>
        <v>DNF</v>
      </c>
      <c r="AE52" s="383">
        <f t="shared" ca="1" si="14"/>
        <v>0</v>
      </c>
      <c r="AF52" s="152">
        <f t="shared" ca="1" si="49"/>
        <v>0</v>
      </c>
      <c r="AG52" s="152">
        <f ca="1">IF(OR(AE52=0,AF52=0),0,tDiff(AF52,AE52))</f>
        <v>0</v>
      </c>
      <c r="AH52" s="386">
        <f t="shared" ca="1" si="50"/>
        <v>0</v>
      </c>
      <c r="AI52" s="386">
        <f t="shared" ca="1" si="17"/>
        <v>0</v>
      </c>
      <c r="AJ52" s="380" t="str">
        <f ca="1">IF(AI52&lt;&gt;0,tpm(AI52,AH52,"s"),"")</f>
        <v/>
      </c>
      <c r="AK52" s="386">
        <f ca="1">IF(AI52&lt;&gt;0,tDiff(AI52,AH52,"s"), 0)</f>
        <v>0</v>
      </c>
      <c r="AL52" s="387">
        <f ca="1">IF(AI52=0,пропускСФ,MIN(tInt(AK52,"s")*отклонениеРД,пределРД))</f>
        <v>1800</v>
      </c>
      <c r="AM52" s="388">
        <f t="shared" ca="1" si="51"/>
        <v>0</v>
      </c>
      <c r="AN52" s="386">
        <f t="shared" ca="1" si="18"/>
        <v>0</v>
      </c>
      <c r="AO52" s="384" t="str">
        <f ca="1">IF(AND(AM52&lt;&gt;0,AN52&lt;&gt;0),tpm(AN52,AM52,"s"),"")</f>
        <v/>
      </c>
      <c r="AP52" s="386">
        <f ca="1">IF(AND(AM52&lt;&gt;0,AN52&lt;&gt;0),tDiff(AN52,AM52,"s"), 0)</f>
        <v>0</v>
      </c>
      <c r="AQ52" s="387">
        <f ca="1">IF(AM52=0,0,IF(AN52=0,пропускДС,MIN(tInt(AP52,"s")*отклонениеРД,пределРД)))</f>
        <v>0</v>
      </c>
      <c r="AR52" s="383">
        <f t="shared" ca="1" si="19"/>
        <v>0</v>
      </c>
      <c r="AS52" s="152">
        <f t="shared" ca="1" si="52"/>
        <v>0</v>
      </c>
      <c r="AT52" s="152">
        <f t="shared" ca="1" si="53"/>
        <v>0</v>
      </c>
      <c r="AU52" s="389">
        <f t="shared" ca="1" si="54"/>
        <v>0</v>
      </c>
      <c r="AV52" s="389">
        <f t="shared" ca="1" si="55"/>
        <v>0</v>
      </c>
      <c r="AW52" s="389">
        <f t="shared" ca="1" si="56"/>
        <v>0</v>
      </c>
      <c r="AX52" s="384">
        <f t="shared" ca="1" si="57"/>
        <v>0</v>
      </c>
      <c r="AY52" s="384">
        <f t="shared" ca="1" si="58"/>
        <v>0</v>
      </c>
      <c r="AZ52" s="387">
        <f t="shared" ca="1" si="68"/>
        <v>1800</v>
      </c>
      <c r="BA52" s="383">
        <f t="shared" ca="1" si="24"/>
        <v>0</v>
      </c>
      <c r="BB52" s="152">
        <f t="shared" ca="1" si="59"/>
        <v>0</v>
      </c>
      <c r="BC52" s="152">
        <f ca="1">IF(OR(BA52=0,BB52=0),0,tDiff(BB52,BA52))</f>
        <v>0</v>
      </c>
      <c r="BD52" s="386">
        <f t="shared" ca="1" si="60"/>
        <v>0</v>
      </c>
      <c r="BE52" s="386">
        <f t="shared" ca="1" si="27"/>
        <v>0</v>
      </c>
      <c r="BF52" s="380" t="str">
        <f ca="1">IF(BE52&lt;&gt;0,tpm(BE52,BD52,"s"),"")</f>
        <v/>
      </c>
      <c r="BG52" s="386">
        <f ca="1">IF(BE52&lt;&gt;0,tDiff(BE52,BD52,"s"), 0)</f>
        <v>0</v>
      </c>
      <c r="BH52" s="387">
        <f ca="1">IF(BE52=0,пропускСФ,MIN(tInt(BG52,"s")*отклонениеРД,пределРД))</f>
        <v>1800</v>
      </c>
      <c r="BI52" s="388">
        <f t="shared" ca="1" si="61"/>
        <v>0</v>
      </c>
      <c r="BJ52" s="386">
        <f t="shared" ca="1" si="28"/>
        <v>0</v>
      </c>
      <c r="BK52" s="384" t="str">
        <f ca="1">IF(BJ52&lt;&gt;0,tpm(BJ52,BI52,"s"),"")</f>
        <v/>
      </c>
      <c r="BL52" s="386">
        <f ca="1">IF(BJ52&lt;&gt;0,tDiff(BJ52,BI52,"s"), 0)</f>
        <v>0</v>
      </c>
      <c r="BM52" s="387">
        <f ca="1">IF(BJ52=0,пропускСФ,MIN(tInt(BL52,"s")*отклонениеРД,пределРД))</f>
        <v>1800</v>
      </c>
      <c r="BN52" s="388">
        <f t="shared" ca="1" si="62"/>
        <v>0</v>
      </c>
      <c r="BO52" s="386">
        <f t="shared" ca="1" si="29"/>
        <v>0</v>
      </c>
      <c r="BP52" s="384" t="str">
        <f ca="1">IF(AND(BO52&lt;&gt;0,BN52&lt;&gt;0),tpm(BO52,BN52,"s"),"")</f>
        <v/>
      </c>
      <c r="BQ52" s="386">
        <f ca="1">IF(AND(BO52&lt;&gt;0,BN52&lt;&gt;0),tDiff(BO52,BN52,"s"), 0)</f>
        <v>0</v>
      </c>
      <c r="BR52" s="387">
        <f ca="1">IF(BN52=0,0,IF(BO52=0,пропускДС,MIN(tInt(BQ52,"s")*отклонениеРД,пределРД)))</f>
        <v>0</v>
      </c>
      <c r="BS52" s="390">
        <f t="shared" ca="1" si="30"/>
        <v>0</v>
      </c>
      <c r="BT52" s="387">
        <f t="shared" ca="1" si="63"/>
        <v>0</v>
      </c>
      <c r="BU52" s="383">
        <f t="shared" ca="1" si="32"/>
        <v>0</v>
      </c>
      <c r="BV52" s="391">
        <f t="shared" ca="1" si="64"/>
        <v>900</v>
      </c>
      <c r="BW52" s="383">
        <f t="shared" ca="1" si="69"/>
        <v>0</v>
      </c>
      <c r="BX52" s="391">
        <f t="shared" ca="1" si="65"/>
        <v>900</v>
      </c>
      <c r="BY52" s="383">
        <f t="shared" ca="1" si="69"/>
        <v>0</v>
      </c>
      <c r="BZ52" s="391">
        <f t="shared" ca="1" si="66"/>
        <v>900</v>
      </c>
      <c r="CA52" s="383">
        <f ca="1">IF(L52&lt;&gt;0,tTrunc(L52+_ВКВ1/_КВ2Скорость/24),tTrunc(K52+_ВКВ1/_КВ2Скорость/24))</f>
        <v>0.60138887166976929</v>
      </c>
      <c r="CB52" s="152">
        <f t="shared" ca="1" si="67"/>
        <v>0</v>
      </c>
      <c r="CC52" s="152">
        <f>ROUNDUP(tInt(_ВКВ1/_КВ2Скорость/24)/10,0)/1440</f>
        <v>8.3333333333333332E-3</v>
      </c>
      <c r="CD52" s="384" t="str">
        <f ca="1">IF(AND(CB52&lt;&gt;0,CA52&lt;&gt;0),tpm(CB52,CA52),"")</f>
        <v/>
      </c>
      <c r="CE52" s="152">
        <f ca="1">IF(CB52&lt;&gt;0,tDiff(CB52,CA52), 0)</f>
        <v>0</v>
      </c>
      <c r="CF52" s="391">
        <f ca="1">IF(CB52&lt;&gt;0,IF(CD52="+",0,IF(CE52&gt;CC52,tInt(CE52-CC52)*опережениеКВ,0)),пропускКВ)</f>
        <v>900</v>
      </c>
    </row>
    <row r="53" spans="1:84" s="367" customFormat="1" hidden="1" x14ac:dyDescent="0.25">
      <c r="A53" s="586" t="str">
        <f>стартоваяВедомость!B54</f>
        <v/>
      </c>
      <c r="B53" s="355">
        <f t="shared" ca="1" si="0"/>
        <v>0</v>
      </c>
      <c r="C53" s="355">
        <f t="shared" ca="1" si="1"/>
        <v>0</v>
      </c>
      <c r="D53" s="355">
        <f t="shared" ca="1" si="2"/>
        <v>0</v>
      </c>
      <c r="E53" s="355">
        <f t="shared" ca="1" si="3"/>
        <v>0</v>
      </c>
      <c r="F53" s="355">
        <f t="shared" ca="1" si="4"/>
        <v>0</v>
      </c>
      <c r="G53" s="356" t="str">
        <f t="shared" si="37"/>
        <v/>
      </c>
      <c r="H53" s="356" t="str">
        <f t="shared" ca="1" si="38"/>
        <v>DNS</v>
      </c>
      <c r="I53" s="356">
        <f t="shared" ca="1" si="39"/>
        <v>7200</v>
      </c>
      <c r="J53" s="356">
        <f t="shared" ca="1" si="40"/>
        <v>0</v>
      </c>
      <c r="K53" s="357">
        <f t="shared" ca="1" si="6"/>
        <v>0.52013888888888882</v>
      </c>
      <c r="L53" s="358">
        <f t="shared" ca="1" si="41"/>
        <v>0</v>
      </c>
      <c r="M53" s="359" t="str">
        <f ca="1">IF(L53&lt;&gt;0,tpm(L53,K53),"")</f>
        <v/>
      </c>
      <c r="N53" s="358">
        <f ca="1">IF(L53&lt;&gt;0,tDiff(L53,K53), 0)</f>
        <v>0</v>
      </c>
      <c r="O53" s="360" t="str">
        <f ca="1">IF(L53&lt;&gt;0,IF(M53="+",MIN(tInt(N53)*опережениеКВ,пределКВ),tInt(N53)*опережениеКВ),"DNS")</f>
        <v>DNS</v>
      </c>
      <c r="P53" s="358">
        <f t="shared" si="8"/>
        <v>8.3333335816860199E-2</v>
      </c>
      <c r="Q53" s="358">
        <f t="shared" ca="1" si="42"/>
        <v>0</v>
      </c>
      <c r="R53" s="357">
        <f t="shared" ca="1" si="43"/>
        <v>0.60347222470574902</v>
      </c>
      <c r="S53" s="358">
        <f t="shared" ca="1" si="44"/>
        <v>0</v>
      </c>
      <c r="T53" s="359" t="str">
        <f ca="1">IF(S53&lt;&gt;0,tpm(S53,R53),"")</f>
        <v/>
      </c>
      <c r="U53" s="358">
        <f ca="1">IF(S53&lt;&gt;0,tDiff(S53,R53), 0)</f>
        <v>0</v>
      </c>
      <c r="V53" s="360">
        <f ca="1">IF(S53&lt;&gt;0,IF(T53="+",MIN(MAX(tInt(U53-Q53),0)*опережениеКВ,пределКВ),tInt(U53)*опережениеКВ),пропускКВ)</f>
        <v>900</v>
      </c>
      <c r="W53" s="358">
        <f t="shared" si="11"/>
        <v>8.3333335816860199E-2</v>
      </c>
      <c r="X53" s="358">
        <f t="shared" ca="1" si="45"/>
        <v>0</v>
      </c>
      <c r="Y53" s="358">
        <f t="shared" ca="1" si="46"/>
        <v>0</v>
      </c>
      <c r="Z53" s="357">
        <f t="shared" ca="1" si="47"/>
        <v>0.68680556052260922</v>
      </c>
      <c r="AA53" s="358">
        <f t="shared" ca="1" si="48"/>
        <v>0</v>
      </c>
      <c r="AB53" s="359" t="str">
        <f ca="1">IF(AA53&lt;&gt;0,tpm(AA53,Z53),"")</f>
        <v/>
      </c>
      <c r="AC53" s="358">
        <f ca="1">IF(AA53&lt;&gt;0,tDiff(AA53,Z53), 0)</f>
        <v>0</v>
      </c>
      <c r="AD53" s="360" t="str">
        <f ca="1">IF(AA53&lt;&gt;0,IF(AB53="+",MIN(MAX(tInt(AC53-Y53),0)*опережениеКВ,пределКВ),IF(tInt(AC53)&lt;=ROUNDUP(tInt(W53)*0.1,0),0,(tInt(AC53)-ROUNDUP(tInt(W53)*0.1,0))*опережениеКВ)),"DNF")</f>
        <v>DNF</v>
      </c>
      <c r="AE53" s="357">
        <f t="shared" ca="1" si="14"/>
        <v>0</v>
      </c>
      <c r="AF53" s="358">
        <f t="shared" ca="1" si="49"/>
        <v>0</v>
      </c>
      <c r="AG53" s="358">
        <f ca="1">IF(OR(AE53=0,AF53=0),0,tDiff(AF53,AE53))</f>
        <v>0</v>
      </c>
      <c r="AH53" s="362">
        <f t="shared" ca="1" si="50"/>
        <v>0</v>
      </c>
      <c r="AI53" s="362">
        <f t="shared" ca="1" si="17"/>
        <v>0</v>
      </c>
      <c r="AJ53" s="354" t="str">
        <f ca="1">IF(AI53&lt;&gt;0,tpm(AI53,AH53,"s"),"")</f>
        <v/>
      </c>
      <c r="AK53" s="362">
        <f ca="1">IF(AI53&lt;&gt;0,tDiff(AI53,AH53,"s"), 0)</f>
        <v>0</v>
      </c>
      <c r="AL53" s="363">
        <f ca="1">IF(AI53=0,пропускСФ,MIN(tInt(AK53,"s")*отклонениеРД,пределРД))</f>
        <v>1800</v>
      </c>
      <c r="AM53" s="364">
        <f t="shared" ca="1" si="51"/>
        <v>0</v>
      </c>
      <c r="AN53" s="362">
        <f t="shared" ca="1" si="18"/>
        <v>0</v>
      </c>
      <c r="AO53" s="359" t="str">
        <f ca="1">IF(AND(AM53&lt;&gt;0,AN53&lt;&gt;0),tpm(AN53,AM53,"s"),"")</f>
        <v/>
      </c>
      <c r="AP53" s="362">
        <f ca="1">IF(AND(AM53&lt;&gt;0,AN53&lt;&gt;0),tDiff(AN53,AM53,"s"), 0)</f>
        <v>0</v>
      </c>
      <c r="AQ53" s="363">
        <f ca="1">IF(AM53=0,0,IF(AN53=0,пропускДС,MIN(tInt(AP53,"s")*отклонениеРД,пределРД)))</f>
        <v>0</v>
      </c>
      <c r="AR53" s="357">
        <f t="shared" ca="1" si="19"/>
        <v>0</v>
      </c>
      <c r="AS53" s="358">
        <f t="shared" ca="1" si="52"/>
        <v>0</v>
      </c>
      <c r="AT53" s="358">
        <f t="shared" ca="1" si="53"/>
        <v>0</v>
      </c>
      <c r="AU53" s="365">
        <f t="shared" ca="1" si="54"/>
        <v>0</v>
      </c>
      <c r="AV53" s="365">
        <f t="shared" ca="1" si="55"/>
        <v>0</v>
      </c>
      <c r="AW53" s="365">
        <f t="shared" ca="1" si="56"/>
        <v>0</v>
      </c>
      <c r="AX53" s="359">
        <f t="shared" ca="1" si="57"/>
        <v>0</v>
      </c>
      <c r="AY53" s="359">
        <f t="shared" ca="1" si="58"/>
        <v>0</v>
      </c>
      <c r="AZ53" s="363">
        <f t="shared" ca="1" si="68"/>
        <v>1800</v>
      </c>
      <c r="BA53" s="357">
        <f t="shared" ca="1" si="24"/>
        <v>0</v>
      </c>
      <c r="BB53" s="358">
        <f t="shared" ca="1" si="59"/>
        <v>0</v>
      </c>
      <c r="BC53" s="358">
        <f ca="1">IF(OR(BA53=0,BB53=0),0,tDiff(BB53,BA53))</f>
        <v>0</v>
      </c>
      <c r="BD53" s="362">
        <f t="shared" ca="1" si="60"/>
        <v>0</v>
      </c>
      <c r="BE53" s="362">
        <f t="shared" ca="1" si="27"/>
        <v>0</v>
      </c>
      <c r="BF53" s="354" t="str">
        <f ca="1">IF(BE53&lt;&gt;0,tpm(BE53,BD53,"s"),"")</f>
        <v/>
      </c>
      <c r="BG53" s="362">
        <f ca="1">IF(BE53&lt;&gt;0,tDiff(BE53,BD53,"s"), 0)</f>
        <v>0</v>
      </c>
      <c r="BH53" s="363">
        <f ca="1">IF(BE53=0,пропускСФ,MIN(tInt(BG53,"s")*отклонениеРД,пределРД))</f>
        <v>1800</v>
      </c>
      <c r="BI53" s="364">
        <f t="shared" ca="1" si="61"/>
        <v>0</v>
      </c>
      <c r="BJ53" s="362">
        <f t="shared" ca="1" si="28"/>
        <v>0</v>
      </c>
      <c r="BK53" s="359" t="str">
        <f ca="1">IF(BJ53&lt;&gt;0,tpm(BJ53,BI53,"s"),"")</f>
        <v/>
      </c>
      <c r="BL53" s="362">
        <f ca="1">IF(BJ53&lt;&gt;0,tDiff(BJ53,BI53,"s"), 0)</f>
        <v>0</v>
      </c>
      <c r="BM53" s="363">
        <f ca="1">IF(BJ53=0,пропускСФ,MIN(tInt(BL53,"s")*отклонениеРД,пределРД))</f>
        <v>1800</v>
      </c>
      <c r="BN53" s="364">
        <f t="shared" ca="1" si="62"/>
        <v>0</v>
      </c>
      <c r="BO53" s="362">
        <f t="shared" ca="1" si="29"/>
        <v>0</v>
      </c>
      <c r="BP53" s="359" t="str">
        <f ca="1">IF(AND(BO53&lt;&gt;0,BN53&lt;&gt;0),tpm(BO53,BN53,"s"),"")</f>
        <v/>
      </c>
      <c r="BQ53" s="362">
        <f ca="1">IF(AND(BO53&lt;&gt;0,BN53&lt;&gt;0),tDiff(BO53,BN53,"s"), 0)</f>
        <v>0</v>
      </c>
      <c r="BR53" s="363">
        <f ca="1">IF(BN53=0,0,IF(BO53=0,пропускДС,MIN(tInt(BQ53,"s")*отклонениеРД,пределРД)))</f>
        <v>0</v>
      </c>
      <c r="BS53" s="366">
        <f t="shared" ca="1" si="30"/>
        <v>0</v>
      </c>
      <c r="BT53" s="363">
        <f t="shared" ca="1" si="63"/>
        <v>0</v>
      </c>
      <c r="BU53" s="357">
        <f t="shared" ca="1" si="32"/>
        <v>0</v>
      </c>
      <c r="BV53" s="361">
        <f t="shared" ca="1" si="64"/>
        <v>900</v>
      </c>
      <c r="BW53" s="357">
        <f t="shared" ca="1" si="69"/>
        <v>0</v>
      </c>
      <c r="BX53" s="361">
        <f t="shared" ca="1" si="65"/>
        <v>900</v>
      </c>
      <c r="BY53" s="357">
        <f t="shared" ca="1" si="69"/>
        <v>0</v>
      </c>
      <c r="BZ53" s="361">
        <f t="shared" ca="1" si="66"/>
        <v>900</v>
      </c>
      <c r="CA53" s="357">
        <f ca="1">IF(L53&lt;&gt;0,tTrunc(L53+_ВКВ1/_КВ2Скорость/24),tTrunc(K53+_ВКВ1/_КВ2Скорость/24))</f>
        <v>0.60138887166976929</v>
      </c>
      <c r="CB53" s="358">
        <f t="shared" ca="1" si="67"/>
        <v>0</v>
      </c>
      <c r="CC53" s="358">
        <f>ROUNDUP(tInt(_ВКВ1/_КВ2Скорость/24)/10,0)/1440</f>
        <v>8.3333333333333332E-3</v>
      </c>
      <c r="CD53" s="359" t="str">
        <f ca="1">IF(AND(CB53&lt;&gt;0,CA53&lt;&gt;0),tpm(CB53,CA53),"")</f>
        <v/>
      </c>
      <c r="CE53" s="358">
        <f ca="1">IF(CB53&lt;&gt;0,tDiff(CB53,CA53), 0)</f>
        <v>0</v>
      </c>
      <c r="CF53" s="361">
        <f ca="1">IF(CB53&lt;&gt;0,IF(CD53="+",0,IF(CE53&gt;CC53,tInt(CE53-CC53)*опережениеКВ,0)),пропускКВ)</f>
        <v>900</v>
      </c>
    </row>
    <row r="54" spans="1:84" s="22" customFormat="1" hidden="1" x14ac:dyDescent="0.25">
      <c r="A54" s="587" t="str">
        <f>стартоваяВедомость!B55</f>
        <v/>
      </c>
      <c r="B54" s="381">
        <f t="shared" ca="1" si="0"/>
        <v>0</v>
      </c>
      <c r="C54" s="381">
        <f t="shared" ca="1" si="1"/>
        <v>0</v>
      </c>
      <c r="D54" s="381">
        <f t="shared" ca="1" si="2"/>
        <v>0</v>
      </c>
      <c r="E54" s="381">
        <f t="shared" ca="1" si="3"/>
        <v>0</v>
      </c>
      <c r="F54" s="381">
        <f t="shared" ca="1" si="4"/>
        <v>0</v>
      </c>
      <c r="G54" s="382" t="str">
        <f t="shared" si="37"/>
        <v/>
      </c>
      <c r="H54" s="382" t="str">
        <f t="shared" ca="1" si="38"/>
        <v>DNS</v>
      </c>
      <c r="I54" s="382">
        <f t="shared" ca="1" si="39"/>
        <v>7200</v>
      </c>
      <c r="J54" s="382">
        <f t="shared" ca="1" si="40"/>
        <v>0</v>
      </c>
      <c r="K54" s="383">
        <f t="shared" ca="1" si="6"/>
        <v>0.52013888888888882</v>
      </c>
      <c r="L54" s="152">
        <f t="shared" ca="1" si="41"/>
        <v>0</v>
      </c>
      <c r="M54" s="384" t="str">
        <f ca="1">IF(L54&lt;&gt;0,tpm(L54,K54),"")</f>
        <v/>
      </c>
      <c r="N54" s="152">
        <f ca="1">IF(L54&lt;&gt;0,tDiff(L54,K54), 0)</f>
        <v>0</v>
      </c>
      <c r="O54" s="385" t="str">
        <f ca="1">IF(L54&lt;&gt;0,IF(M54="+",MIN(tInt(N54)*опережениеКВ,пределКВ),tInt(N54)*опережениеКВ),"DNS")</f>
        <v>DNS</v>
      </c>
      <c r="P54" s="152">
        <f t="shared" si="8"/>
        <v>8.3333335816860199E-2</v>
      </c>
      <c r="Q54" s="152">
        <f t="shared" ca="1" si="42"/>
        <v>0</v>
      </c>
      <c r="R54" s="383">
        <f t="shared" ca="1" si="43"/>
        <v>0.60347222470574902</v>
      </c>
      <c r="S54" s="152">
        <f t="shared" ca="1" si="44"/>
        <v>0</v>
      </c>
      <c r="T54" s="384" t="str">
        <f ca="1">IF(S54&lt;&gt;0,tpm(S54,R54),"")</f>
        <v/>
      </c>
      <c r="U54" s="152">
        <f ca="1">IF(S54&lt;&gt;0,tDiff(S54,R54), 0)</f>
        <v>0</v>
      </c>
      <c r="V54" s="385">
        <f ca="1">IF(S54&lt;&gt;0,IF(T54="+",MIN(MAX(tInt(U54-Q54),0)*опережениеКВ,пределКВ),tInt(U54)*опережениеКВ),пропускКВ)</f>
        <v>900</v>
      </c>
      <c r="W54" s="152">
        <f t="shared" si="11"/>
        <v>8.3333335816860199E-2</v>
      </c>
      <c r="X54" s="152">
        <f t="shared" ca="1" si="45"/>
        <v>0</v>
      </c>
      <c r="Y54" s="152">
        <f t="shared" ca="1" si="46"/>
        <v>0</v>
      </c>
      <c r="Z54" s="383">
        <f t="shared" ca="1" si="47"/>
        <v>0.68680556052260922</v>
      </c>
      <c r="AA54" s="152">
        <f t="shared" ca="1" si="48"/>
        <v>0</v>
      </c>
      <c r="AB54" s="384" t="str">
        <f ca="1">IF(AA54&lt;&gt;0,tpm(AA54,Z54),"")</f>
        <v/>
      </c>
      <c r="AC54" s="152">
        <f ca="1">IF(AA54&lt;&gt;0,tDiff(AA54,Z54), 0)</f>
        <v>0</v>
      </c>
      <c r="AD54" s="385" t="str">
        <f ca="1">IF(AA54&lt;&gt;0,IF(AB54="+",MIN(MAX(tInt(AC54-Y54),0)*опережениеКВ,пределКВ),IF(tInt(AC54)&lt;=ROUNDUP(tInt(W54)*0.1,0),0,(tInt(AC54)-ROUNDUP(tInt(W54)*0.1,0))*опережениеКВ)),"DNF")</f>
        <v>DNF</v>
      </c>
      <c r="AE54" s="383">
        <f t="shared" ca="1" si="14"/>
        <v>0</v>
      </c>
      <c r="AF54" s="152">
        <f t="shared" ca="1" si="49"/>
        <v>0</v>
      </c>
      <c r="AG54" s="152">
        <f ca="1">IF(OR(AE54=0,AF54=0),0,tDiff(AF54,AE54))</f>
        <v>0</v>
      </c>
      <c r="AH54" s="386">
        <f t="shared" ca="1" si="50"/>
        <v>0</v>
      </c>
      <c r="AI54" s="386">
        <f t="shared" ca="1" si="17"/>
        <v>0</v>
      </c>
      <c r="AJ54" s="380" t="str">
        <f ca="1">IF(AI54&lt;&gt;0,tpm(AI54,AH54,"s"),"")</f>
        <v/>
      </c>
      <c r="AK54" s="386">
        <f ca="1">IF(AI54&lt;&gt;0,tDiff(AI54,AH54,"s"), 0)</f>
        <v>0</v>
      </c>
      <c r="AL54" s="387">
        <f ca="1">IF(AI54=0,пропускСФ,MIN(tInt(AK54,"s")*отклонениеРД,пределРД))</f>
        <v>1800</v>
      </c>
      <c r="AM54" s="388">
        <f t="shared" ca="1" si="51"/>
        <v>0</v>
      </c>
      <c r="AN54" s="386">
        <f t="shared" ca="1" si="18"/>
        <v>0</v>
      </c>
      <c r="AO54" s="384" t="str">
        <f ca="1">IF(AND(AM54&lt;&gt;0,AN54&lt;&gt;0),tpm(AN54,AM54,"s"),"")</f>
        <v/>
      </c>
      <c r="AP54" s="386">
        <f ca="1">IF(AND(AM54&lt;&gt;0,AN54&lt;&gt;0),tDiff(AN54,AM54,"s"), 0)</f>
        <v>0</v>
      </c>
      <c r="AQ54" s="387">
        <f ca="1">IF(AM54=0,0,IF(AN54=0,пропускДС,MIN(tInt(AP54,"s")*отклонениеРД,пределРД)))</f>
        <v>0</v>
      </c>
      <c r="AR54" s="383">
        <f t="shared" ca="1" si="19"/>
        <v>0</v>
      </c>
      <c r="AS54" s="152">
        <f t="shared" ca="1" si="52"/>
        <v>0</v>
      </c>
      <c r="AT54" s="152">
        <f t="shared" ca="1" si="53"/>
        <v>0</v>
      </c>
      <c r="AU54" s="389">
        <f t="shared" ca="1" si="54"/>
        <v>0</v>
      </c>
      <c r="AV54" s="389">
        <f t="shared" ca="1" si="55"/>
        <v>0</v>
      </c>
      <c r="AW54" s="389">
        <f t="shared" ca="1" si="56"/>
        <v>0</v>
      </c>
      <c r="AX54" s="384">
        <f t="shared" ca="1" si="57"/>
        <v>0</v>
      </c>
      <c r="AY54" s="384">
        <f t="shared" ca="1" si="58"/>
        <v>0</v>
      </c>
      <c r="AZ54" s="387">
        <f t="shared" ca="1" si="68"/>
        <v>1800</v>
      </c>
      <c r="BA54" s="383">
        <f t="shared" ca="1" si="24"/>
        <v>0</v>
      </c>
      <c r="BB54" s="152">
        <f t="shared" ca="1" si="59"/>
        <v>0</v>
      </c>
      <c r="BC54" s="152">
        <f ca="1">IF(OR(BA54=0,BB54=0),0,tDiff(BB54,BA54))</f>
        <v>0</v>
      </c>
      <c r="BD54" s="386">
        <f t="shared" ca="1" si="60"/>
        <v>0</v>
      </c>
      <c r="BE54" s="386">
        <f t="shared" ca="1" si="27"/>
        <v>0</v>
      </c>
      <c r="BF54" s="380" t="str">
        <f ca="1">IF(BE54&lt;&gt;0,tpm(BE54,BD54,"s"),"")</f>
        <v/>
      </c>
      <c r="BG54" s="386">
        <f ca="1">IF(BE54&lt;&gt;0,tDiff(BE54,BD54,"s"), 0)</f>
        <v>0</v>
      </c>
      <c r="BH54" s="387">
        <f ca="1">IF(BE54=0,пропускСФ,MIN(tInt(BG54,"s")*отклонениеРД,пределРД))</f>
        <v>1800</v>
      </c>
      <c r="BI54" s="388">
        <f t="shared" ca="1" si="61"/>
        <v>0</v>
      </c>
      <c r="BJ54" s="386">
        <f t="shared" ca="1" si="28"/>
        <v>0</v>
      </c>
      <c r="BK54" s="384" t="str">
        <f ca="1">IF(BJ54&lt;&gt;0,tpm(BJ54,BI54,"s"),"")</f>
        <v/>
      </c>
      <c r="BL54" s="386">
        <f ca="1">IF(BJ54&lt;&gt;0,tDiff(BJ54,BI54,"s"), 0)</f>
        <v>0</v>
      </c>
      <c r="BM54" s="387">
        <f ca="1">IF(BJ54=0,пропускСФ,MIN(tInt(BL54,"s")*отклонениеРД,пределРД))</f>
        <v>1800</v>
      </c>
      <c r="BN54" s="388">
        <f t="shared" ca="1" si="62"/>
        <v>0</v>
      </c>
      <c r="BO54" s="386">
        <f t="shared" ca="1" si="29"/>
        <v>0</v>
      </c>
      <c r="BP54" s="384" t="str">
        <f ca="1">IF(AND(BO54&lt;&gt;0,BN54&lt;&gt;0),tpm(BO54,BN54,"s"),"")</f>
        <v/>
      </c>
      <c r="BQ54" s="386">
        <f ca="1">IF(AND(BO54&lt;&gt;0,BN54&lt;&gt;0),tDiff(BO54,BN54,"s"), 0)</f>
        <v>0</v>
      </c>
      <c r="BR54" s="387">
        <f ca="1">IF(BN54=0,0,IF(BO54=0,пропускДС,MIN(tInt(BQ54,"s")*отклонениеРД,пределРД)))</f>
        <v>0</v>
      </c>
      <c r="BS54" s="390">
        <f t="shared" ca="1" si="30"/>
        <v>0</v>
      </c>
      <c r="BT54" s="387">
        <f t="shared" ca="1" si="63"/>
        <v>0</v>
      </c>
      <c r="BU54" s="383">
        <f t="shared" ca="1" si="32"/>
        <v>0</v>
      </c>
      <c r="BV54" s="391">
        <f t="shared" ca="1" si="64"/>
        <v>900</v>
      </c>
      <c r="BW54" s="383">
        <f t="shared" ca="1" si="69"/>
        <v>0</v>
      </c>
      <c r="BX54" s="391">
        <f t="shared" ca="1" si="65"/>
        <v>900</v>
      </c>
      <c r="BY54" s="383">
        <f t="shared" ca="1" si="69"/>
        <v>0</v>
      </c>
      <c r="BZ54" s="391">
        <f t="shared" ca="1" si="66"/>
        <v>900</v>
      </c>
      <c r="CA54" s="383">
        <f ca="1">IF(L54&lt;&gt;0,tTrunc(L54+_ВКВ1/_КВ2Скорость/24),tTrunc(K54+_ВКВ1/_КВ2Скорость/24))</f>
        <v>0.60138887166976929</v>
      </c>
      <c r="CB54" s="152">
        <f t="shared" ca="1" si="67"/>
        <v>0</v>
      </c>
      <c r="CC54" s="152">
        <f>ROUNDUP(tInt(_ВКВ1/_КВ2Скорость/24)/10,0)/1440</f>
        <v>8.3333333333333332E-3</v>
      </c>
      <c r="CD54" s="384" t="str">
        <f ca="1">IF(AND(CB54&lt;&gt;0,CA54&lt;&gt;0),tpm(CB54,CA54),"")</f>
        <v/>
      </c>
      <c r="CE54" s="152">
        <f ca="1">IF(CB54&lt;&gt;0,tDiff(CB54,CA54), 0)</f>
        <v>0</v>
      </c>
      <c r="CF54" s="391">
        <f ca="1">IF(CB54&lt;&gt;0,IF(CD54="+",0,IF(CE54&gt;CC54,tInt(CE54-CC54)*опережениеКВ,0)),пропускКВ)</f>
        <v>900</v>
      </c>
    </row>
    <row r="55" spans="1:84" s="367" customFormat="1" hidden="1" x14ac:dyDescent="0.25">
      <c r="A55" s="586" t="str">
        <f>стартоваяВедомость!B56</f>
        <v/>
      </c>
      <c r="B55" s="355">
        <f t="shared" ca="1" si="0"/>
        <v>0</v>
      </c>
      <c r="C55" s="355">
        <f t="shared" ca="1" si="1"/>
        <v>0</v>
      </c>
      <c r="D55" s="355">
        <f t="shared" ca="1" si="2"/>
        <v>0</v>
      </c>
      <c r="E55" s="355">
        <f t="shared" ca="1" si="3"/>
        <v>0</v>
      </c>
      <c r="F55" s="355">
        <f t="shared" ca="1" si="4"/>
        <v>0</v>
      </c>
      <c r="G55" s="356" t="str">
        <f t="shared" si="37"/>
        <v/>
      </c>
      <c r="H55" s="356" t="str">
        <f t="shared" ca="1" si="38"/>
        <v>DNS</v>
      </c>
      <c r="I55" s="356">
        <f t="shared" ca="1" si="39"/>
        <v>7200</v>
      </c>
      <c r="J55" s="356">
        <f t="shared" ca="1" si="40"/>
        <v>0</v>
      </c>
      <c r="K55" s="357">
        <f t="shared" ca="1" si="6"/>
        <v>0.52013888888888882</v>
      </c>
      <c r="L55" s="358">
        <f t="shared" ca="1" si="41"/>
        <v>0</v>
      </c>
      <c r="M55" s="359" t="str">
        <f ca="1">IF(L55&lt;&gt;0,tpm(L55,K55),"")</f>
        <v/>
      </c>
      <c r="N55" s="358">
        <f ca="1">IF(L55&lt;&gt;0,tDiff(L55,K55), 0)</f>
        <v>0</v>
      </c>
      <c r="O55" s="360" t="str">
        <f ca="1">IF(L55&lt;&gt;0,IF(M55="+",MIN(tInt(N55)*опережениеКВ,пределКВ),tInt(N55)*опережениеКВ),"DNS")</f>
        <v>DNS</v>
      </c>
      <c r="P55" s="358">
        <f t="shared" si="8"/>
        <v>8.3333335816860199E-2</v>
      </c>
      <c r="Q55" s="358">
        <f t="shared" ca="1" si="42"/>
        <v>0</v>
      </c>
      <c r="R55" s="357">
        <f t="shared" ca="1" si="43"/>
        <v>0.60347222470574902</v>
      </c>
      <c r="S55" s="358">
        <f t="shared" ca="1" si="44"/>
        <v>0</v>
      </c>
      <c r="T55" s="359" t="str">
        <f ca="1">IF(S55&lt;&gt;0,tpm(S55,R55),"")</f>
        <v/>
      </c>
      <c r="U55" s="358">
        <f ca="1">IF(S55&lt;&gt;0,tDiff(S55,R55), 0)</f>
        <v>0</v>
      </c>
      <c r="V55" s="360">
        <f ca="1">IF(S55&lt;&gt;0,IF(T55="+",MIN(MAX(tInt(U55-Q55),0)*опережениеКВ,пределКВ),tInt(U55)*опережениеКВ),пропускКВ)</f>
        <v>900</v>
      </c>
      <c r="W55" s="358">
        <f t="shared" si="11"/>
        <v>8.3333335816860199E-2</v>
      </c>
      <c r="X55" s="358">
        <f t="shared" ca="1" si="45"/>
        <v>0</v>
      </c>
      <c r="Y55" s="358">
        <f t="shared" ca="1" si="46"/>
        <v>0</v>
      </c>
      <c r="Z55" s="357">
        <f t="shared" ca="1" si="47"/>
        <v>0.68680556052260922</v>
      </c>
      <c r="AA55" s="358">
        <f t="shared" ca="1" si="48"/>
        <v>0</v>
      </c>
      <c r="AB55" s="359" t="str">
        <f ca="1">IF(AA55&lt;&gt;0,tpm(AA55,Z55),"")</f>
        <v/>
      </c>
      <c r="AC55" s="358">
        <f ca="1">IF(AA55&lt;&gt;0,tDiff(AA55,Z55), 0)</f>
        <v>0</v>
      </c>
      <c r="AD55" s="360" t="str">
        <f ca="1">IF(AA55&lt;&gt;0,IF(AB55="+",MIN(MAX(tInt(AC55-Y55),0)*опережениеКВ,пределКВ),IF(tInt(AC55)&lt;=ROUNDUP(tInt(W55)*0.1,0),0,(tInt(AC55)-ROUNDUP(tInt(W55)*0.1,0))*опережениеКВ)),"DNF")</f>
        <v>DNF</v>
      </c>
      <c r="AE55" s="357">
        <f t="shared" ca="1" si="14"/>
        <v>0</v>
      </c>
      <c r="AF55" s="358">
        <f t="shared" ca="1" si="49"/>
        <v>0</v>
      </c>
      <c r="AG55" s="358">
        <f ca="1">IF(OR(AE55=0,AF55=0),0,tDiff(AF55,AE55))</f>
        <v>0</v>
      </c>
      <c r="AH55" s="362">
        <f t="shared" ca="1" si="50"/>
        <v>0</v>
      </c>
      <c r="AI55" s="362">
        <f t="shared" ca="1" si="17"/>
        <v>0</v>
      </c>
      <c r="AJ55" s="354" t="str">
        <f ca="1">IF(AI55&lt;&gt;0,tpm(AI55,AH55,"s"),"")</f>
        <v/>
      </c>
      <c r="AK55" s="362">
        <f ca="1">IF(AI55&lt;&gt;0,tDiff(AI55,AH55,"s"), 0)</f>
        <v>0</v>
      </c>
      <c r="AL55" s="363">
        <f ca="1">IF(AI55=0,пропускСФ,MIN(tInt(AK55,"s")*отклонениеРД,пределРД))</f>
        <v>1800</v>
      </c>
      <c r="AM55" s="364">
        <f t="shared" ca="1" si="51"/>
        <v>0</v>
      </c>
      <c r="AN55" s="362">
        <f t="shared" ca="1" si="18"/>
        <v>0</v>
      </c>
      <c r="AO55" s="359" t="str">
        <f ca="1">IF(AND(AM55&lt;&gt;0,AN55&lt;&gt;0),tpm(AN55,AM55,"s"),"")</f>
        <v/>
      </c>
      <c r="AP55" s="362">
        <f ca="1">IF(AND(AM55&lt;&gt;0,AN55&lt;&gt;0),tDiff(AN55,AM55,"s"), 0)</f>
        <v>0</v>
      </c>
      <c r="AQ55" s="363">
        <f ca="1">IF(AM55=0,0,IF(AN55=0,пропускДС,MIN(tInt(AP55,"s")*отклонениеРД,пределРД)))</f>
        <v>0</v>
      </c>
      <c r="AR55" s="357">
        <f t="shared" ca="1" si="19"/>
        <v>0</v>
      </c>
      <c r="AS55" s="358">
        <f t="shared" ca="1" si="52"/>
        <v>0</v>
      </c>
      <c r="AT55" s="358">
        <f t="shared" ca="1" si="53"/>
        <v>0</v>
      </c>
      <c r="AU55" s="365">
        <f t="shared" ca="1" si="54"/>
        <v>0</v>
      </c>
      <c r="AV55" s="365">
        <f t="shared" ca="1" si="55"/>
        <v>0</v>
      </c>
      <c r="AW55" s="365">
        <f t="shared" ca="1" si="56"/>
        <v>0</v>
      </c>
      <c r="AX55" s="359">
        <f t="shared" ca="1" si="57"/>
        <v>0</v>
      </c>
      <c r="AY55" s="359">
        <f t="shared" ca="1" si="58"/>
        <v>0</v>
      </c>
      <c r="AZ55" s="363">
        <f t="shared" ca="1" si="68"/>
        <v>1800</v>
      </c>
      <c r="BA55" s="357">
        <f t="shared" ca="1" si="24"/>
        <v>0</v>
      </c>
      <c r="BB55" s="358">
        <f t="shared" ca="1" si="59"/>
        <v>0</v>
      </c>
      <c r="BC55" s="358">
        <f ca="1">IF(OR(BA55=0,BB55=0),0,tDiff(BB55,BA55))</f>
        <v>0</v>
      </c>
      <c r="BD55" s="362">
        <f t="shared" ca="1" si="60"/>
        <v>0</v>
      </c>
      <c r="BE55" s="362">
        <f t="shared" ca="1" si="27"/>
        <v>0</v>
      </c>
      <c r="BF55" s="354" t="str">
        <f ca="1">IF(BE55&lt;&gt;0,tpm(BE55,BD55,"s"),"")</f>
        <v/>
      </c>
      <c r="BG55" s="362">
        <f ca="1">IF(BE55&lt;&gt;0,tDiff(BE55,BD55,"s"), 0)</f>
        <v>0</v>
      </c>
      <c r="BH55" s="363">
        <f ca="1">IF(BE55=0,пропускСФ,MIN(tInt(BG55,"s")*отклонениеРД,пределРД))</f>
        <v>1800</v>
      </c>
      <c r="BI55" s="364">
        <f t="shared" ca="1" si="61"/>
        <v>0</v>
      </c>
      <c r="BJ55" s="362">
        <f t="shared" ca="1" si="28"/>
        <v>0</v>
      </c>
      <c r="BK55" s="359" t="str">
        <f ca="1">IF(BJ55&lt;&gt;0,tpm(BJ55,BI55,"s"),"")</f>
        <v/>
      </c>
      <c r="BL55" s="362">
        <f ca="1">IF(BJ55&lt;&gt;0,tDiff(BJ55,BI55,"s"), 0)</f>
        <v>0</v>
      </c>
      <c r="BM55" s="363">
        <f ca="1">IF(BJ55=0,пропускСФ,MIN(tInt(BL55,"s")*отклонениеРД,пределРД))</f>
        <v>1800</v>
      </c>
      <c r="BN55" s="364">
        <f t="shared" ca="1" si="62"/>
        <v>0</v>
      </c>
      <c r="BO55" s="362">
        <f t="shared" ca="1" si="29"/>
        <v>0</v>
      </c>
      <c r="BP55" s="359" t="str">
        <f ca="1">IF(AND(BO55&lt;&gt;0,BN55&lt;&gt;0),tpm(BO55,BN55,"s"),"")</f>
        <v/>
      </c>
      <c r="BQ55" s="362">
        <f ca="1">IF(AND(BO55&lt;&gt;0,BN55&lt;&gt;0),tDiff(BO55,BN55,"s"), 0)</f>
        <v>0</v>
      </c>
      <c r="BR55" s="363">
        <f ca="1">IF(BN55=0,0,IF(BO55=0,пропускДС,MIN(tInt(BQ55,"s")*отклонениеРД,пределРД)))</f>
        <v>0</v>
      </c>
      <c r="BS55" s="366">
        <f t="shared" ca="1" si="30"/>
        <v>0</v>
      </c>
      <c r="BT55" s="363">
        <f t="shared" ca="1" si="63"/>
        <v>0</v>
      </c>
      <c r="BU55" s="357">
        <f t="shared" ca="1" si="32"/>
        <v>0</v>
      </c>
      <c r="BV55" s="361">
        <f t="shared" ca="1" si="64"/>
        <v>900</v>
      </c>
      <c r="BW55" s="357">
        <f t="shared" ca="1" si="69"/>
        <v>0</v>
      </c>
      <c r="BX55" s="361">
        <f t="shared" ca="1" si="65"/>
        <v>900</v>
      </c>
      <c r="BY55" s="357">
        <f t="shared" ca="1" si="69"/>
        <v>0</v>
      </c>
      <c r="BZ55" s="361">
        <f t="shared" ca="1" si="66"/>
        <v>900</v>
      </c>
      <c r="CA55" s="357">
        <f ca="1">IF(L55&lt;&gt;0,tTrunc(L55+_ВКВ1/_КВ2Скорость/24),tTrunc(K55+_ВКВ1/_КВ2Скорость/24))</f>
        <v>0.60138887166976929</v>
      </c>
      <c r="CB55" s="358">
        <f t="shared" ca="1" si="67"/>
        <v>0</v>
      </c>
      <c r="CC55" s="358">
        <f>ROUNDUP(tInt(_ВКВ1/_КВ2Скорость/24)/10,0)/1440</f>
        <v>8.3333333333333332E-3</v>
      </c>
      <c r="CD55" s="359" t="str">
        <f ca="1">IF(AND(CB55&lt;&gt;0,CA55&lt;&gt;0),tpm(CB55,CA55),"")</f>
        <v/>
      </c>
      <c r="CE55" s="358">
        <f ca="1">IF(CB55&lt;&gt;0,tDiff(CB55,CA55), 0)</f>
        <v>0</v>
      </c>
      <c r="CF55" s="361">
        <f ca="1">IF(CB55&lt;&gt;0,IF(CD55="+",0,IF(CE55&gt;CC55,tInt(CE55-CC55)*опережениеКВ,0)),пропускКВ)</f>
        <v>900</v>
      </c>
    </row>
    <row r="56" spans="1:84" s="22" customFormat="1" hidden="1" x14ac:dyDescent="0.25">
      <c r="A56" s="587" t="str">
        <f>стартоваяВедомость!B57</f>
        <v/>
      </c>
      <c r="B56" s="381">
        <f t="shared" ca="1" si="0"/>
        <v>0</v>
      </c>
      <c r="C56" s="381">
        <f t="shared" ca="1" si="1"/>
        <v>0</v>
      </c>
      <c r="D56" s="381">
        <f t="shared" ca="1" si="2"/>
        <v>0</v>
      </c>
      <c r="E56" s="381">
        <f t="shared" ca="1" si="3"/>
        <v>0</v>
      </c>
      <c r="F56" s="381">
        <f t="shared" ca="1" si="4"/>
        <v>0</v>
      </c>
      <c r="G56" s="382" t="str">
        <f t="shared" si="37"/>
        <v/>
      </c>
      <c r="H56" s="382" t="str">
        <f t="shared" ca="1" si="38"/>
        <v>DNS</v>
      </c>
      <c r="I56" s="382">
        <f t="shared" ca="1" si="39"/>
        <v>7200</v>
      </c>
      <c r="J56" s="382">
        <f t="shared" ca="1" si="40"/>
        <v>0</v>
      </c>
      <c r="K56" s="383">
        <f t="shared" ca="1" si="6"/>
        <v>0.52013888888888882</v>
      </c>
      <c r="L56" s="152">
        <f t="shared" ca="1" si="41"/>
        <v>0</v>
      </c>
      <c r="M56" s="384" t="str">
        <f ca="1">IF(L56&lt;&gt;0,tpm(L56,K56),"")</f>
        <v/>
      </c>
      <c r="N56" s="152">
        <f ca="1">IF(L56&lt;&gt;0,tDiff(L56,K56), 0)</f>
        <v>0</v>
      </c>
      <c r="O56" s="385" t="str">
        <f ca="1">IF(L56&lt;&gt;0,IF(M56="+",MIN(tInt(N56)*опережениеКВ,пределКВ),tInt(N56)*опережениеКВ),"DNS")</f>
        <v>DNS</v>
      </c>
      <c r="P56" s="152">
        <f t="shared" si="8"/>
        <v>8.3333335816860199E-2</v>
      </c>
      <c r="Q56" s="152">
        <f t="shared" ca="1" si="42"/>
        <v>0</v>
      </c>
      <c r="R56" s="383">
        <f t="shared" ca="1" si="43"/>
        <v>0.60347222470574902</v>
      </c>
      <c r="S56" s="152">
        <f t="shared" ca="1" si="44"/>
        <v>0</v>
      </c>
      <c r="T56" s="384" t="str">
        <f ca="1">IF(S56&lt;&gt;0,tpm(S56,R56),"")</f>
        <v/>
      </c>
      <c r="U56" s="152">
        <f ca="1">IF(S56&lt;&gt;0,tDiff(S56,R56), 0)</f>
        <v>0</v>
      </c>
      <c r="V56" s="385">
        <f ca="1">IF(S56&lt;&gt;0,IF(T56="+",MIN(MAX(tInt(U56-Q56),0)*опережениеКВ,пределКВ),tInt(U56)*опережениеКВ),пропускКВ)</f>
        <v>900</v>
      </c>
      <c r="W56" s="152">
        <f t="shared" si="11"/>
        <v>8.3333335816860199E-2</v>
      </c>
      <c r="X56" s="152">
        <f t="shared" ca="1" si="45"/>
        <v>0</v>
      </c>
      <c r="Y56" s="152">
        <f t="shared" ca="1" si="46"/>
        <v>0</v>
      </c>
      <c r="Z56" s="383">
        <f t="shared" ca="1" si="47"/>
        <v>0.68680556052260922</v>
      </c>
      <c r="AA56" s="152">
        <f t="shared" ca="1" si="48"/>
        <v>0</v>
      </c>
      <c r="AB56" s="384" t="str">
        <f ca="1">IF(AA56&lt;&gt;0,tpm(AA56,Z56),"")</f>
        <v/>
      </c>
      <c r="AC56" s="152">
        <f ca="1">IF(AA56&lt;&gt;0,tDiff(AA56,Z56), 0)</f>
        <v>0</v>
      </c>
      <c r="AD56" s="385" t="str">
        <f ca="1">IF(AA56&lt;&gt;0,IF(AB56="+",MIN(MAX(tInt(AC56-Y56),0)*опережениеКВ,пределКВ),IF(tInt(AC56)&lt;=ROUNDUP(tInt(W56)*0.1,0),0,(tInt(AC56)-ROUNDUP(tInt(W56)*0.1,0))*опережениеКВ)),"DNF")</f>
        <v>DNF</v>
      </c>
      <c r="AE56" s="383">
        <f t="shared" ca="1" si="14"/>
        <v>0</v>
      </c>
      <c r="AF56" s="152">
        <f t="shared" ca="1" si="49"/>
        <v>0</v>
      </c>
      <c r="AG56" s="152">
        <f ca="1">IF(OR(AE56=0,AF56=0),0,tDiff(AF56,AE56))</f>
        <v>0</v>
      </c>
      <c r="AH56" s="386">
        <f t="shared" ca="1" si="50"/>
        <v>0</v>
      </c>
      <c r="AI56" s="386">
        <f t="shared" ca="1" si="17"/>
        <v>0</v>
      </c>
      <c r="AJ56" s="380" t="str">
        <f ca="1">IF(AI56&lt;&gt;0,tpm(AI56,AH56,"s"),"")</f>
        <v/>
      </c>
      <c r="AK56" s="386">
        <f ca="1">IF(AI56&lt;&gt;0,tDiff(AI56,AH56,"s"), 0)</f>
        <v>0</v>
      </c>
      <c r="AL56" s="387">
        <f ca="1">IF(AI56=0,пропускСФ,MIN(tInt(AK56,"s")*отклонениеРД,пределРД))</f>
        <v>1800</v>
      </c>
      <c r="AM56" s="388">
        <f t="shared" ca="1" si="51"/>
        <v>0</v>
      </c>
      <c r="AN56" s="386">
        <f t="shared" ca="1" si="18"/>
        <v>0</v>
      </c>
      <c r="AO56" s="384" t="str">
        <f ca="1">IF(AND(AM56&lt;&gt;0,AN56&lt;&gt;0),tpm(AN56,AM56,"s"),"")</f>
        <v/>
      </c>
      <c r="AP56" s="386">
        <f ca="1">IF(AND(AM56&lt;&gt;0,AN56&lt;&gt;0),tDiff(AN56,AM56,"s"), 0)</f>
        <v>0</v>
      </c>
      <c r="AQ56" s="387">
        <f ca="1">IF(AM56=0,0,IF(AN56=0,пропускДС,MIN(tInt(AP56,"s")*отклонениеРД,пределРД)))</f>
        <v>0</v>
      </c>
      <c r="AR56" s="383">
        <f t="shared" ca="1" si="19"/>
        <v>0</v>
      </c>
      <c r="AS56" s="152">
        <f t="shared" ca="1" si="52"/>
        <v>0</v>
      </c>
      <c r="AT56" s="152">
        <f t="shared" ca="1" si="53"/>
        <v>0</v>
      </c>
      <c r="AU56" s="389">
        <f t="shared" ca="1" si="54"/>
        <v>0</v>
      </c>
      <c r="AV56" s="389">
        <f t="shared" ca="1" si="55"/>
        <v>0</v>
      </c>
      <c r="AW56" s="389">
        <f t="shared" ca="1" si="56"/>
        <v>0</v>
      </c>
      <c r="AX56" s="384">
        <f t="shared" ca="1" si="57"/>
        <v>0</v>
      </c>
      <c r="AY56" s="384">
        <f t="shared" ca="1" si="58"/>
        <v>0</v>
      </c>
      <c r="AZ56" s="387">
        <f t="shared" ca="1" si="68"/>
        <v>1800</v>
      </c>
      <c r="BA56" s="383">
        <f t="shared" ca="1" si="24"/>
        <v>0</v>
      </c>
      <c r="BB56" s="152">
        <f t="shared" ca="1" si="59"/>
        <v>0</v>
      </c>
      <c r="BC56" s="152">
        <f ca="1">IF(OR(BA56=0,BB56=0),0,tDiff(BB56,BA56))</f>
        <v>0</v>
      </c>
      <c r="BD56" s="386">
        <f t="shared" ca="1" si="60"/>
        <v>0</v>
      </c>
      <c r="BE56" s="386">
        <f t="shared" ca="1" si="27"/>
        <v>0</v>
      </c>
      <c r="BF56" s="380" t="str">
        <f ca="1">IF(BE56&lt;&gt;0,tpm(BE56,BD56,"s"),"")</f>
        <v/>
      </c>
      <c r="BG56" s="386">
        <f ca="1">IF(BE56&lt;&gt;0,tDiff(BE56,BD56,"s"), 0)</f>
        <v>0</v>
      </c>
      <c r="BH56" s="387">
        <f ca="1">IF(BE56=0,пропускСФ,MIN(tInt(BG56,"s")*отклонениеРД,пределРД))</f>
        <v>1800</v>
      </c>
      <c r="BI56" s="388">
        <f t="shared" ca="1" si="61"/>
        <v>0</v>
      </c>
      <c r="BJ56" s="386">
        <f t="shared" ca="1" si="28"/>
        <v>0</v>
      </c>
      <c r="BK56" s="384" t="str">
        <f ca="1">IF(BJ56&lt;&gt;0,tpm(BJ56,BI56,"s"),"")</f>
        <v/>
      </c>
      <c r="BL56" s="386">
        <f ca="1">IF(BJ56&lt;&gt;0,tDiff(BJ56,BI56,"s"), 0)</f>
        <v>0</v>
      </c>
      <c r="BM56" s="387">
        <f ca="1">IF(BJ56=0,пропускСФ,MIN(tInt(BL56,"s")*отклонениеРД,пределРД))</f>
        <v>1800</v>
      </c>
      <c r="BN56" s="388">
        <f t="shared" ca="1" si="62"/>
        <v>0</v>
      </c>
      <c r="BO56" s="386">
        <f t="shared" ca="1" si="29"/>
        <v>0</v>
      </c>
      <c r="BP56" s="384" t="str">
        <f ca="1">IF(AND(BO56&lt;&gt;0,BN56&lt;&gt;0),tpm(BO56,BN56,"s"),"")</f>
        <v/>
      </c>
      <c r="BQ56" s="386">
        <f ca="1">IF(AND(BO56&lt;&gt;0,BN56&lt;&gt;0),tDiff(BO56,BN56,"s"), 0)</f>
        <v>0</v>
      </c>
      <c r="BR56" s="387">
        <f ca="1">IF(BN56=0,0,IF(BO56=0,пропускДС,MIN(tInt(BQ56,"s")*отклонениеРД,пределРД)))</f>
        <v>0</v>
      </c>
      <c r="BS56" s="390">
        <f t="shared" ca="1" si="30"/>
        <v>0</v>
      </c>
      <c r="BT56" s="387">
        <f t="shared" ca="1" si="63"/>
        <v>0</v>
      </c>
      <c r="BU56" s="383">
        <f t="shared" ca="1" si="32"/>
        <v>0</v>
      </c>
      <c r="BV56" s="391">
        <f t="shared" ca="1" si="64"/>
        <v>900</v>
      </c>
      <c r="BW56" s="383">
        <f t="shared" ca="1" si="69"/>
        <v>0</v>
      </c>
      <c r="BX56" s="391">
        <f t="shared" ca="1" si="65"/>
        <v>900</v>
      </c>
      <c r="BY56" s="383">
        <f t="shared" ca="1" si="69"/>
        <v>0</v>
      </c>
      <c r="BZ56" s="391">
        <f t="shared" ca="1" si="66"/>
        <v>900</v>
      </c>
      <c r="CA56" s="383">
        <f ca="1">IF(L56&lt;&gt;0,tTrunc(L56+_ВКВ1/_КВ2Скорость/24),tTrunc(K56+_ВКВ1/_КВ2Скорость/24))</f>
        <v>0.60138887166976929</v>
      </c>
      <c r="CB56" s="152">
        <f t="shared" ca="1" si="67"/>
        <v>0</v>
      </c>
      <c r="CC56" s="152">
        <f>ROUNDUP(tInt(_ВКВ1/_КВ2Скорость/24)/10,0)/1440</f>
        <v>8.3333333333333332E-3</v>
      </c>
      <c r="CD56" s="384" t="str">
        <f ca="1">IF(AND(CB56&lt;&gt;0,CA56&lt;&gt;0),tpm(CB56,CA56),"")</f>
        <v/>
      </c>
      <c r="CE56" s="152">
        <f ca="1">IF(CB56&lt;&gt;0,tDiff(CB56,CA56), 0)</f>
        <v>0</v>
      </c>
      <c r="CF56" s="391">
        <f ca="1">IF(CB56&lt;&gt;0,IF(CD56="+",0,IF(CE56&gt;CC56,tInt(CE56-CC56)*опережениеКВ,0)),пропускКВ)</f>
        <v>900</v>
      </c>
    </row>
    <row r="57" spans="1:84" s="367" customFormat="1" hidden="1" x14ac:dyDescent="0.25">
      <c r="A57" s="586" t="str">
        <f>стартоваяВедомость!B58</f>
        <v/>
      </c>
      <c r="B57" s="355">
        <f t="shared" ca="1" si="0"/>
        <v>0</v>
      </c>
      <c r="C57" s="355">
        <f t="shared" ca="1" si="1"/>
        <v>0</v>
      </c>
      <c r="D57" s="355">
        <f t="shared" ca="1" si="2"/>
        <v>0</v>
      </c>
      <c r="E57" s="355">
        <f t="shared" ca="1" si="3"/>
        <v>0</v>
      </c>
      <c r="F57" s="355">
        <f t="shared" ca="1" si="4"/>
        <v>0</v>
      </c>
      <c r="G57" s="356" t="str">
        <f t="shared" si="37"/>
        <v/>
      </c>
      <c r="H57" s="356" t="str">
        <f t="shared" ca="1" si="38"/>
        <v>DNS</v>
      </c>
      <c r="I57" s="356">
        <f t="shared" ca="1" si="39"/>
        <v>7200</v>
      </c>
      <c r="J57" s="356">
        <f t="shared" ca="1" si="40"/>
        <v>0</v>
      </c>
      <c r="K57" s="357">
        <f t="shared" ca="1" si="6"/>
        <v>0.52013888888888882</v>
      </c>
      <c r="L57" s="358">
        <f t="shared" ca="1" si="41"/>
        <v>0</v>
      </c>
      <c r="M57" s="359" t="str">
        <f ca="1">IF(L57&lt;&gt;0,tpm(L57,K57),"")</f>
        <v/>
      </c>
      <c r="N57" s="358">
        <f ca="1">IF(L57&lt;&gt;0,tDiff(L57,K57), 0)</f>
        <v>0</v>
      </c>
      <c r="O57" s="360" t="str">
        <f ca="1">IF(L57&lt;&gt;0,IF(M57="+",MIN(tInt(N57)*опережениеКВ,пределКВ),tInt(N57)*опережениеКВ),"DNS")</f>
        <v>DNS</v>
      </c>
      <c r="P57" s="358">
        <f t="shared" si="8"/>
        <v>8.3333335816860199E-2</v>
      </c>
      <c r="Q57" s="358">
        <f t="shared" ca="1" si="42"/>
        <v>0</v>
      </c>
      <c r="R57" s="357">
        <f t="shared" ca="1" si="43"/>
        <v>0.60347222470574902</v>
      </c>
      <c r="S57" s="358">
        <f t="shared" ca="1" si="44"/>
        <v>0</v>
      </c>
      <c r="T57" s="359" t="str">
        <f ca="1">IF(S57&lt;&gt;0,tpm(S57,R57),"")</f>
        <v/>
      </c>
      <c r="U57" s="358">
        <f ca="1">IF(S57&lt;&gt;0,tDiff(S57,R57), 0)</f>
        <v>0</v>
      </c>
      <c r="V57" s="360">
        <f ca="1">IF(S57&lt;&gt;0,IF(T57="+",MIN(MAX(tInt(U57-Q57),0)*опережениеКВ,пределКВ),tInt(U57)*опережениеКВ),пропускКВ)</f>
        <v>900</v>
      </c>
      <c r="W57" s="358">
        <f t="shared" si="11"/>
        <v>8.3333335816860199E-2</v>
      </c>
      <c r="X57" s="358">
        <f t="shared" ca="1" si="45"/>
        <v>0</v>
      </c>
      <c r="Y57" s="358">
        <f t="shared" ca="1" si="46"/>
        <v>0</v>
      </c>
      <c r="Z57" s="357">
        <f t="shared" ca="1" si="47"/>
        <v>0.68680556052260922</v>
      </c>
      <c r="AA57" s="358">
        <f t="shared" ca="1" si="48"/>
        <v>0</v>
      </c>
      <c r="AB57" s="359" t="str">
        <f ca="1">IF(AA57&lt;&gt;0,tpm(AA57,Z57),"")</f>
        <v/>
      </c>
      <c r="AC57" s="358">
        <f ca="1">IF(AA57&lt;&gt;0,tDiff(AA57,Z57), 0)</f>
        <v>0</v>
      </c>
      <c r="AD57" s="360" t="str">
        <f ca="1">IF(AA57&lt;&gt;0,IF(AB57="+",MIN(MAX(tInt(AC57-Y57),0)*опережениеКВ,пределКВ),IF(tInt(AC57)&lt;=ROUNDUP(tInt(W57)*0.1,0),0,(tInt(AC57)-ROUNDUP(tInt(W57)*0.1,0))*опережениеКВ)),"DNF")</f>
        <v>DNF</v>
      </c>
      <c r="AE57" s="357">
        <f t="shared" ca="1" si="14"/>
        <v>0</v>
      </c>
      <c r="AF57" s="358">
        <f t="shared" ca="1" si="49"/>
        <v>0</v>
      </c>
      <c r="AG57" s="358">
        <f ca="1">IF(OR(AE57=0,AF57=0),0,tDiff(AF57,AE57))</f>
        <v>0</v>
      </c>
      <c r="AH57" s="362">
        <f t="shared" ca="1" si="50"/>
        <v>0</v>
      </c>
      <c r="AI57" s="362">
        <f t="shared" ca="1" si="17"/>
        <v>0</v>
      </c>
      <c r="AJ57" s="354" t="str">
        <f ca="1">IF(AI57&lt;&gt;0,tpm(AI57,AH57,"s"),"")</f>
        <v/>
      </c>
      <c r="AK57" s="362">
        <f ca="1">IF(AI57&lt;&gt;0,tDiff(AI57,AH57,"s"), 0)</f>
        <v>0</v>
      </c>
      <c r="AL57" s="363">
        <f ca="1">IF(AI57=0,пропускСФ,MIN(tInt(AK57,"s")*отклонениеРД,пределРД))</f>
        <v>1800</v>
      </c>
      <c r="AM57" s="364">
        <f t="shared" ca="1" si="51"/>
        <v>0</v>
      </c>
      <c r="AN57" s="362">
        <f t="shared" ca="1" si="18"/>
        <v>0</v>
      </c>
      <c r="AO57" s="359" t="str">
        <f ca="1">IF(AND(AM57&lt;&gt;0,AN57&lt;&gt;0),tpm(AN57,AM57,"s"),"")</f>
        <v/>
      </c>
      <c r="AP57" s="362">
        <f ca="1">IF(AND(AM57&lt;&gt;0,AN57&lt;&gt;0),tDiff(AN57,AM57,"s"), 0)</f>
        <v>0</v>
      </c>
      <c r="AQ57" s="363">
        <f ca="1">IF(AM57=0,0,IF(AN57=0,пропускДС,MIN(tInt(AP57,"s")*отклонениеРД,пределРД)))</f>
        <v>0</v>
      </c>
      <c r="AR57" s="357">
        <f t="shared" ca="1" si="19"/>
        <v>0</v>
      </c>
      <c r="AS57" s="358">
        <f t="shared" ca="1" si="52"/>
        <v>0</v>
      </c>
      <c r="AT57" s="358">
        <f t="shared" ca="1" si="53"/>
        <v>0</v>
      </c>
      <c r="AU57" s="365">
        <f t="shared" ca="1" si="54"/>
        <v>0</v>
      </c>
      <c r="AV57" s="365">
        <f t="shared" ca="1" si="55"/>
        <v>0</v>
      </c>
      <c r="AW57" s="365">
        <f t="shared" ca="1" si="56"/>
        <v>0</v>
      </c>
      <c r="AX57" s="359">
        <f t="shared" ca="1" si="57"/>
        <v>0</v>
      </c>
      <c r="AY57" s="359">
        <f t="shared" ca="1" si="58"/>
        <v>0</v>
      </c>
      <c r="AZ57" s="363">
        <f t="shared" ca="1" si="68"/>
        <v>1800</v>
      </c>
      <c r="BA57" s="357">
        <f t="shared" ca="1" si="24"/>
        <v>0</v>
      </c>
      <c r="BB57" s="358">
        <f t="shared" ca="1" si="59"/>
        <v>0</v>
      </c>
      <c r="BC57" s="358">
        <f ca="1">IF(OR(BA57=0,BB57=0),0,tDiff(BB57,BA57))</f>
        <v>0</v>
      </c>
      <c r="BD57" s="362">
        <f t="shared" ca="1" si="60"/>
        <v>0</v>
      </c>
      <c r="BE57" s="362">
        <f t="shared" ca="1" si="27"/>
        <v>0</v>
      </c>
      <c r="BF57" s="354" t="str">
        <f ca="1">IF(BE57&lt;&gt;0,tpm(BE57,BD57,"s"),"")</f>
        <v/>
      </c>
      <c r="BG57" s="362">
        <f ca="1">IF(BE57&lt;&gt;0,tDiff(BE57,BD57,"s"), 0)</f>
        <v>0</v>
      </c>
      <c r="BH57" s="363">
        <f ca="1">IF(BE57=0,пропускСФ,MIN(tInt(BG57,"s")*отклонениеРД,пределРД))</f>
        <v>1800</v>
      </c>
      <c r="BI57" s="364">
        <f t="shared" ca="1" si="61"/>
        <v>0</v>
      </c>
      <c r="BJ57" s="362">
        <f t="shared" ca="1" si="28"/>
        <v>0</v>
      </c>
      <c r="BK57" s="359" t="str">
        <f ca="1">IF(BJ57&lt;&gt;0,tpm(BJ57,BI57,"s"),"")</f>
        <v/>
      </c>
      <c r="BL57" s="362">
        <f ca="1">IF(BJ57&lt;&gt;0,tDiff(BJ57,BI57,"s"), 0)</f>
        <v>0</v>
      </c>
      <c r="BM57" s="363">
        <f ca="1">IF(BJ57=0,пропускСФ,MIN(tInt(BL57,"s")*отклонениеРД,пределРД))</f>
        <v>1800</v>
      </c>
      <c r="BN57" s="364">
        <f t="shared" ca="1" si="62"/>
        <v>0</v>
      </c>
      <c r="BO57" s="362">
        <f t="shared" ca="1" si="29"/>
        <v>0</v>
      </c>
      <c r="BP57" s="359" t="str">
        <f ca="1">IF(AND(BO57&lt;&gt;0,BN57&lt;&gt;0),tpm(BO57,BN57,"s"),"")</f>
        <v/>
      </c>
      <c r="BQ57" s="362">
        <f ca="1">IF(AND(BO57&lt;&gt;0,BN57&lt;&gt;0),tDiff(BO57,BN57,"s"), 0)</f>
        <v>0</v>
      </c>
      <c r="BR57" s="363">
        <f ca="1">IF(BN57=0,0,IF(BO57=0,пропускДС,MIN(tInt(BQ57,"s")*отклонениеРД,пределРД)))</f>
        <v>0</v>
      </c>
      <c r="BS57" s="366">
        <f t="shared" ca="1" si="30"/>
        <v>0</v>
      </c>
      <c r="BT57" s="363">
        <f t="shared" ca="1" si="63"/>
        <v>0</v>
      </c>
      <c r="BU57" s="357">
        <f t="shared" ca="1" si="32"/>
        <v>0</v>
      </c>
      <c r="BV57" s="361">
        <f t="shared" ca="1" si="64"/>
        <v>900</v>
      </c>
      <c r="BW57" s="357">
        <f t="shared" ca="1" si="69"/>
        <v>0</v>
      </c>
      <c r="BX57" s="361">
        <f t="shared" ca="1" si="65"/>
        <v>900</v>
      </c>
      <c r="BY57" s="357">
        <f t="shared" ca="1" si="69"/>
        <v>0</v>
      </c>
      <c r="BZ57" s="361">
        <f t="shared" ca="1" si="66"/>
        <v>900</v>
      </c>
      <c r="CA57" s="357">
        <f ca="1">IF(L57&lt;&gt;0,tTrunc(L57+_ВКВ1/_КВ2Скорость/24),tTrunc(K57+_ВКВ1/_КВ2Скорость/24))</f>
        <v>0.60138887166976929</v>
      </c>
      <c r="CB57" s="358">
        <f t="shared" ca="1" si="67"/>
        <v>0</v>
      </c>
      <c r="CC57" s="358">
        <f>ROUNDUP(tInt(_ВКВ1/_КВ2Скорость/24)/10,0)/1440</f>
        <v>8.3333333333333332E-3</v>
      </c>
      <c r="CD57" s="359" t="str">
        <f ca="1">IF(AND(CB57&lt;&gt;0,CA57&lt;&gt;0),tpm(CB57,CA57),"")</f>
        <v/>
      </c>
      <c r="CE57" s="358">
        <f ca="1">IF(CB57&lt;&gt;0,tDiff(CB57,CA57), 0)</f>
        <v>0</v>
      </c>
      <c r="CF57" s="361">
        <f ca="1">IF(CB57&lt;&gt;0,IF(CD57="+",0,IF(CE57&gt;CC57,tInt(CE57-CC57)*опережениеКВ,0)),пропускКВ)</f>
        <v>900</v>
      </c>
    </row>
    <row r="58" spans="1:84" s="22" customFormat="1" hidden="1" x14ac:dyDescent="0.25">
      <c r="A58" s="587" t="str">
        <f>стартоваяВедомость!B59</f>
        <v/>
      </c>
      <c r="B58" s="381">
        <f t="shared" ca="1" si="0"/>
        <v>0</v>
      </c>
      <c r="C58" s="381">
        <f t="shared" ca="1" si="1"/>
        <v>0</v>
      </c>
      <c r="D58" s="381">
        <f t="shared" ca="1" si="2"/>
        <v>0</v>
      </c>
      <c r="E58" s="381">
        <f t="shared" ca="1" si="3"/>
        <v>0</v>
      </c>
      <c r="F58" s="381">
        <f t="shared" ca="1" si="4"/>
        <v>0</v>
      </c>
      <c r="G58" s="382" t="str">
        <f t="shared" si="37"/>
        <v/>
      </c>
      <c r="H58" s="382" t="str">
        <f t="shared" ca="1" si="38"/>
        <v>DNS</v>
      </c>
      <c r="I58" s="382">
        <f t="shared" ca="1" si="39"/>
        <v>7200</v>
      </c>
      <c r="J58" s="382">
        <f t="shared" ca="1" si="40"/>
        <v>0</v>
      </c>
      <c r="K58" s="383">
        <f t="shared" ca="1" si="6"/>
        <v>0.52013888888888882</v>
      </c>
      <c r="L58" s="152">
        <f t="shared" ca="1" si="41"/>
        <v>0</v>
      </c>
      <c r="M58" s="384" t="str">
        <f ca="1">IF(L58&lt;&gt;0,tpm(L58,K58),"")</f>
        <v/>
      </c>
      <c r="N58" s="152">
        <f ca="1">IF(L58&lt;&gt;0,tDiff(L58,K58), 0)</f>
        <v>0</v>
      </c>
      <c r="O58" s="385" t="str">
        <f ca="1">IF(L58&lt;&gt;0,IF(M58="+",MIN(tInt(N58)*опережениеКВ,пределКВ),tInt(N58)*опережениеКВ),"DNS")</f>
        <v>DNS</v>
      </c>
      <c r="P58" s="152">
        <f t="shared" si="8"/>
        <v>8.3333335816860199E-2</v>
      </c>
      <c r="Q58" s="152">
        <f t="shared" ca="1" si="42"/>
        <v>0</v>
      </c>
      <c r="R58" s="383">
        <f t="shared" ca="1" si="43"/>
        <v>0.60347222470574902</v>
      </c>
      <c r="S58" s="152">
        <f t="shared" ca="1" si="44"/>
        <v>0</v>
      </c>
      <c r="T58" s="384" t="str">
        <f ca="1">IF(S58&lt;&gt;0,tpm(S58,R58),"")</f>
        <v/>
      </c>
      <c r="U58" s="152">
        <f ca="1">IF(S58&lt;&gt;0,tDiff(S58,R58), 0)</f>
        <v>0</v>
      </c>
      <c r="V58" s="385">
        <f ca="1">IF(S58&lt;&gt;0,IF(T58="+",MIN(MAX(tInt(U58-Q58),0)*опережениеКВ,пределКВ),tInt(U58)*опережениеКВ),пропускКВ)</f>
        <v>900</v>
      </c>
      <c r="W58" s="152">
        <f t="shared" si="11"/>
        <v>8.3333335816860199E-2</v>
      </c>
      <c r="X58" s="152">
        <f t="shared" ca="1" si="45"/>
        <v>0</v>
      </c>
      <c r="Y58" s="152">
        <f t="shared" ca="1" si="46"/>
        <v>0</v>
      </c>
      <c r="Z58" s="383">
        <f t="shared" ca="1" si="47"/>
        <v>0.68680556052260922</v>
      </c>
      <c r="AA58" s="152">
        <f t="shared" ca="1" si="48"/>
        <v>0</v>
      </c>
      <c r="AB58" s="384" t="str">
        <f ca="1">IF(AA58&lt;&gt;0,tpm(AA58,Z58),"")</f>
        <v/>
      </c>
      <c r="AC58" s="152">
        <f ca="1">IF(AA58&lt;&gt;0,tDiff(AA58,Z58), 0)</f>
        <v>0</v>
      </c>
      <c r="AD58" s="385" t="str">
        <f ca="1">IF(AA58&lt;&gt;0,IF(AB58="+",MIN(MAX(tInt(AC58-Y58),0)*опережениеКВ,пределКВ),IF(tInt(AC58)&lt;=ROUNDUP(tInt(W58)*0.1,0),0,(tInt(AC58)-ROUNDUP(tInt(W58)*0.1,0))*опережениеКВ)),"DNF")</f>
        <v>DNF</v>
      </c>
      <c r="AE58" s="383">
        <f t="shared" ca="1" si="14"/>
        <v>0</v>
      </c>
      <c r="AF58" s="152">
        <f t="shared" ca="1" si="49"/>
        <v>0</v>
      </c>
      <c r="AG58" s="152">
        <f ca="1">IF(OR(AE58=0,AF58=0),0,tDiff(AF58,AE58))</f>
        <v>0</v>
      </c>
      <c r="AH58" s="386">
        <f t="shared" ca="1" si="50"/>
        <v>0</v>
      </c>
      <c r="AI58" s="386">
        <f t="shared" ca="1" si="17"/>
        <v>0</v>
      </c>
      <c r="AJ58" s="380" t="str">
        <f ca="1">IF(AI58&lt;&gt;0,tpm(AI58,AH58,"s"),"")</f>
        <v/>
      </c>
      <c r="AK58" s="386">
        <f ca="1">IF(AI58&lt;&gt;0,tDiff(AI58,AH58,"s"), 0)</f>
        <v>0</v>
      </c>
      <c r="AL58" s="387">
        <f ca="1">IF(AI58=0,пропускСФ,MIN(tInt(AK58,"s")*отклонениеРД,пределРД))</f>
        <v>1800</v>
      </c>
      <c r="AM58" s="388">
        <f t="shared" ca="1" si="51"/>
        <v>0</v>
      </c>
      <c r="AN58" s="386">
        <f t="shared" ca="1" si="18"/>
        <v>0</v>
      </c>
      <c r="AO58" s="384" t="str">
        <f ca="1">IF(AND(AM58&lt;&gt;0,AN58&lt;&gt;0),tpm(AN58,AM58,"s"),"")</f>
        <v/>
      </c>
      <c r="AP58" s="386">
        <f ca="1">IF(AND(AM58&lt;&gt;0,AN58&lt;&gt;0),tDiff(AN58,AM58,"s"), 0)</f>
        <v>0</v>
      </c>
      <c r="AQ58" s="387">
        <f ca="1">IF(AM58=0,0,IF(AN58=0,пропускДС,MIN(tInt(AP58,"s")*отклонениеРД,пределРД)))</f>
        <v>0</v>
      </c>
      <c r="AR58" s="383">
        <f t="shared" ca="1" si="19"/>
        <v>0</v>
      </c>
      <c r="AS58" s="152">
        <f t="shared" ca="1" si="52"/>
        <v>0</v>
      </c>
      <c r="AT58" s="152">
        <f t="shared" ca="1" si="53"/>
        <v>0</v>
      </c>
      <c r="AU58" s="389">
        <f t="shared" ca="1" si="54"/>
        <v>0</v>
      </c>
      <c r="AV58" s="389">
        <f t="shared" ca="1" si="55"/>
        <v>0</v>
      </c>
      <c r="AW58" s="389">
        <f t="shared" ca="1" si="56"/>
        <v>0</v>
      </c>
      <c r="AX58" s="384">
        <f t="shared" ca="1" si="57"/>
        <v>0</v>
      </c>
      <c r="AY58" s="384">
        <f t="shared" ca="1" si="58"/>
        <v>0</v>
      </c>
      <c r="AZ58" s="387">
        <f t="shared" ca="1" si="68"/>
        <v>1800</v>
      </c>
      <c r="BA58" s="383">
        <f t="shared" ca="1" si="24"/>
        <v>0</v>
      </c>
      <c r="BB58" s="152">
        <f t="shared" ca="1" si="59"/>
        <v>0</v>
      </c>
      <c r="BC58" s="152">
        <f ca="1">IF(OR(BA58=0,BB58=0),0,tDiff(BB58,BA58))</f>
        <v>0</v>
      </c>
      <c r="BD58" s="386">
        <f t="shared" ca="1" si="60"/>
        <v>0</v>
      </c>
      <c r="BE58" s="386">
        <f t="shared" ca="1" si="27"/>
        <v>0</v>
      </c>
      <c r="BF58" s="380" t="str">
        <f ca="1">IF(BE58&lt;&gt;0,tpm(BE58,BD58,"s"),"")</f>
        <v/>
      </c>
      <c r="BG58" s="386">
        <f ca="1">IF(BE58&lt;&gt;0,tDiff(BE58,BD58,"s"), 0)</f>
        <v>0</v>
      </c>
      <c r="BH58" s="387">
        <f ca="1">IF(BE58=0,пропускСФ,MIN(tInt(BG58,"s")*отклонениеРД,пределРД))</f>
        <v>1800</v>
      </c>
      <c r="BI58" s="388">
        <f t="shared" ca="1" si="61"/>
        <v>0</v>
      </c>
      <c r="BJ58" s="386">
        <f t="shared" ca="1" si="28"/>
        <v>0</v>
      </c>
      <c r="BK58" s="384" t="str">
        <f ca="1">IF(BJ58&lt;&gt;0,tpm(BJ58,BI58,"s"),"")</f>
        <v/>
      </c>
      <c r="BL58" s="386">
        <f ca="1">IF(BJ58&lt;&gt;0,tDiff(BJ58,BI58,"s"), 0)</f>
        <v>0</v>
      </c>
      <c r="BM58" s="387">
        <f ca="1">IF(BJ58=0,пропускСФ,MIN(tInt(BL58,"s")*отклонениеРД,пределРД))</f>
        <v>1800</v>
      </c>
      <c r="BN58" s="388">
        <f t="shared" ca="1" si="62"/>
        <v>0</v>
      </c>
      <c r="BO58" s="386">
        <f t="shared" ca="1" si="29"/>
        <v>0</v>
      </c>
      <c r="BP58" s="384" t="str">
        <f ca="1">IF(AND(BO58&lt;&gt;0,BN58&lt;&gt;0),tpm(BO58,BN58,"s"),"")</f>
        <v/>
      </c>
      <c r="BQ58" s="386">
        <f ca="1">IF(AND(BO58&lt;&gt;0,BN58&lt;&gt;0),tDiff(BO58,BN58,"s"), 0)</f>
        <v>0</v>
      </c>
      <c r="BR58" s="387">
        <f ca="1">IF(BN58=0,0,IF(BO58=0,пропускДС,MIN(tInt(BQ58,"s")*отклонениеРД,пределРД)))</f>
        <v>0</v>
      </c>
      <c r="BS58" s="390">
        <f t="shared" ca="1" si="30"/>
        <v>0</v>
      </c>
      <c r="BT58" s="387">
        <f t="shared" ca="1" si="63"/>
        <v>0</v>
      </c>
      <c r="BU58" s="383">
        <f t="shared" ca="1" si="32"/>
        <v>0</v>
      </c>
      <c r="BV58" s="391">
        <f t="shared" ca="1" si="64"/>
        <v>900</v>
      </c>
      <c r="BW58" s="383">
        <f t="shared" ca="1" si="69"/>
        <v>0</v>
      </c>
      <c r="BX58" s="391">
        <f t="shared" ca="1" si="65"/>
        <v>900</v>
      </c>
      <c r="BY58" s="383">
        <f t="shared" ca="1" si="69"/>
        <v>0</v>
      </c>
      <c r="BZ58" s="391">
        <f t="shared" ca="1" si="66"/>
        <v>900</v>
      </c>
      <c r="CA58" s="383">
        <f ca="1">IF(L58&lt;&gt;0,tTrunc(L58+_ВКВ1/_КВ2Скорость/24),tTrunc(K58+_ВКВ1/_КВ2Скорость/24))</f>
        <v>0.60138887166976929</v>
      </c>
      <c r="CB58" s="152">
        <f t="shared" ca="1" si="67"/>
        <v>0</v>
      </c>
      <c r="CC58" s="152">
        <f>ROUNDUP(tInt(_ВКВ1/_КВ2Скорость/24)/10,0)/1440</f>
        <v>8.3333333333333332E-3</v>
      </c>
      <c r="CD58" s="384" t="str">
        <f ca="1">IF(AND(CB58&lt;&gt;0,CA58&lt;&gt;0),tpm(CB58,CA58),"")</f>
        <v/>
      </c>
      <c r="CE58" s="152">
        <f ca="1">IF(CB58&lt;&gt;0,tDiff(CB58,CA58), 0)</f>
        <v>0</v>
      </c>
      <c r="CF58" s="391">
        <f ca="1">IF(CB58&lt;&gt;0,IF(CD58="+",0,IF(CE58&gt;CC58,tInt(CE58-CC58)*опережениеКВ,0)),пропускКВ)</f>
        <v>900</v>
      </c>
    </row>
    <row r="59" spans="1:84" s="367" customFormat="1" hidden="1" x14ac:dyDescent="0.25">
      <c r="A59" s="586" t="str">
        <f>стартоваяВедомость!B60</f>
        <v/>
      </c>
      <c r="B59" s="355">
        <f t="shared" ca="1" si="0"/>
        <v>0</v>
      </c>
      <c r="C59" s="355">
        <f t="shared" ca="1" si="1"/>
        <v>0</v>
      </c>
      <c r="D59" s="355">
        <f t="shared" ca="1" si="2"/>
        <v>0</v>
      </c>
      <c r="E59" s="355">
        <f t="shared" ca="1" si="3"/>
        <v>0</v>
      </c>
      <c r="F59" s="355">
        <f t="shared" ca="1" si="4"/>
        <v>0</v>
      </c>
      <c r="G59" s="356" t="str">
        <f t="shared" si="37"/>
        <v/>
      </c>
      <c r="H59" s="356" t="str">
        <f t="shared" ca="1" si="38"/>
        <v>DNS</v>
      </c>
      <c r="I59" s="356">
        <f t="shared" ca="1" si="39"/>
        <v>7200</v>
      </c>
      <c r="J59" s="356">
        <f t="shared" ca="1" si="40"/>
        <v>0</v>
      </c>
      <c r="K59" s="357">
        <f t="shared" ca="1" si="6"/>
        <v>0.52013888888888882</v>
      </c>
      <c r="L59" s="358">
        <f t="shared" ca="1" si="41"/>
        <v>0</v>
      </c>
      <c r="M59" s="359" t="str">
        <f ca="1">IF(L59&lt;&gt;0,tpm(L59,K59),"")</f>
        <v/>
      </c>
      <c r="N59" s="358">
        <f ca="1">IF(L59&lt;&gt;0,tDiff(L59,K59), 0)</f>
        <v>0</v>
      </c>
      <c r="O59" s="360" t="str">
        <f ca="1">IF(L59&lt;&gt;0,IF(M59="+",MIN(tInt(N59)*опережениеКВ,пределКВ),tInt(N59)*опережениеКВ),"DNS")</f>
        <v>DNS</v>
      </c>
      <c r="P59" s="358">
        <f t="shared" si="8"/>
        <v>8.3333335816860199E-2</v>
      </c>
      <c r="Q59" s="358">
        <f t="shared" ca="1" si="42"/>
        <v>0</v>
      </c>
      <c r="R59" s="357">
        <f t="shared" ca="1" si="43"/>
        <v>0.60347222470574902</v>
      </c>
      <c r="S59" s="358">
        <f t="shared" ca="1" si="44"/>
        <v>0</v>
      </c>
      <c r="T59" s="359" t="str">
        <f ca="1">IF(S59&lt;&gt;0,tpm(S59,R59),"")</f>
        <v/>
      </c>
      <c r="U59" s="358">
        <f ca="1">IF(S59&lt;&gt;0,tDiff(S59,R59), 0)</f>
        <v>0</v>
      </c>
      <c r="V59" s="360">
        <f ca="1">IF(S59&lt;&gt;0,IF(T59="+",MIN(MAX(tInt(U59-Q59),0)*опережениеКВ,пределКВ),tInt(U59)*опережениеКВ),пропускКВ)</f>
        <v>900</v>
      </c>
      <c r="W59" s="358">
        <f t="shared" si="11"/>
        <v>8.3333335816860199E-2</v>
      </c>
      <c r="X59" s="358">
        <f t="shared" ca="1" si="45"/>
        <v>0</v>
      </c>
      <c r="Y59" s="358">
        <f t="shared" ca="1" si="46"/>
        <v>0</v>
      </c>
      <c r="Z59" s="357">
        <f t="shared" ca="1" si="47"/>
        <v>0.68680556052260922</v>
      </c>
      <c r="AA59" s="358">
        <f t="shared" ca="1" si="48"/>
        <v>0</v>
      </c>
      <c r="AB59" s="359" t="str">
        <f ca="1">IF(AA59&lt;&gt;0,tpm(AA59,Z59),"")</f>
        <v/>
      </c>
      <c r="AC59" s="358">
        <f ca="1">IF(AA59&lt;&gt;0,tDiff(AA59,Z59), 0)</f>
        <v>0</v>
      </c>
      <c r="AD59" s="360" t="str">
        <f ca="1">IF(AA59&lt;&gt;0,IF(AB59="+",MIN(MAX(tInt(AC59-Y59),0)*опережениеКВ,пределКВ),IF(tInt(AC59)&lt;=ROUNDUP(tInt(W59)*0.1,0),0,(tInt(AC59)-ROUNDUP(tInt(W59)*0.1,0))*опережениеКВ)),"DNF")</f>
        <v>DNF</v>
      </c>
      <c r="AE59" s="357">
        <f t="shared" ca="1" si="14"/>
        <v>0</v>
      </c>
      <c r="AF59" s="358">
        <f t="shared" ca="1" si="49"/>
        <v>0</v>
      </c>
      <c r="AG59" s="358">
        <f ca="1">IF(OR(AE59=0,AF59=0),0,tDiff(AF59,AE59))</f>
        <v>0</v>
      </c>
      <c r="AH59" s="362">
        <f t="shared" ca="1" si="50"/>
        <v>0</v>
      </c>
      <c r="AI59" s="362">
        <f t="shared" ca="1" si="17"/>
        <v>0</v>
      </c>
      <c r="AJ59" s="354" t="str">
        <f ca="1">IF(AI59&lt;&gt;0,tpm(AI59,AH59,"s"),"")</f>
        <v/>
      </c>
      <c r="AK59" s="362">
        <f ca="1">IF(AI59&lt;&gt;0,tDiff(AI59,AH59,"s"), 0)</f>
        <v>0</v>
      </c>
      <c r="AL59" s="363">
        <f ca="1">IF(AI59=0,пропускСФ,MIN(tInt(AK59,"s")*отклонениеРД,пределРД))</f>
        <v>1800</v>
      </c>
      <c r="AM59" s="364">
        <f t="shared" ca="1" si="51"/>
        <v>0</v>
      </c>
      <c r="AN59" s="362">
        <f t="shared" ca="1" si="18"/>
        <v>0</v>
      </c>
      <c r="AO59" s="359" t="str">
        <f ca="1">IF(AND(AM59&lt;&gt;0,AN59&lt;&gt;0),tpm(AN59,AM59,"s"),"")</f>
        <v/>
      </c>
      <c r="AP59" s="362">
        <f ca="1">IF(AND(AM59&lt;&gt;0,AN59&lt;&gt;0),tDiff(AN59,AM59,"s"), 0)</f>
        <v>0</v>
      </c>
      <c r="AQ59" s="363">
        <f ca="1">IF(AM59=0,0,IF(AN59=0,пропускДС,MIN(tInt(AP59,"s")*отклонениеРД,пределРД)))</f>
        <v>0</v>
      </c>
      <c r="AR59" s="357">
        <f t="shared" ca="1" si="19"/>
        <v>0</v>
      </c>
      <c r="AS59" s="358">
        <f t="shared" ca="1" si="52"/>
        <v>0</v>
      </c>
      <c r="AT59" s="358">
        <f t="shared" ca="1" si="53"/>
        <v>0</v>
      </c>
      <c r="AU59" s="365">
        <f t="shared" ca="1" si="54"/>
        <v>0</v>
      </c>
      <c r="AV59" s="365">
        <f t="shared" ca="1" si="55"/>
        <v>0</v>
      </c>
      <c r="AW59" s="365">
        <f t="shared" ca="1" si="56"/>
        <v>0</v>
      </c>
      <c r="AX59" s="359">
        <f t="shared" ca="1" si="57"/>
        <v>0</v>
      </c>
      <c r="AY59" s="359">
        <f t="shared" ca="1" si="58"/>
        <v>0</v>
      </c>
      <c r="AZ59" s="363">
        <f t="shared" ca="1" si="68"/>
        <v>1800</v>
      </c>
      <c r="BA59" s="357">
        <f t="shared" ca="1" si="24"/>
        <v>0</v>
      </c>
      <c r="BB59" s="358">
        <f t="shared" ca="1" si="59"/>
        <v>0</v>
      </c>
      <c r="BC59" s="358">
        <f ca="1">IF(OR(BA59=0,BB59=0),0,tDiff(BB59,BA59))</f>
        <v>0</v>
      </c>
      <c r="BD59" s="362">
        <f t="shared" ca="1" si="60"/>
        <v>0</v>
      </c>
      <c r="BE59" s="362">
        <f t="shared" ca="1" si="27"/>
        <v>0</v>
      </c>
      <c r="BF59" s="354" t="str">
        <f ca="1">IF(BE59&lt;&gt;0,tpm(BE59,BD59,"s"),"")</f>
        <v/>
      </c>
      <c r="BG59" s="362">
        <f ca="1">IF(BE59&lt;&gt;0,tDiff(BE59,BD59,"s"), 0)</f>
        <v>0</v>
      </c>
      <c r="BH59" s="363">
        <f ca="1">IF(BE59=0,пропускСФ,MIN(tInt(BG59,"s")*отклонениеРД,пределРД))</f>
        <v>1800</v>
      </c>
      <c r="BI59" s="364">
        <f t="shared" ca="1" si="61"/>
        <v>0</v>
      </c>
      <c r="BJ59" s="362">
        <f t="shared" ca="1" si="28"/>
        <v>0</v>
      </c>
      <c r="BK59" s="359" t="str">
        <f ca="1">IF(BJ59&lt;&gt;0,tpm(BJ59,BI59,"s"),"")</f>
        <v/>
      </c>
      <c r="BL59" s="362">
        <f ca="1">IF(BJ59&lt;&gt;0,tDiff(BJ59,BI59,"s"), 0)</f>
        <v>0</v>
      </c>
      <c r="BM59" s="363">
        <f ca="1">IF(BJ59=0,пропускСФ,MIN(tInt(BL59,"s")*отклонениеРД,пределРД))</f>
        <v>1800</v>
      </c>
      <c r="BN59" s="364">
        <f t="shared" ca="1" si="62"/>
        <v>0</v>
      </c>
      <c r="BO59" s="362">
        <f t="shared" ca="1" si="29"/>
        <v>0</v>
      </c>
      <c r="BP59" s="359" t="str">
        <f ca="1">IF(AND(BO59&lt;&gt;0,BN59&lt;&gt;0),tpm(BO59,BN59,"s"),"")</f>
        <v/>
      </c>
      <c r="BQ59" s="362">
        <f ca="1">IF(AND(BO59&lt;&gt;0,BN59&lt;&gt;0),tDiff(BO59,BN59,"s"), 0)</f>
        <v>0</v>
      </c>
      <c r="BR59" s="363">
        <f ca="1">IF(BN59=0,0,IF(BO59=0,пропускДС,MIN(tInt(BQ59,"s")*отклонениеРД,пределРД)))</f>
        <v>0</v>
      </c>
      <c r="BS59" s="366">
        <f t="shared" ca="1" si="30"/>
        <v>0</v>
      </c>
      <c r="BT59" s="363">
        <f t="shared" ca="1" si="63"/>
        <v>0</v>
      </c>
      <c r="BU59" s="357">
        <f t="shared" ca="1" si="32"/>
        <v>0</v>
      </c>
      <c r="BV59" s="361">
        <f t="shared" ca="1" si="64"/>
        <v>900</v>
      </c>
      <c r="BW59" s="357">
        <f t="shared" ca="1" si="69"/>
        <v>0</v>
      </c>
      <c r="BX59" s="361">
        <f t="shared" ca="1" si="65"/>
        <v>900</v>
      </c>
      <c r="BY59" s="357">
        <f t="shared" ca="1" si="69"/>
        <v>0</v>
      </c>
      <c r="BZ59" s="361">
        <f t="shared" ca="1" si="66"/>
        <v>900</v>
      </c>
      <c r="CA59" s="357">
        <f ca="1">IF(L59&lt;&gt;0,tTrunc(L59+_ВКВ1/_КВ2Скорость/24),tTrunc(K59+_ВКВ1/_КВ2Скорость/24))</f>
        <v>0.60138887166976929</v>
      </c>
      <c r="CB59" s="358">
        <f t="shared" ca="1" si="67"/>
        <v>0</v>
      </c>
      <c r="CC59" s="358">
        <f>ROUNDUP(tInt(_ВКВ1/_КВ2Скорость/24)/10,0)/1440</f>
        <v>8.3333333333333332E-3</v>
      </c>
      <c r="CD59" s="359" t="str">
        <f ca="1">IF(AND(CB59&lt;&gt;0,CA59&lt;&gt;0),tpm(CB59,CA59),"")</f>
        <v/>
      </c>
      <c r="CE59" s="358">
        <f ca="1">IF(CB59&lt;&gt;0,tDiff(CB59,CA59), 0)</f>
        <v>0</v>
      </c>
      <c r="CF59" s="361">
        <f ca="1">IF(CB59&lt;&gt;0,IF(CD59="+",0,IF(CE59&gt;CC59,tInt(CE59-CC59)*опережениеКВ,0)),пропускКВ)</f>
        <v>900</v>
      </c>
    </row>
    <row r="60" spans="1:84" s="22" customFormat="1" hidden="1" x14ac:dyDescent="0.25">
      <c r="A60" s="587" t="str">
        <f>стартоваяВедомость!B61</f>
        <v/>
      </c>
      <c r="B60" s="381">
        <f t="shared" ca="1" si="0"/>
        <v>0</v>
      </c>
      <c r="C60" s="381">
        <f t="shared" ca="1" si="1"/>
        <v>0</v>
      </c>
      <c r="D60" s="381">
        <f t="shared" ca="1" si="2"/>
        <v>0</v>
      </c>
      <c r="E60" s="381">
        <f t="shared" ca="1" si="3"/>
        <v>0</v>
      </c>
      <c r="F60" s="381">
        <f t="shared" ca="1" si="4"/>
        <v>0</v>
      </c>
      <c r="G60" s="382" t="str">
        <f t="shared" si="37"/>
        <v/>
      </c>
      <c r="H60" s="382" t="str">
        <f t="shared" ca="1" si="38"/>
        <v>DNS</v>
      </c>
      <c r="I60" s="382">
        <f t="shared" ca="1" si="39"/>
        <v>7200</v>
      </c>
      <c r="J60" s="382">
        <f t="shared" ca="1" si="40"/>
        <v>0</v>
      </c>
      <c r="K60" s="383">
        <f t="shared" ca="1" si="6"/>
        <v>0.52013888888888882</v>
      </c>
      <c r="L60" s="152">
        <f t="shared" ca="1" si="41"/>
        <v>0</v>
      </c>
      <c r="M60" s="384" t="str">
        <f ca="1">IF(L60&lt;&gt;0,tpm(L60,K60),"")</f>
        <v/>
      </c>
      <c r="N60" s="152">
        <f ca="1">IF(L60&lt;&gt;0,tDiff(L60,K60), 0)</f>
        <v>0</v>
      </c>
      <c r="O60" s="385" t="str">
        <f ca="1">IF(L60&lt;&gt;0,IF(M60="+",MIN(tInt(N60)*опережениеКВ,пределКВ),tInt(N60)*опережениеКВ),"DNS")</f>
        <v>DNS</v>
      </c>
      <c r="P60" s="152">
        <f t="shared" si="8"/>
        <v>8.3333335816860199E-2</v>
      </c>
      <c r="Q60" s="152">
        <f t="shared" ca="1" si="42"/>
        <v>0</v>
      </c>
      <c r="R60" s="383">
        <f t="shared" ca="1" si="43"/>
        <v>0.60347222470574902</v>
      </c>
      <c r="S60" s="152">
        <f t="shared" ca="1" si="44"/>
        <v>0</v>
      </c>
      <c r="T60" s="384" t="str">
        <f ca="1">IF(S60&lt;&gt;0,tpm(S60,R60),"")</f>
        <v/>
      </c>
      <c r="U60" s="152">
        <f ca="1">IF(S60&lt;&gt;0,tDiff(S60,R60), 0)</f>
        <v>0</v>
      </c>
      <c r="V60" s="385">
        <f ca="1">IF(S60&lt;&gt;0,IF(T60="+",MIN(MAX(tInt(U60-Q60),0)*опережениеКВ,пределКВ),tInt(U60)*опережениеКВ),пропускКВ)</f>
        <v>900</v>
      </c>
      <c r="W60" s="152">
        <f t="shared" si="11"/>
        <v>8.3333335816860199E-2</v>
      </c>
      <c r="X60" s="152">
        <f t="shared" ca="1" si="45"/>
        <v>0</v>
      </c>
      <c r="Y60" s="152">
        <f t="shared" ca="1" si="46"/>
        <v>0</v>
      </c>
      <c r="Z60" s="383">
        <f t="shared" ca="1" si="47"/>
        <v>0.68680556052260922</v>
      </c>
      <c r="AA60" s="152">
        <f t="shared" ca="1" si="48"/>
        <v>0</v>
      </c>
      <c r="AB60" s="384" t="str">
        <f ca="1">IF(AA60&lt;&gt;0,tpm(AA60,Z60),"")</f>
        <v/>
      </c>
      <c r="AC60" s="152">
        <f ca="1">IF(AA60&lt;&gt;0,tDiff(AA60,Z60), 0)</f>
        <v>0</v>
      </c>
      <c r="AD60" s="385" t="str">
        <f ca="1">IF(AA60&lt;&gt;0,IF(AB60="+",MIN(MAX(tInt(AC60-Y60),0)*опережениеКВ,пределКВ),IF(tInt(AC60)&lt;=ROUNDUP(tInt(W60)*0.1,0),0,(tInt(AC60)-ROUNDUP(tInt(W60)*0.1,0))*опережениеКВ)),"DNF")</f>
        <v>DNF</v>
      </c>
      <c r="AE60" s="383">
        <f t="shared" ca="1" si="14"/>
        <v>0</v>
      </c>
      <c r="AF60" s="152">
        <f t="shared" ca="1" si="49"/>
        <v>0</v>
      </c>
      <c r="AG60" s="152">
        <f ca="1">IF(OR(AE60=0,AF60=0),0,tDiff(AF60,AE60))</f>
        <v>0</v>
      </c>
      <c r="AH60" s="386">
        <f t="shared" ca="1" si="50"/>
        <v>0</v>
      </c>
      <c r="AI60" s="386">
        <f t="shared" ca="1" si="17"/>
        <v>0</v>
      </c>
      <c r="AJ60" s="380" t="str">
        <f ca="1">IF(AI60&lt;&gt;0,tpm(AI60,AH60,"s"),"")</f>
        <v/>
      </c>
      <c r="AK60" s="386">
        <f ca="1">IF(AI60&lt;&gt;0,tDiff(AI60,AH60,"s"), 0)</f>
        <v>0</v>
      </c>
      <c r="AL60" s="387">
        <f ca="1">IF(AI60=0,пропускСФ,MIN(tInt(AK60,"s")*отклонениеРД,пределРД))</f>
        <v>1800</v>
      </c>
      <c r="AM60" s="388">
        <f t="shared" ca="1" si="51"/>
        <v>0</v>
      </c>
      <c r="AN60" s="386">
        <f t="shared" ca="1" si="18"/>
        <v>0</v>
      </c>
      <c r="AO60" s="384" t="str">
        <f ca="1">IF(AND(AM60&lt;&gt;0,AN60&lt;&gt;0),tpm(AN60,AM60,"s"),"")</f>
        <v/>
      </c>
      <c r="AP60" s="386">
        <f ca="1">IF(AND(AM60&lt;&gt;0,AN60&lt;&gt;0),tDiff(AN60,AM60,"s"), 0)</f>
        <v>0</v>
      </c>
      <c r="AQ60" s="387">
        <f ca="1">IF(AM60=0,0,IF(AN60=0,пропускДС,MIN(tInt(AP60,"s")*отклонениеРД,пределРД)))</f>
        <v>0</v>
      </c>
      <c r="AR60" s="383">
        <f t="shared" ca="1" si="19"/>
        <v>0</v>
      </c>
      <c r="AS60" s="152">
        <f t="shared" ca="1" si="52"/>
        <v>0</v>
      </c>
      <c r="AT60" s="152">
        <f t="shared" ca="1" si="53"/>
        <v>0</v>
      </c>
      <c r="AU60" s="389">
        <f t="shared" ca="1" si="54"/>
        <v>0</v>
      </c>
      <c r="AV60" s="389">
        <f t="shared" ca="1" si="55"/>
        <v>0</v>
      </c>
      <c r="AW60" s="389">
        <f t="shared" ca="1" si="56"/>
        <v>0</v>
      </c>
      <c r="AX60" s="384">
        <f t="shared" ca="1" si="57"/>
        <v>0</v>
      </c>
      <c r="AY60" s="384">
        <f t="shared" ca="1" si="58"/>
        <v>0</v>
      </c>
      <c r="AZ60" s="387">
        <f t="shared" ca="1" si="68"/>
        <v>1800</v>
      </c>
      <c r="BA60" s="383">
        <f t="shared" ca="1" si="24"/>
        <v>0</v>
      </c>
      <c r="BB60" s="152">
        <f t="shared" ca="1" si="59"/>
        <v>0</v>
      </c>
      <c r="BC60" s="152">
        <f ca="1">IF(OR(BA60=0,BB60=0),0,tDiff(BB60,BA60))</f>
        <v>0</v>
      </c>
      <c r="BD60" s="386">
        <f t="shared" ca="1" si="60"/>
        <v>0</v>
      </c>
      <c r="BE60" s="386">
        <f t="shared" ca="1" si="27"/>
        <v>0</v>
      </c>
      <c r="BF60" s="380" t="str">
        <f ca="1">IF(BE60&lt;&gt;0,tpm(BE60,BD60,"s"),"")</f>
        <v/>
      </c>
      <c r="BG60" s="386">
        <f ca="1">IF(BE60&lt;&gt;0,tDiff(BE60,BD60,"s"), 0)</f>
        <v>0</v>
      </c>
      <c r="BH60" s="387">
        <f ca="1">IF(BE60=0,пропускСФ,MIN(tInt(BG60,"s")*отклонениеРД,пределРД))</f>
        <v>1800</v>
      </c>
      <c r="BI60" s="388">
        <f t="shared" ca="1" si="61"/>
        <v>0</v>
      </c>
      <c r="BJ60" s="386">
        <f t="shared" ca="1" si="28"/>
        <v>0</v>
      </c>
      <c r="BK60" s="384" t="str">
        <f ca="1">IF(BJ60&lt;&gt;0,tpm(BJ60,BI60,"s"),"")</f>
        <v/>
      </c>
      <c r="BL60" s="386">
        <f ca="1">IF(BJ60&lt;&gt;0,tDiff(BJ60,BI60,"s"), 0)</f>
        <v>0</v>
      </c>
      <c r="BM60" s="387">
        <f ca="1">IF(BJ60=0,пропускСФ,MIN(tInt(BL60,"s")*отклонениеРД,пределРД))</f>
        <v>1800</v>
      </c>
      <c r="BN60" s="388">
        <f t="shared" ca="1" si="62"/>
        <v>0</v>
      </c>
      <c r="BO60" s="386">
        <f t="shared" ca="1" si="29"/>
        <v>0</v>
      </c>
      <c r="BP60" s="384" t="str">
        <f ca="1">IF(AND(BO60&lt;&gt;0,BN60&lt;&gt;0),tpm(BO60,BN60,"s"),"")</f>
        <v/>
      </c>
      <c r="BQ60" s="386">
        <f ca="1">IF(AND(BO60&lt;&gt;0,BN60&lt;&gt;0),tDiff(BO60,BN60,"s"), 0)</f>
        <v>0</v>
      </c>
      <c r="BR60" s="387">
        <f ca="1">IF(BN60=0,0,IF(BO60=0,пропускДС,MIN(tInt(BQ60,"s")*отклонениеРД,пределРД)))</f>
        <v>0</v>
      </c>
      <c r="BS60" s="390">
        <f t="shared" ca="1" si="30"/>
        <v>0</v>
      </c>
      <c r="BT60" s="387">
        <f t="shared" ca="1" si="63"/>
        <v>0</v>
      </c>
      <c r="BU60" s="383">
        <f t="shared" ca="1" si="32"/>
        <v>0</v>
      </c>
      <c r="BV60" s="391">
        <f t="shared" ca="1" si="64"/>
        <v>900</v>
      </c>
      <c r="BW60" s="383">
        <f t="shared" ca="1" si="69"/>
        <v>0</v>
      </c>
      <c r="BX60" s="391">
        <f t="shared" ca="1" si="65"/>
        <v>900</v>
      </c>
      <c r="BY60" s="383">
        <f t="shared" ca="1" si="69"/>
        <v>0</v>
      </c>
      <c r="BZ60" s="391">
        <f t="shared" ca="1" si="66"/>
        <v>900</v>
      </c>
      <c r="CA60" s="383">
        <f ca="1">IF(L60&lt;&gt;0,tTrunc(L60+_ВКВ1/_КВ2Скорость/24),tTrunc(K60+_ВКВ1/_КВ2Скорость/24))</f>
        <v>0.60138887166976929</v>
      </c>
      <c r="CB60" s="152">
        <f t="shared" ca="1" si="67"/>
        <v>0</v>
      </c>
      <c r="CC60" s="152">
        <f>ROUNDUP(tInt(_ВКВ1/_КВ2Скорость/24)/10,0)/1440</f>
        <v>8.3333333333333332E-3</v>
      </c>
      <c r="CD60" s="384" t="str">
        <f ca="1">IF(AND(CB60&lt;&gt;0,CA60&lt;&gt;0),tpm(CB60,CA60),"")</f>
        <v/>
      </c>
      <c r="CE60" s="152">
        <f ca="1">IF(CB60&lt;&gt;0,tDiff(CB60,CA60), 0)</f>
        <v>0</v>
      </c>
      <c r="CF60" s="391">
        <f ca="1">IF(CB60&lt;&gt;0,IF(CD60="+",0,IF(CE60&gt;CC60,tInt(CE60-CC60)*опережениеКВ,0)),пропускКВ)</f>
        <v>900</v>
      </c>
    </row>
    <row r="61" spans="1:84" s="367" customFormat="1" hidden="1" x14ac:dyDescent="0.25">
      <c r="A61" s="586" t="str">
        <f>стартоваяВедомость!B62</f>
        <v/>
      </c>
      <c r="B61" s="355">
        <f t="shared" ca="1" si="0"/>
        <v>0</v>
      </c>
      <c r="C61" s="355">
        <f t="shared" ca="1" si="1"/>
        <v>0</v>
      </c>
      <c r="D61" s="355">
        <f t="shared" ca="1" si="2"/>
        <v>0</v>
      </c>
      <c r="E61" s="355">
        <f t="shared" ca="1" si="3"/>
        <v>0</v>
      </c>
      <c r="F61" s="355">
        <f t="shared" ca="1" si="4"/>
        <v>0</v>
      </c>
      <c r="G61" s="356" t="str">
        <f t="shared" si="37"/>
        <v/>
      </c>
      <c r="H61" s="356" t="str">
        <f t="shared" ca="1" si="38"/>
        <v>DNS</v>
      </c>
      <c r="I61" s="356">
        <f t="shared" ca="1" si="39"/>
        <v>7200</v>
      </c>
      <c r="J61" s="356">
        <f t="shared" ca="1" si="40"/>
        <v>0</v>
      </c>
      <c r="K61" s="357">
        <f t="shared" ca="1" si="6"/>
        <v>0.52013888888888882</v>
      </c>
      <c r="L61" s="358">
        <f t="shared" ca="1" si="41"/>
        <v>0</v>
      </c>
      <c r="M61" s="359" t="str">
        <f ca="1">IF(L61&lt;&gt;0,tpm(L61,K61),"")</f>
        <v/>
      </c>
      <c r="N61" s="358">
        <f ca="1">IF(L61&lt;&gt;0,tDiff(L61,K61), 0)</f>
        <v>0</v>
      </c>
      <c r="O61" s="360" t="str">
        <f ca="1">IF(L61&lt;&gt;0,IF(M61="+",MIN(tInt(N61)*опережениеКВ,пределКВ),tInt(N61)*опережениеКВ),"DNS")</f>
        <v>DNS</v>
      </c>
      <c r="P61" s="358">
        <f t="shared" si="8"/>
        <v>8.3333335816860199E-2</v>
      </c>
      <c r="Q61" s="358">
        <f t="shared" ca="1" si="42"/>
        <v>0</v>
      </c>
      <c r="R61" s="357">
        <f t="shared" ca="1" si="43"/>
        <v>0.60347222470574902</v>
      </c>
      <c r="S61" s="358">
        <f t="shared" ca="1" si="44"/>
        <v>0</v>
      </c>
      <c r="T61" s="359" t="str">
        <f ca="1">IF(S61&lt;&gt;0,tpm(S61,R61),"")</f>
        <v/>
      </c>
      <c r="U61" s="358">
        <f ca="1">IF(S61&lt;&gt;0,tDiff(S61,R61), 0)</f>
        <v>0</v>
      </c>
      <c r="V61" s="360">
        <f ca="1">IF(S61&lt;&gt;0,IF(T61="+",MIN(MAX(tInt(U61-Q61),0)*опережениеКВ,пределКВ),tInt(U61)*опережениеКВ),пропускКВ)</f>
        <v>900</v>
      </c>
      <c r="W61" s="358">
        <f t="shared" si="11"/>
        <v>8.3333335816860199E-2</v>
      </c>
      <c r="X61" s="358">
        <f t="shared" ca="1" si="45"/>
        <v>0</v>
      </c>
      <c r="Y61" s="358">
        <f t="shared" ca="1" si="46"/>
        <v>0</v>
      </c>
      <c r="Z61" s="357">
        <f t="shared" ca="1" si="47"/>
        <v>0.68680556052260922</v>
      </c>
      <c r="AA61" s="358">
        <f t="shared" ca="1" si="48"/>
        <v>0</v>
      </c>
      <c r="AB61" s="359" t="str">
        <f ca="1">IF(AA61&lt;&gt;0,tpm(AA61,Z61),"")</f>
        <v/>
      </c>
      <c r="AC61" s="358">
        <f ca="1">IF(AA61&lt;&gt;0,tDiff(AA61,Z61), 0)</f>
        <v>0</v>
      </c>
      <c r="AD61" s="360" t="str">
        <f ca="1">IF(AA61&lt;&gt;0,IF(AB61="+",MIN(MAX(tInt(AC61-Y61),0)*опережениеКВ,пределКВ),IF(tInt(AC61)&lt;=ROUNDUP(tInt(W61)*0.1,0),0,(tInt(AC61)-ROUNDUP(tInt(W61)*0.1,0))*опережениеКВ)),"DNF")</f>
        <v>DNF</v>
      </c>
      <c r="AE61" s="357">
        <f t="shared" ca="1" si="14"/>
        <v>0</v>
      </c>
      <c r="AF61" s="358">
        <f t="shared" ca="1" si="49"/>
        <v>0</v>
      </c>
      <c r="AG61" s="358">
        <f ca="1">IF(OR(AE61=0,AF61=0),0,tDiff(AF61,AE61))</f>
        <v>0</v>
      </c>
      <c r="AH61" s="362">
        <f t="shared" ca="1" si="50"/>
        <v>0</v>
      </c>
      <c r="AI61" s="362">
        <f t="shared" ca="1" si="17"/>
        <v>0</v>
      </c>
      <c r="AJ61" s="354" t="str">
        <f ca="1">IF(AI61&lt;&gt;0,tpm(AI61,AH61,"s"),"")</f>
        <v/>
      </c>
      <c r="AK61" s="362">
        <f ca="1">IF(AI61&lt;&gt;0,tDiff(AI61,AH61,"s"), 0)</f>
        <v>0</v>
      </c>
      <c r="AL61" s="363">
        <f ca="1">IF(AI61=0,пропускСФ,MIN(tInt(AK61,"s")*отклонениеРД,пределРД))</f>
        <v>1800</v>
      </c>
      <c r="AM61" s="364">
        <f t="shared" ca="1" si="51"/>
        <v>0</v>
      </c>
      <c r="AN61" s="362">
        <f t="shared" ca="1" si="18"/>
        <v>0</v>
      </c>
      <c r="AO61" s="359" t="str">
        <f ca="1">IF(AND(AM61&lt;&gt;0,AN61&lt;&gt;0),tpm(AN61,AM61,"s"),"")</f>
        <v/>
      </c>
      <c r="AP61" s="362">
        <f ca="1">IF(AND(AM61&lt;&gt;0,AN61&lt;&gt;0),tDiff(AN61,AM61,"s"), 0)</f>
        <v>0</v>
      </c>
      <c r="AQ61" s="363">
        <f ca="1">IF(AM61=0,0,IF(AN61=0,пропускДС,MIN(tInt(AP61,"s")*отклонениеРД,пределРД)))</f>
        <v>0</v>
      </c>
      <c r="AR61" s="357">
        <f t="shared" ca="1" si="19"/>
        <v>0</v>
      </c>
      <c r="AS61" s="358">
        <f t="shared" ca="1" si="52"/>
        <v>0</v>
      </c>
      <c r="AT61" s="358">
        <f t="shared" ca="1" si="53"/>
        <v>0</v>
      </c>
      <c r="AU61" s="365">
        <f t="shared" ca="1" si="54"/>
        <v>0</v>
      </c>
      <c r="AV61" s="365">
        <f t="shared" ca="1" si="55"/>
        <v>0</v>
      </c>
      <c r="AW61" s="365">
        <f t="shared" ca="1" si="56"/>
        <v>0</v>
      </c>
      <c r="AX61" s="359">
        <f t="shared" ca="1" si="57"/>
        <v>0</v>
      </c>
      <c r="AY61" s="359">
        <f t="shared" ca="1" si="58"/>
        <v>0</v>
      </c>
      <c r="AZ61" s="363">
        <f t="shared" ca="1" si="68"/>
        <v>1800</v>
      </c>
      <c r="BA61" s="357">
        <f t="shared" ca="1" si="24"/>
        <v>0</v>
      </c>
      <c r="BB61" s="358">
        <f t="shared" ca="1" si="59"/>
        <v>0</v>
      </c>
      <c r="BC61" s="358">
        <f ca="1">IF(OR(BA61=0,BB61=0),0,tDiff(BB61,BA61))</f>
        <v>0</v>
      </c>
      <c r="BD61" s="362">
        <f t="shared" ca="1" si="60"/>
        <v>0</v>
      </c>
      <c r="BE61" s="362">
        <f t="shared" ca="1" si="27"/>
        <v>0</v>
      </c>
      <c r="BF61" s="354" t="str">
        <f ca="1">IF(BE61&lt;&gt;0,tpm(BE61,BD61,"s"),"")</f>
        <v/>
      </c>
      <c r="BG61" s="362">
        <f ca="1">IF(BE61&lt;&gt;0,tDiff(BE61,BD61,"s"), 0)</f>
        <v>0</v>
      </c>
      <c r="BH61" s="363">
        <f ca="1">IF(BE61=0,пропускСФ,MIN(tInt(BG61,"s")*отклонениеРД,пределРД))</f>
        <v>1800</v>
      </c>
      <c r="BI61" s="364">
        <f t="shared" ca="1" si="61"/>
        <v>0</v>
      </c>
      <c r="BJ61" s="362">
        <f t="shared" ca="1" si="28"/>
        <v>0</v>
      </c>
      <c r="BK61" s="359" t="str">
        <f ca="1">IF(BJ61&lt;&gt;0,tpm(BJ61,BI61,"s"),"")</f>
        <v/>
      </c>
      <c r="BL61" s="362">
        <f ca="1">IF(BJ61&lt;&gt;0,tDiff(BJ61,BI61,"s"), 0)</f>
        <v>0</v>
      </c>
      <c r="BM61" s="363">
        <f ca="1">IF(BJ61=0,пропускСФ,MIN(tInt(BL61,"s")*отклонениеРД,пределРД))</f>
        <v>1800</v>
      </c>
      <c r="BN61" s="364">
        <f t="shared" ca="1" si="62"/>
        <v>0</v>
      </c>
      <c r="BO61" s="362">
        <f t="shared" ca="1" si="29"/>
        <v>0</v>
      </c>
      <c r="BP61" s="359" t="str">
        <f ca="1">IF(AND(BO61&lt;&gt;0,BN61&lt;&gt;0),tpm(BO61,BN61,"s"),"")</f>
        <v/>
      </c>
      <c r="BQ61" s="362">
        <f ca="1">IF(AND(BO61&lt;&gt;0,BN61&lt;&gt;0),tDiff(BO61,BN61,"s"), 0)</f>
        <v>0</v>
      </c>
      <c r="BR61" s="363">
        <f ca="1">IF(BN61=0,0,IF(BO61=0,пропускДС,MIN(tInt(BQ61,"s")*отклонениеРД,пределРД)))</f>
        <v>0</v>
      </c>
      <c r="BS61" s="366">
        <f t="shared" ca="1" si="30"/>
        <v>0</v>
      </c>
      <c r="BT61" s="363">
        <f t="shared" ca="1" si="63"/>
        <v>0</v>
      </c>
      <c r="BU61" s="357">
        <f t="shared" ca="1" si="32"/>
        <v>0</v>
      </c>
      <c r="BV61" s="361">
        <f t="shared" ca="1" si="64"/>
        <v>900</v>
      </c>
      <c r="BW61" s="357">
        <f t="shared" ca="1" si="69"/>
        <v>0</v>
      </c>
      <c r="BX61" s="361">
        <f t="shared" ca="1" si="65"/>
        <v>900</v>
      </c>
      <c r="BY61" s="357">
        <f t="shared" ca="1" si="69"/>
        <v>0</v>
      </c>
      <c r="BZ61" s="361">
        <f t="shared" ca="1" si="66"/>
        <v>900</v>
      </c>
      <c r="CA61" s="357">
        <f ca="1">IF(L61&lt;&gt;0,tTrunc(L61+_ВКВ1/_КВ2Скорость/24),tTrunc(K61+_ВКВ1/_КВ2Скорость/24))</f>
        <v>0.60138887166976929</v>
      </c>
      <c r="CB61" s="358">
        <f t="shared" ca="1" si="67"/>
        <v>0</v>
      </c>
      <c r="CC61" s="358">
        <f>ROUNDUP(tInt(_ВКВ1/_КВ2Скорость/24)/10,0)/1440</f>
        <v>8.3333333333333332E-3</v>
      </c>
      <c r="CD61" s="359" t="str">
        <f ca="1">IF(AND(CB61&lt;&gt;0,CA61&lt;&gt;0),tpm(CB61,CA61),"")</f>
        <v/>
      </c>
      <c r="CE61" s="358">
        <f ca="1">IF(CB61&lt;&gt;0,tDiff(CB61,CA61), 0)</f>
        <v>0</v>
      </c>
      <c r="CF61" s="361">
        <f ca="1">IF(CB61&lt;&gt;0,IF(CD61="+",0,IF(CE61&gt;CC61,tInt(CE61-CC61)*опережениеКВ,0)),пропускКВ)</f>
        <v>900</v>
      </c>
    </row>
    <row r="62" spans="1:84" s="22" customFormat="1" hidden="1" x14ac:dyDescent="0.25">
      <c r="A62" s="587" t="str">
        <f>стартоваяВедомость!B63</f>
        <v/>
      </c>
      <c r="B62" s="381">
        <f t="shared" ca="1" si="0"/>
        <v>0</v>
      </c>
      <c r="C62" s="381">
        <f t="shared" ca="1" si="1"/>
        <v>0</v>
      </c>
      <c r="D62" s="381">
        <f t="shared" ca="1" si="2"/>
        <v>0</v>
      </c>
      <c r="E62" s="381">
        <f t="shared" ca="1" si="3"/>
        <v>0</v>
      </c>
      <c r="F62" s="381">
        <f t="shared" ca="1" si="4"/>
        <v>0</v>
      </c>
      <c r="G62" s="382" t="str">
        <f t="shared" si="37"/>
        <v/>
      </c>
      <c r="H62" s="382" t="str">
        <f t="shared" ca="1" si="38"/>
        <v>DNS</v>
      </c>
      <c r="I62" s="382">
        <f t="shared" ca="1" si="39"/>
        <v>7200</v>
      </c>
      <c r="J62" s="382">
        <f t="shared" ca="1" si="40"/>
        <v>0</v>
      </c>
      <c r="K62" s="383">
        <f t="shared" ca="1" si="6"/>
        <v>0.52013888888888882</v>
      </c>
      <c r="L62" s="152">
        <f t="shared" ca="1" si="41"/>
        <v>0</v>
      </c>
      <c r="M62" s="384" t="str">
        <f ca="1">IF(L62&lt;&gt;0,tpm(L62,K62),"")</f>
        <v/>
      </c>
      <c r="N62" s="152">
        <f ca="1">IF(L62&lt;&gt;0,tDiff(L62,K62), 0)</f>
        <v>0</v>
      </c>
      <c r="O62" s="385" t="str">
        <f ca="1">IF(L62&lt;&gt;0,IF(M62="+",MIN(tInt(N62)*опережениеКВ,пределКВ),tInt(N62)*опережениеКВ),"DNS")</f>
        <v>DNS</v>
      </c>
      <c r="P62" s="152">
        <f t="shared" si="8"/>
        <v>8.3333335816860199E-2</v>
      </c>
      <c r="Q62" s="152">
        <f t="shared" ca="1" si="42"/>
        <v>0</v>
      </c>
      <c r="R62" s="383">
        <f t="shared" ca="1" si="43"/>
        <v>0.60347222470574902</v>
      </c>
      <c r="S62" s="152">
        <f t="shared" ca="1" si="44"/>
        <v>0</v>
      </c>
      <c r="T62" s="384" t="str">
        <f ca="1">IF(S62&lt;&gt;0,tpm(S62,R62),"")</f>
        <v/>
      </c>
      <c r="U62" s="152">
        <f ca="1">IF(S62&lt;&gt;0,tDiff(S62,R62), 0)</f>
        <v>0</v>
      </c>
      <c r="V62" s="385">
        <f ca="1">IF(S62&lt;&gt;0,IF(T62="+",MIN(MAX(tInt(U62-Q62),0)*опережениеКВ,пределКВ),tInt(U62)*опережениеКВ),пропускКВ)</f>
        <v>900</v>
      </c>
      <c r="W62" s="152">
        <f t="shared" si="11"/>
        <v>8.3333335816860199E-2</v>
      </c>
      <c r="X62" s="152">
        <f t="shared" ca="1" si="45"/>
        <v>0</v>
      </c>
      <c r="Y62" s="152">
        <f t="shared" ca="1" si="46"/>
        <v>0</v>
      </c>
      <c r="Z62" s="383">
        <f t="shared" ca="1" si="47"/>
        <v>0.68680556052260922</v>
      </c>
      <c r="AA62" s="152">
        <f t="shared" ca="1" si="48"/>
        <v>0</v>
      </c>
      <c r="AB62" s="384" t="str">
        <f ca="1">IF(AA62&lt;&gt;0,tpm(AA62,Z62),"")</f>
        <v/>
      </c>
      <c r="AC62" s="152">
        <f ca="1">IF(AA62&lt;&gt;0,tDiff(AA62,Z62), 0)</f>
        <v>0</v>
      </c>
      <c r="AD62" s="385" t="str">
        <f ca="1">IF(AA62&lt;&gt;0,IF(AB62="+",MIN(MAX(tInt(AC62-Y62),0)*опережениеКВ,пределКВ),IF(tInt(AC62)&lt;=ROUNDUP(tInt(W62)*0.1,0),0,(tInt(AC62)-ROUNDUP(tInt(W62)*0.1,0))*опережениеКВ)),"DNF")</f>
        <v>DNF</v>
      </c>
      <c r="AE62" s="383">
        <f t="shared" ca="1" si="14"/>
        <v>0</v>
      </c>
      <c r="AF62" s="152">
        <f t="shared" ca="1" si="49"/>
        <v>0</v>
      </c>
      <c r="AG62" s="152">
        <f ca="1">IF(OR(AE62=0,AF62=0),0,tDiff(AF62,AE62))</f>
        <v>0</v>
      </c>
      <c r="AH62" s="386">
        <f t="shared" ca="1" si="50"/>
        <v>0</v>
      </c>
      <c r="AI62" s="386">
        <f t="shared" ca="1" si="17"/>
        <v>0</v>
      </c>
      <c r="AJ62" s="380" t="str">
        <f ca="1">IF(AI62&lt;&gt;0,tpm(AI62,AH62,"s"),"")</f>
        <v/>
      </c>
      <c r="AK62" s="386">
        <f ca="1">IF(AI62&lt;&gt;0,tDiff(AI62,AH62,"s"), 0)</f>
        <v>0</v>
      </c>
      <c r="AL62" s="387">
        <f ca="1">IF(AI62=0,пропускСФ,MIN(tInt(AK62,"s")*отклонениеРД,пределРД))</f>
        <v>1800</v>
      </c>
      <c r="AM62" s="388">
        <f t="shared" ca="1" si="51"/>
        <v>0</v>
      </c>
      <c r="AN62" s="386">
        <f t="shared" ca="1" si="18"/>
        <v>0</v>
      </c>
      <c r="AO62" s="384" t="str">
        <f ca="1">IF(AND(AM62&lt;&gt;0,AN62&lt;&gt;0),tpm(AN62,AM62,"s"),"")</f>
        <v/>
      </c>
      <c r="AP62" s="386">
        <f ca="1">IF(AND(AM62&lt;&gt;0,AN62&lt;&gt;0),tDiff(AN62,AM62,"s"), 0)</f>
        <v>0</v>
      </c>
      <c r="AQ62" s="387">
        <f ca="1">IF(AM62=0,0,IF(AN62=0,пропускДС,MIN(tInt(AP62,"s")*отклонениеРД,пределРД)))</f>
        <v>0</v>
      </c>
      <c r="AR62" s="383">
        <f t="shared" ca="1" si="19"/>
        <v>0</v>
      </c>
      <c r="AS62" s="152">
        <f t="shared" ca="1" si="52"/>
        <v>0</v>
      </c>
      <c r="AT62" s="152">
        <f t="shared" ca="1" si="53"/>
        <v>0</v>
      </c>
      <c r="AU62" s="389">
        <f t="shared" ca="1" si="54"/>
        <v>0</v>
      </c>
      <c r="AV62" s="389">
        <f t="shared" ca="1" si="55"/>
        <v>0</v>
      </c>
      <c r="AW62" s="389">
        <f t="shared" ca="1" si="56"/>
        <v>0</v>
      </c>
      <c r="AX62" s="384">
        <f t="shared" ca="1" si="57"/>
        <v>0</v>
      </c>
      <c r="AY62" s="384">
        <f t="shared" ca="1" si="58"/>
        <v>0</v>
      </c>
      <c r="AZ62" s="387">
        <f t="shared" ca="1" si="68"/>
        <v>1800</v>
      </c>
      <c r="BA62" s="383">
        <f t="shared" ca="1" si="24"/>
        <v>0</v>
      </c>
      <c r="BB62" s="152">
        <f t="shared" ca="1" si="59"/>
        <v>0</v>
      </c>
      <c r="BC62" s="152">
        <f ca="1">IF(OR(BA62=0,BB62=0),0,tDiff(BB62,BA62))</f>
        <v>0</v>
      </c>
      <c r="BD62" s="386">
        <f t="shared" ca="1" si="60"/>
        <v>0</v>
      </c>
      <c r="BE62" s="386">
        <f t="shared" ca="1" si="27"/>
        <v>0</v>
      </c>
      <c r="BF62" s="380" t="str">
        <f ca="1">IF(BE62&lt;&gt;0,tpm(BE62,BD62,"s"),"")</f>
        <v/>
      </c>
      <c r="BG62" s="386">
        <f ca="1">IF(BE62&lt;&gt;0,tDiff(BE62,BD62,"s"), 0)</f>
        <v>0</v>
      </c>
      <c r="BH62" s="387">
        <f ca="1">IF(BE62=0,пропускСФ,MIN(tInt(BG62,"s")*отклонениеРД,пределРД))</f>
        <v>1800</v>
      </c>
      <c r="BI62" s="388">
        <f t="shared" ca="1" si="61"/>
        <v>0</v>
      </c>
      <c r="BJ62" s="386">
        <f t="shared" ca="1" si="28"/>
        <v>0</v>
      </c>
      <c r="BK62" s="384" t="str">
        <f ca="1">IF(BJ62&lt;&gt;0,tpm(BJ62,BI62,"s"),"")</f>
        <v/>
      </c>
      <c r="BL62" s="386">
        <f ca="1">IF(BJ62&lt;&gt;0,tDiff(BJ62,BI62,"s"), 0)</f>
        <v>0</v>
      </c>
      <c r="BM62" s="387">
        <f ca="1">IF(BJ62=0,пропускСФ,MIN(tInt(BL62,"s")*отклонениеРД,пределРД))</f>
        <v>1800</v>
      </c>
      <c r="BN62" s="388">
        <f t="shared" ca="1" si="62"/>
        <v>0</v>
      </c>
      <c r="BO62" s="386">
        <f t="shared" ca="1" si="29"/>
        <v>0</v>
      </c>
      <c r="BP62" s="384" t="str">
        <f ca="1">IF(AND(BO62&lt;&gt;0,BN62&lt;&gt;0),tpm(BO62,BN62,"s"),"")</f>
        <v/>
      </c>
      <c r="BQ62" s="386">
        <f ca="1">IF(AND(BO62&lt;&gt;0,BN62&lt;&gt;0),tDiff(BO62,BN62,"s"), 0)</f>
        <v>0</v>
      </c>
      <c r="BR62" s="387">
        <f ca="1">IF(BN62=0,0,IF(BO62=0,пропускДС,MIN(tInt(BQ62,"s")*отклонениеРД,пределРД)))</f>
        <v>0</v>
      </c>
      <c r="BS62" s="390">
        <f t="shared" ca="1" si="30"/>
        <v>0</v>
      </c>
      <c r="BT62" s="387">
        <f t="shared" ca="1" si="63"/>
        <v>0</v>
      </c>
      <c r="BU62" s="383">
        <f t="shared" ca="1" si="32"/>
        <v>0</v>
      </c>
      <c r="BV62" s="391">
        <f t="shared" ca="1" si="64"/>
        <v>900</v>
      </c>
      <c r="BW62" s="383">
        <f t="shared" ca="1" si="69"/>
        <v>0</v>
      </c>
      <c r="BX62" s="391">
        <f t="shared" ca="1" si="65"/>
        <v>900</v>
      </c>
      <c r="BY62" s="383">
        <f t="shared" ca="1" si="69"/>
        <v>0</v>
      </c>
      <c r="BZ62" s="391">
        <f t="shared" ca="1" si="66"/>
        <v>900</v>
      </c>
      <c r="CA62" s="383">
        <f ca="1">IF(L62&lt;&gt;0,tTrunc(L62+_ВКВ1/_КВ2Скорость/24),tTrunc(K62+_ВКВ1/_КВ2Скорость/24))</f>
        <v>0.60138887166976929</v>
      </c>
      <c r="CB62" s="152">
        <f t="shared" ca="1" si="67"/>
        <v>0</v>
      </c>
      <c r="CC62" s="152">
        <f>ROUNDUP(tInt(_ВКВ1/_КВ2Скорость/24)/10,0)/1440</f>
        <v>8.3333333333333332E-3</v>
      </c>
      <c r="CD62" s="384" t="str">
        <f ca="1">IF(AND(CB62&lt;&gt;0,CA62&lt;&gt;0),tpm(CB62,CA62),"")</f>
        <v/>
      </c>
      <c r="CE62" s="152">
        <f ca="1">IF(CB62&lt;&gt;0,tDiff(CB62,CA62), 0)</f>
        <v>0</v>
      </c>
      <c r="CF62" s="391">
        <f ca="1">IF(CB62&lt;&gt;0,IF(CD62="+",0,IF(CE62&gt;CC62,tInt(CE62-CC62)*опережениеКВ,0)),пропускКВ)</f>
        <v>900</v>
      </c>
    </row>
    <row r="63" spans="1:84" s="367" customFormat="1" hidden="1" x14ac:dyDescent="0.25">
      <c r="A63" s="586" t="str">
        <f>стартоваяВедомость!B64</f>
        <v/>
      </c>
      <c r="B63" s="355">
        <f t="shared" ca="1" si="0"/>
        <v>0</v>
      </c>
      <c r="C63" s="355">
        <f t="shared" ca="1" si="1"/>
        <v>0</v>
      </c>
      <c r="D63" s="355">
        <f t="shared" ca="1" si="2"/>
        <v>0</v>
      </c>
      <c r="E63" s="355">
        <f t="shared" ca="1" si="3"/>
        <v>0</v>
      </c>
      <c r="F63" s="355">
        <f t="shared" ca="1" si="4"/>
        <v>0</v>
      </c>
      <c r="G63" s="356" t="str">
        <f t="shared" si="37"/>
        <v/>
      </c>
      <c r="H63" s="356" t="str">
        <f t="shared" ca="1" si="38"/>
        <v>DNS</v>
      </c>
      <c r="I63" s="356">
        <f t="shared" ca="1" si="39"/>
        <v>7200</v>
      </c>
      <c r="J63" s="356">
        <f t="shared" ca="1" si="40"/>
        <v>0</v>
      </c>
      <c r="K63" s="357">
        <f t="shared" ca="1" si="6"/>
        <v>0.52013888888888882</v>
      </c>
      <c r="L63" s="358">
        <f t="shared" ca="1" si="41"/>
        <v>0</v>
      </c>
      <c r="M63" s="359" t="str">
        <f ca="1">IF(L63&lt;&gt;0,tpm(L63,K63),"")</f>
        <v/>
      </c>
      <c r="N63" s="358">
        <f ca="1">IF(L63&lt;&gt;0,tDiff(L63,K63), 0)</f>
        <v>0</v>
      </c>
      <c r="O63" s="360" t="str">
        <f ca="1">IF(L63&lt;&gt;0,IF(M63="+",MIN(tInt(N63)*опережениеКВ,пределКВ),tInt(N63)*опережениеКВ),"DNS")</f>
        <v>DNS</v>
      </c>
      <c r="P63" s="358">
        <f t="shared" si="8"/>
        <v>8.3333335816860199E-2</v>
      </c>
      <c r="Q63" s="358">
        <f t="shared" ca="1" si="42"/>
        <v>0</v>
      </c>
      <c r="R63" s="357">
        <f t="shared" ca="1" si="43"/>
        <v>0.60347222470574902</v>
      </c>
      <c r="S63" s="358">
        <f t="shared" ca="1" si="44"/>
        <v>0</v>
      </c>
      <c r="T63" s="359" t="str">
        <f ca="1">IF(S63&lt;&gt;0,tpm(S63,R63),"")</f>
        <v/>
      </c>
      <c r="U63" s="358">
        <f ca="1">IF(S63&lt;&gt;0,tDiff(S63,R63), 0)</f>
        <v>0</v>
      </c>
      <c r="V63" s="360">
        <f ca="1">IF(S63&lt;&gt;0,IF(T63="+",MIN(MAX(tInt(U63-Q63),0)*опережениеКВ,пределКВ),tInt(U63)*опережениеКВ),пропускКВ)</f>
        <v>900</v>
      </c>
      <c r="W63" s="358">
        <f t="shared" si="11"/>
        <v>8.3333335816860199E-2</v>
      </c>
      <c r="X63" s="358">
        <f t="shared" ca="1" si="45"/>
        <v>0</v>
      </c>
      <c r="Y63" s="358">
        <f t="shared" ca="1" si="46"/>
        <v>0</v>
      </c>
      <c r="Z63" s="357">
        <f t="shared" ca="1" si="47"/>
        <v>0.68680556052260922</v>
      </c>
      <c r="AA63" s="358">
        <f t="shared" ca="1" si="48"/>
        <v>0</v>
      </c>
      <c r="AB63" s="359" t="str">
        <f ca="1">IF(AA63&lt;&gt;0,tpm(AA63,Z63),"")</f>
        <v/>
      </c>
      <c r="AC63" s="358">
        <f ca="1">IF(AA63&lt;&gt;0,tDiff(AA63,Z63), 0)</f>
        <v>0</v>
      </c>
      <c r="AD63" s="360" t="str">
        <f ca="1">IF(AA63&lt;&gt;0,IF(AB63="+",MIN(MAX(tInt(AC63-Y63),0)*опережениеКВ,пределКВ),IF(tInt(AC63)&lt;=ROUNDUP(tInt(W63)*0.1,0),0,(tInt(AC63)-ROUNDUP(tInt(W63)*0.1,0))*опережениеКВ)),"DNF")</f>
        <v>DNF</v>
      </c>
      <c r="AE63" s="357">
        <f t="shared" ca="1" si="14"/>
        <v>0</v>
      </c>
      <c r="AF63" s="358">
        <f t="shared" ca="1" si="49"/>
        <v>0</v>
      </c>
      <c r="AG63" s="358">
        <f ca="1">IF(OR(AE63=0,AF63=0),0,tDiff(AF63,AE63))</f>
        <v>0</v>
      </c>
      <c r="AH63" s="362">
        <f t="shared" ca="1" si="50"/>
        <v>0</v>
      </c>
      <c r="AI63" s="362">
        <f t="shared" ca="1" si="17"/>
        <v>0</v>
      </c>
      <c r="AJ63" s="354" t="str">
        <f ca="1">IF(AI63&lt;&gt;0,tpm(AI63,AH63,"s"),"")</f>
        <v/>
      </c>
      <c r="AK63" s="362">
        <f ca="1">IF(AI63&lt;&gt;0,tDiff(AI63,AH63,"s"), 0)</f>
        <v>0</v>
      </c>
      <c r="AL63" s="363">
        <f ca="1">IF(AI63=0,пропускСФ,MIN(tInt(AK63,"s")*отклонениеРД,пределРД))</f>
        <v>1800</v>
      </c>
      <c r="AM63" s="364">
        <f t="shared" ca="1" si="51"/>
        <v>0</v>
      </c>
      <c r="AN63" s="362">
        <f t="shared" ca="1" si="18"/>
        <v>0</v>
      </c>
      <c r="AO63" s="359" t="str">
        <f ca="1">IF(AND(AM63&lt;&gt;0,AN63&lt;&gt;0),tpm(AN63,AM63,"s"),"")</f>
        <v/>
      </c>
      <c r="AP63" s="362">
        <f ca="1">IF(AND(AM63&lt;&gt;0,AN63&lt;&gt;0),tDiff(AN63,AM63,"s"), 0)</f>
        <v>0</v>
      </c>
      <c r="AQ63" s="363">
        <f ca="1">IF(AM63=0,0,IF(AN63=0,пропускДС,MIN(tInt(AP63,"s")*отклонениеРД,пределРД)))</f>
        <v>0</v>
      </c>
      <c r="AR63" s="357">
        <f t="shared" ca="1" si="19"/>
        <v>0</v>
      </c>
      <c r="AS63" s="358">
        <f t="shared" ca="1" si="52"/>
        <v>0</v>
      </c>
      <c r="AT63" s="358">
        <f t="shared" ca="1" si="53"/>
        <v>0</v>
      </c>
      <c r="AU63" s="365">
        <f t="shared" ca="1" si="54"/>
        <v>0</v>
      </c>
      <c r="AV63" s="365">
        <f t="shared" ca="1" si="55"/>
        <v>0</v>
      </c>
      <c r="AW63" s="365">
        <f t="shared" ca="1" si="56"/>
        <v>0</v>
      </c>
      <c r="AX63" s="359">
        <f t="shared" ca="1" si="57"/>
        <v>0</v>
      </c>
      <c r="AY63" s="359">
        <f t="shared" ca="1" si="58"/>
        <v>0</v>
      </c>
      <c r="AZ63" s="363">
        <f t="shared" ca="1" si="68"/>
        <v>1800</v>
      </c>
      <c r="BA63" s="357">
        <f t="shared" ca="1" si="24"/>
        <v>0</v>
      </c>
      <c r="BB63" s="358">
        <f t="shared" ca="1" si="59"/>
        <v>0</v>
      </c>
      <c r="BC63" s="358">
        <f ca="1">IF(OR(BA63=0,BB63=0),0,tDiff(BB63,BA63))</f>
        <v>0</v>
      </c>
      <c r="BD63" s="362">
        <f t="shared" ca="1" si="60"/>
        <v>0</v>
      </c>
      <c r="BE63" s="362">
        <f t="shared" ca="1" si="27"/>
        <v>0</v>
      </c>
      <c r="BF63" s="354" t="str">
        <f ca="1">IF(BE63&lt;&gt;0,tpm(BE63,BD63,"s"),"")</f>
        <v/>
      </c>
      <c r="BG63" s="362">
        <f ca="1">IF(BE63&lt;&gt;0,tDiff(BE63,BD63,"s"), 0)</f>
        <v>0</v>
      </c>
      <c r="BH63" s="363">
        <f ca="1">IF(BE63=0,пропускСФ,MIN(tInt(BG63,"s")*отклонениеРД,пределРД))</f>
        <v>1800</v>
      </c>
      <c r="BI63" s="364">
        <f t="shared" ca="1" si="61"/>
        <v>0</v>
      </c>
      <c r="BJ63" s="362">
        <f t="shared" ca="1" si="28"/>
        <v>0</v>
      </c>
      <c r="BK63" s="359" t="str">
        <f ca="1">IF(BJ63&lt;&gt;0,tpm(BJ63,BI63,"s"),"")</f>
        <v/>
      </c>
      <c r="BL63" s="362">
        <f ca="1">IF(BJ63&lt;&gt;0,tDiff(BJ63,BI63,"s"), 0)</f>
        <v>0</v>
      </c>
      <c r="BM63" s="363">
        <f ca="1">IF(BJ63=0,пропускСФ,MIN(tInt(BL63,"s")*отклонениеРД,пределРД))</f>
        <v>1800</v>
      </c>
      <c r="BN63" s="364">
        <f t="shared" ca="1" si="62"/>
        <v>0</v>
      </c>
      <c r="BO63" s="362">
        <f t="shared" ca="1" si="29"/>
        <v>0</v>
      </c>
      <c r="BP63" s="359" t="str">
        <f ca="1">IF(AND(BO63&lt;&gt;0,BN63&lt;&gt;0),tpm(BO63,BN63,"s"),"")</f>
        <v/>
      </c>
      <c r="BQ63" s="362">
        <f ca="1">IF(AND(BO63&lt;&gt;0,BN63&lt;&gt;0),tDiff(BO63,BN63,"s"), 0)</f>
        <v>0</v>
      </c>
      <c r="BR63" s="363">
        <f ca="1">IF(BN63=0,0,IF(BO63=0,пропускДС,MIN(tInt(BQ63,"s")*отклонениеРД,пределРД)))</f>
        <v>0</v>
      </c>
      <c r="BS63" s="366">
        <f t="shared" ca="1" si="30"/>
        <v>0</v>
      </c>
      <c r="BT63" s="363">
        <f t="shared" ca="1" si="63"/>
        <v>0</v>
      </c>
      <c r="BU63" s="357">
        <f t="shared" ca="1" si="32"/>
        <v>0</v>
      </c>
      <c r="BV63" s="361">
        <f t="shared" ca="1" si="64"/>
        <v>900</v>
      </c>
      <c r="BW63" s="357">
        <f t="shared" ca="1" si="69"/>
        <v>0</v>
      </c>
      <c r="BX63" s="361">
        <f t="shared" ca="1" si="65"/>
        <v>900</v>
      </c>
      <c r="BY63" s="357">
        <f t="shared" ca="1" si="69"/>
        <v>0</v>
      </c>
      <c r="BZ63" s="361">
        <f t="shared" ca="1" si="66"/>
        <v>900</v>
      </c>
      <c r="CA63" s="357">
        <f ca="1">IF(L63&lt;&gt;0,tTrunc(L63+_ВКВ1/_КВ2Скорость/24),tTrunc(K63+_ВКВ1/_КВ2Скорость/24))</f>
        <v>0.60138887166976929</v>
      </c>
      <c r="CB63" s="358">
        <f t="shared" ca="1" si="67"/>
        <v>0</v>
      </c>
      <c r="CC63" s="358">
        <f>ROUNDUP(tInt(_ВКВ1/_КВ2Скорость/24)/10,0)/1440</f>
        <v>8.3333333333333332E-3</v>
      </c>
      <c r="CD63" s="359" t="str">
        <f ca="1">IF(AND(CB63&lt;&gt;0,CA63&lt;&gt;0),tpm(CB63,CA63),"")</f>
        <v/>
      </c>
      <c r="CE63" s="358">
        <f ca="1">IF(CB63&lt;&gt;0,tDiff(CB63,CA63), 0)</f>
        <v>0</v>
      </c>
      <c r="CF63" s="361">
        <f ca="1">IF(CB63&lt;&gt;0,IF(CD63="+",0,IF(CE63&gt;CC63,tInt(CE63-CC63)*опережениеКВ,0)),пропускКВ)</f>
        <v>900</v>
      </c>
    </row>
    <row r="64" spans="1:84" s="22" customFormat="1" hidden="1" x14ac:dyDescent="0.25">
      <c r="A64" s="587" t="str">
        <f>стартоваяВедомость!B65</f>
        <v/>
      </c>
      <c r="B64" s="381">
        <f t="shared" ca="1" si="0"/>
        <v>0</v>
      </c>
      <c r="C64" s="381">
        <f t="shared" ca="1" si="1"/>
        <v>0</v>
      </c>
      <c r="D64" s="381">
        <f t="shared" ca="1" si="2"/>
        <v>0</v>
      </c>
      <c r="E64" s="381">
        <f t="shared" ca="1" si="3"/>
        <v>0</v>
      </c>
      <c r="F64" s="381">
        <f t="shared" ca="1" si="4"/>
        <v>0</v>
      </c>
      <c r="G64" s="382" t="str">
        <f t="shared" si="37"/>
        <v/>
      </c>
      <c r="H64" s="382" t="str">
        <f t="shared" ca="1" si="38"/>
        <v>DNS</v>
      </c>
      <c r="I64" s="382">
        <f t="shared" ca="1" si="39"/>
        <v>7200</v>
      </c>
      <c r="J64" s="382">
        <f t="shared" ca="1" si="40"/>
        <v>0</v>
      </c>
      <c r="K64" s="383">
        <f t="shared" ca="1" si="6"/>
        <v>0.52013888888888882</v>
      </c>
      <c r="L64" s="152">
        <f t="shared" ca="1" si="41"/>
        <v>0</v>
      </c>
      <c r="M64" s="384" t="str">
        <f ca="1">IF(L64&lt;&gt;0,tpm(L64,K64),"")</f>
        <v/>
      </c>
      <c r="N64" s="152">
        <f ca="1">IF(L64&lt;&gt;0,tDiff(L64,K64), 0)</f>
        <v>0</v>
      </c>
      <c r="O64" s="385" t="str">
        <f ca="1">IF(L64&lt;&gt;0,IF(M64="+",MIN(tInt(N64)*опережениеКВ,пределКВ),tInt(N64)*опережениеКВ),"DNS")</f>
        <v>DNS</v>
      </c>
      <c r="P64" s="152">
        <f t="shared" si="8"/>
        <v>8.3333335816860199E-2</v>
      </c>
      <c r="Q64" s="152">
        <f t="shared" ca="1" si="42"/>
        <v>0</v>
      </c>
      <c r="R64" s="383">
        <f t="shared" ca="1" si="43"/>
        <v>0.60347222470574902</v>
      </c>
      <c r="S64" s="152">
        <f t="shared" ca="1" si="44"/>
        <v>0</v>
      </c>
      <c r="T64" s="384" t="str">
        <f ca="1">IF(S64&lt;&gt;0,tpm(S64,R64),"")</f>
        <v/>
      </c>
      <c r="U64" s="152">
        <f ca="1">IF(S64&lt;&gt;0,tDiff(S64,R64), 0)</f>
        <v>0</v>
      </c>
      <c r="V64" s="385">
        <f ca="1">IF(S64&lt;&gt;0,IF(T64="+",MIN(MAX(tInt(U64-Q64),0)*опережениеКВ,пределКВ),tInt(U64)*опережениеКВ),пропускКВ)</f>
        <v>900</v>
      </c>
      <c r="W64" s="152">
        <f t="shared" si="11"/>
        <v>8.3333335816860199E-2</v>
      </c>
      <c r="X64" s="152">
        <f t="shared" ca="1" si="45"/>
        <v>0</v>
      </c>
      <c r="Y64" s="152">
        <f t="shared" ca="1" si="46"/>
        <v>0</v>
      </c>
      <c r="Z64" s="383">
        <f t="shared" ca="1" si="47"/>
        <v>0.68680556052260922</v>
      </c>
      <c r="AA64" s="152">
        <f t="shared" ca="1" si="48"/>
        <v>0</v>
      </c>
      <c r="AB64" s="384" t="str">
        <f ca="1">IF(AA64&lt;&gt;0,tpm(AA64,Z64),"")</f>
        <v/>
      </c>
      <c r="AC64" s="152">
        <f ca="1">IF(AA64&lt;&gt;0,tDiff(AA64,Z64), 0)</f>
        <v>0</v>
      </c>
      <c r="AD64" s="385" t="str">
        <f ca="1">IF(AA64&lt;&gt;0,IF(AB64="+",MIN(MAX(tInt(AC64-Y64),0)*опережениеКВ,пределКВ),IF(tInt(AC64)&lt;=ROUNDUP(tInt(W64)*0.1,0),0,(tInt(AC64)-ROUNDUP(tInt(W64)*0.1,0))*опережениеКВ)),"DNF")</f>
        <v>DNF</v>
      </c>
      <c r="AE64" s="383">
        <f t="shared" ca="1" si="14"/>
        <v>0</v>
      </c>
      <c r="AF64" s="152">
        <f t="shared" ca="1" si="49"/>
        <v>0</v>
      </c>
      <c r="AG64" s="152">
        <f ca="1">IF(OR(AE64=0,AF64=0),0,tDiff(AF64,AE64))</f>
        <v>0</v>
      </c>
      <c r="AH64" s="386">
        <f t="shared" ca="1" si="50"/>
        <v>0</v>
      </c>
      <c r="AI64" s="386">
        <f t="shared" ca="1" si="17"/>
        <v>0</v>
      </c>
      <c r="AJ64" s="380" t="str">
        <f ca="1">IF(AI64&lt;&gt;0,tpm(AI64,AH64,"s"),"")</f>
        <v/>
      </c>
      <c r="AK64" s="386">
        <f ca="1">IF(AI64&lt;&gt;0,tDiff(AI64,AH64,"s"), 0)</f>
        <v>0</v>
      </c>
      <c r="AL64" s="387">
        <f ca="1">IF(AI64=0,пропускСФ,MIN(tInt(AK64,"s")*отклонениеРД,пределРД))</f>
        <v>1800</v>
      </c>
      <c r="AM64" s="388">
        <f t="shared" ca="1" si="51"/>
        <v>0</v>
      </c>
      <c r="AN64" s="386">
        <f t="shared" ca="1" si="18"/>
        <v>0</v>
      </c>
      <c r="AO64" s="384" t="str">
        <f ca="1">IF(AND(AM64&lt;&gt;0,AN64&lt;&gt;0),tpm(AN64,AM64,"s"),"")</f>
        <v/>
      </c>
      <c r="AP64" s="386">
        <f ca="1">IF(AND(AM64&lt;&gt;0,AN64&lt;&gt;0),tDiff(AN64,AM64,"s"), 0)</f>
        <v>0</v>
      </c>
      <c r="AQ64" s="387">
        <f ca="1">IF(AM64=0,0,IF(AN64=0,пропускДС,MIN(tInt(AP64,"s")*отклонениеРД,пределРД)))</f>
        <v>0</v>
      </c>
      <c r="AR64" s="383">
        <f t="shared" ca="1" si="19"/>
        <v>0</v>
      </c>
      <c r="AS64" s="152">
        <f t="shared" ca="1" si="52"/>
        <v>0</v>
      </c>
      <c r="AT64" s="152">
        <f t="shared" ca="1" si="53"/>
        <v>0</v>
      </c>
      <c r="AU64" s="389">
        <f t="shared" ca="1" si="54"/>
        <v>0</v>
      </c>
      <c r="AV64" s="389">
        <f t="shared" ca="1" si="55"/>
        <v>0</v>
      </c>
      <c r="AW64" s="389">
        <f t="shared" ca="1" si="56"/>
        <v>0</v>
      </c>
      <c r="AX64" s="384">
        <f t="shared" ca="1" si="57"/>
        <v>0</v>
      </c>
      <c r="AY64" s="384">
        <f t="shared" ca="1" si="58"/>
        <v>0</v>
      </c>
      <c r="AZ64" s="387">
        <f t="shared" ca="1" si="68"/>
        <v>1800</v>
      </c>
      <c r="BA64" s="383">
        <f t="shared" ca="1" si="24"/>
        <v>0</v>
      </c>
      <c r="BB64" s="152">
        <f t="shared" ca="1" si="59"/>
        <v>0</v>
      </c>
      <c r="BC64" s="152">
        <f ca="1">IF(OR(BA64=0,BB64=0),0,tDiff(BB64,BA64))</f>
        <v>0</v>
      </c>
      <c r="BD64" s="386">
        <f t="shared" ca="1" si="60"/>
        <v>0</v>
      </c>
      <c r="BE64" s="386">
        <f t="shared" ca="1" si="27"/>
        <v>0</v>
      </c>
      <c r="BF64" s="380" t="str">
        <f ca="1">IF(BE64&lt;&gt;0,tpm(BE64,BD64,"s"),"")</f>
        <v/>
      </c>
      <c r="BG64" s="386">
        <f ca="1">IF(BE64&lt;&gt;0,tDiff(BE64,BD64,"s"), 0)</f>
        <v>0</v>
      </c>
      <c r="BH64" s="387">
        <f ca="1">IF(BE64=0,пропускСФ,MIN(tInt(BG64,"s")*отклонениеРД,пределРД))</f>
        <v>1800</v>
      </c>
      <c r="BI64" s="388">
        <f t="shared" ca="1" si="61"/>
        <v>0</v>
      </c>
      <c r="BJ64" s="386">
        <f t="shared" ca="1" si="28"/>
        <v>0</v>
      </c>
      <c r="BK64" s="384" t="str">
        <f ca="1">IF(BJ64&lt;&gt;0,tpm(BJ64,BI64,"s"),"")</f>
        <v/>
      </c>
      <c r="BL64" s="386">
        <f ca="1">IF(BJ64&lt;&gt;0,tDiff(BJ64,BI64,"s"), 0)</f>
        <v>0</v>
      </c>
      <c r="BM64" s="387">
        <f ca="1">IF(BJ64=0,пропускСФ,MIN(tInt(BL64,"s")*отклонениеРД,пределРД))</f>
        <v>1800</v>
      </c>
      <c r="BN64" s="388">
        <f t="shared" ca="1" si="62"/>
        <v>0</v>
      </c>
      <c r="BO64" s="386">
        <f t="shared" ca="1" si="29"/>
        <v>0</v>
      </c>
      <c r="BP64" s="384" t="str">
        <f ca="1">IF(AND(BO64&lt;&gt;0,BN64&lt;&gt;0),tpm(BO64,BN64,"s"),"")</f>
        <v/>
      </c>
      <c r="BQ64" s="386">
        <f ca="1">IF(AND(BO64&lt;&gt;0,BN64&lt;&gt;0),tDiff(BO64,BN64,"s"), 0)</f>
        <v>0</v>
      </c>
      <c r="BR64" s="387">
        <f ca="1">IF(BN64=0,0,IF(BO64=0,пропускДС,MIN(tInt(BQ64,"s")*отклонениеРД,пределРД)))</f>
        <v>0</v>
      </c>
      <c r="BS64" s="390">
        <f t="shared" ca="1" si="30"/>
        <v>0</v>
      </c>
      <c r="BT64" s="387">
        <f t="shared" ca="1" si="63"/>
        <v>0</v>
      </c>
      <c r="BU64" s="383">
        <f t="shared" ca="1" si="32"/>
        <v>0</v>
      </c>
      <c r="BV64" s="391">
        <f t="shared" ca="1" si="64"/>
        <v>900</v>
      </c>
      <c r="BW64" s="383">
        <f t="shared" ca="1" si="69"/>
        <v>0</v>
      </c>
      <c r="BX64" s="391">
        <f t="shared" ca="1" si="65"/>
        <v>900</v>
      </c>
      <c r="BY64" s="383">
        <f t="shared" ca="1" si="69"/>
        <v>0</v>
      </c>
      <c r="BZ64" s="391">
        <f t="shared" ca="1" si="66"/>
        <v>900</v>
      </c>
      <c r="CA64" s="383">
        <f ca="1">IF(L64&lt;&gt;0,tTrunc(L64+_ВКВ1/_КВ2Скорость/24),tTrunc(K64+_ВКВ1/_КВ2Скорость/24))</f>
        <v>0.60138887166976929</v>
      </c>
      <c r="CB64" s="152">
        <f t="shared" ca="1" si="67"/>
        <v>0</v>
      </c>
      <c r="CC64" s="152">
        <f>ROUNDUP(tInt(_ВКВ1/_КВ2Скорость/24)/10,0)/1440</f>
        <v>8.3333333333333332E-3</v>
      </c>
      <c r="CD64" s="384" t="str">
        <f ca="1">IF(AND(CB64&lt;&gt;0,CA64&lt;&gt;0),tpm(CB64,CA64),"")</f>
        <v/>
      </c>
      <c r="CE64" s="152">
        <f ca="1">IF(CB64&lt;&gt;0,tDiff(CB64,CA64), 0)</f>
        <v>0</v>
      </c>
      <c r="CF64" s="391">
        <f ca="1">IF(CB64&lt;&gt;0,IF(CD64="+",0,IF(CE64&gt;CC64,tInt(CE64-CC64)*опережениеКВ,0)),пропускКВ)</f>
        <v>900</v>
      </c>
    </row>
    <row r="65" spans="1:84" s="367" customFormat="1" hidden="1" x14ac:dyDescent="0.25">
      <c r="A65" s="586" t="str">
        <f>стартоваяВедомость!B66</f>
        <v/>
      </c>
      <c r="B65" s="355">
        <f t="shared" ca="1" si="0"/>
        <v>0</v>
      </c>
      <c r="C65" s="355">
        <f t="shared" ca="1" si="1"/>
        <v>0</v>
      </c>
      <c r="D65" s="355">
        <f t="shared" ca="1" si="2"/>
        <v>0</v>
      </c>
      <c r="E65" s="355">
        <f t="shared" ca="1" si="3"/>
        <v>0</v>
      </c>
      <c r="F65" s="355">
        <f t="shared" ca="1" si="4"/>
        <v>0</v>
      </c>
      <c r="G65" s="356" t="str">
        <f t="shared" si="37"/>
        <v/>
      </c>
      <c r="H65" s="356" t="str">
        <f t="shared" ca="1" si="38"/>
        <v>DNS</v>
      </c>
      <c r="I65" s="356">
        <f t="shared" ca="1" si="39"/>
        <v>7200</v>
      </c>
      <c r="J65" s="356">
        <f t="shared" ca="1" si="40"/>
        <v>0</v>
      </c>
      <c r="K65" s="357">
        <f t="shared" ca="1" si="6"/>
        <v>0.52013888888888882</v>
      </c>
      <c r="L65" s="358">
        <f t="shared" ca="1" si="41"/>
        <v>0</v>
      </c>
      <c r="M65" s="359" t="str">
        <f ca="1">IF(L65&lt;&gt;0,tpm(L65,K65),"")</f>
        <v/>
      </c>
      <c r="N65" s="358">
        <f ca="1">IF(L65&lt;&gt;0,tDiff(L65,K65), 0)</f>
        <v>0</v>
      </c>
      <c r="O65" s="360" t="str">
        <f ca="1">IF(L65&lt;&gt;0,IF(M65="+",MIN(tInt(N65)*опережениеКВ,пределКВ),tInt(N65)*опережениеКВ),"DNS")</f>
        <v>DNS</v>
      </c>
      <c r="P65" s="358">
        <f t="shared" si="8"/>
        <v>8.3333335816860199E-2</v>
      </c>
      <c r="Q65" s="358">
        <f t="shared" ca="1" si="42"/>
        <v>0</v>
      </c>
      <c r="R65" s="357">
        <f t="shared" ca="1" si="43"/>
        <v>0.60347222470574902</v>
      </c>
      <c r="S65" s="358">
        <f t="shared" ca="1" si="44"/>
        <v>0</v>
      </c>
      <c r="T65" s="359" t="str">
        <f ca="1">IF(S65&lt;&gt;0,tpm(S65,R65),"")</f>
        <v/>
      </c>
      <c r="U65" s="358">
        <f ca="1">IF(S65&lt;&gt;0,tDiff(S65,R65), 0)</f>
        <v>0</v>
      </c>
      <c r="V65" s="360">
        <f ca="1">IF(S65&lt;&gt;0,IF(T65="+",MIN(MAX(tInt(U65-Q65),0)*опережениеКВ,пределКВ),tInt(U65)*опережениеКВ),пропускКВ)</f>
        <v>900</v>
      </c>
      <c r="W65" s="358">
        <f t="shared" si="11"/>
        <v>8.3333335816860199E-2</v>
      </c>
      <c r="X65" s="358">
        <f t="shared" ca="1" si="45"/>
        <v>0</v>
      </c>
      <c r="Y65" s="358">
        <f t="shared" ca="1" si="46"/>
        <v>0</v>
      </c>
      <c r="Z65" s="357">
        <f t="shared" ca="1" si="47"/>
        <v>0.68680556052260922</v>
      </c>
      <c r="AA65" s="358">
        <f t="shared" ca="1" si="48"/>
        <v>0</v>
      </c>
      <c r="AB65" s="359" t="str">
        <f ca="1">IF(AA65&lt;&gt;0,tpm(AA65,Z65),"")</f>
        <v/>
      </c>
      <c r="AC65" s="358">
        <f ca="1">IF(AA65&lt;&gt;0,tDiff(AA65,Z65), 0)</f>
        <v>0</v>
      </c>
      <c r="AD65" s="360" t="str">
        <f ca="1">IF(AA65&lt;&gt;0,IF(AB65="+",MIN(MAX(tInt(AC65-Y65),0)*опережениеКВ,пределКВ),IF(tInt(AC65)&lt;=ROUNDUP(tInt(W65)*0.1,0),0,(tInt(AC65)-ROUNDUP(tInt(W65)*0.1,0))*опережениеКВ)),"DNF")</f>
        <v>DNF</v>
      </c>
      <c r="AE65" s="357">
        <f t="shared" ca="1" si="14"/>
        <v>0</v>
      </c>
      <c r="AF65" s="358">
        <f t="shared" ca="1" si="49"/>
        <v>0</v>
      </c>
      <c r="AG65" s="358">
        <f ca="1">IF(OR(AE65=0,AF65=0),0,tDiff(AF65,AE65))</f>
        <v>0</v>
      </c>
      <c r="AH65" s="362">
        <f t="shared" ca="1" si="50"/>
        <v>0</v>
      </c>
      <c r="AI65" s="362">
        <f t="shared" ca="1" si="17"/>
        <v>0</v>
      </c>
      <c r="AJ65" s="354" t="str">
        <f ca="1">IF(AI65&lt;&gt;0,tpm(AI65,AH65,"s"),"")</f>
        <v/>
      </c>
      <c r="AK65" s="362">
        <f ca="1">IF(AI65&lt;&gt;0,tDiff(AI65,AH65,"s"), 0)</f>
        <v>0</v>
      </c>
      <c r="AL65" s="363">
        <f ca="1">IF(AI65=0,пропускСФ,MIN(tInt(AK65,"s")*отклонениеРД,пределРД))</f>
        <v>1800</v>
      </c>
      <c r="AM65" s="364">
        <f t="shared" ca="1" si="51"/>
        <v>0</v>
      </c>
      <c r="AN65" s="362">
        <f t="shared" ca="1" si="18"/>
        <v>0</v>
      </c>
      <c r="AO65" s="359" t="str">
        <f ca="1">IF(AND(AM65&lt;&gt;0,AN65&lt;&gt;0),tpm(AN65,AM65,"s"),"")</f>
        <v/>
      </c>
      <c r="AP65" s="362">
        <f ca="1">IF(AND(AM65&lt;&gt;0,AN65&lt;&gt;0),tDiff(AN65,AM65,"s"), 0)</f>
        <v>0</v>
      </c>
      <c r="AQ65" s="363">
        <f ca="1">IF(AM65=0,0,IF(AN65=0,пропускДС,MIN(tInt(AP65,"s")*отклонениеРД,пределРД)))</f>
        <v>0</v>
      </c>
      <c r="AR65" s="357">
        <f t="shared" ca="1" si="19"/>
        <v>0</v>
      </c>
      <c r="AS65" s="358">
        <f t="shared" ca="1" si="52"/>
        <v>0</v>
      </c>
      <c r="AT65" s="358">
        <f t="shared" ca="1" si="53"/>
        <v>0</v>
      </c>
      <c r="AU65" s="365">
        <f t="shared" ca="1" si="54"/>
        <v>0</v>
      </c>
      <c r="AV65" s="365">
        <f t="shared" ca="1" si="55"/>
        <v>0</v>
      </c>
      <c r="AW65" s="365">
        <f t="shared" ca="1" si="56"/>
        <v>0</v>
      </c>
      <c r="AX65" s="359">
        <f t="shared" ca="1" si="57"/>
        <v>0</v>
      </c>
      <c r="AY65" s="359">
        <f t="shared" ca="1" si="58"/>
        <v>0</v>
      </c>
      <c r="AZ65" s="363">
        <f t="shared" ca="1" si="68"/>
        <v>1800</v>
      </c>
      <c r="BA65" s="357">
        <f t="shared" ca="1" si="24"/>
        <v>0</v>
      </c>
      <c r="BB65" s="358">
        <f t="shared" ca="1" si="59"/>
        <v>0</v>
      </c>
      <c r="BC65" s="358">
        <f ca="1">IF(OR(BA65=0,BB65=0),0,tDiff(BB65,BA65))</f>
        <v>0</v>
      </c>
      <c r="BD65" s="362">
        <f t="shared" ca="1" si="60"/>
        <v>0</v>
      </c>
      <c r="BE65" s="362">
        <f t="shared" ca="1" si="27"/>
        <v>0</v>
      </c>
      <c r="BF65" s="354" t="str">
        <f ca="1">IF(BE65&lt;&gt;0,tpm(BE65,BD65,"s"),"")</f>
        <v/>
      </c>
      <c r="BG65" s="362">
        <f ca="1">IF(BE65&lt;&gt;0,tDiff(BE65,BD65,"s"), 0)</f>
        <v>0</v>
      </c>
      <c r="BH65" s="363">
        <f ca="1">IF(BE65=0,пропускСФ,MIN(tInt(BG65,"s")*отклонениеРД,пределРД))</f>
        <v>1800</v>
      </c>
      <c r="BI65" s="364">
        <f t="shared" ca="1" si="61"/>
        <v>0</v>
      </c>
      <c r="BJ65" s="362">
        <f t="shared" ca="1" si="28"/>
        <v>0</v>
      </c>
      <c r="BK65" s="359" t="str">
        <f ca="1">IF(BJ65&lt;&gt;0,tpm(BJ65,BI65,"s"),"")</f>
        <v/>
      </c>
      <c r="BL65" s="362">
        <f ca="1">IF(BJ65&lt;&gt;0,tDiff(BJ65,BI65,"s"), 0)</f>
        <v>0</v>
      </c>
      <c r="BM65" s="363">
        <f ca="1">IF(BJ65=0,пропускСФ,MIN(tInt(BL65,"s")*отклонениеРД,пределРД))</f>
        <v>1800</v>
      </c>
      <c r="BN65" s="364">
        <f t="shared" ca="1" si="62"/>
        <v>0</v>
      </c>
      <c r="BO65" s="362">
        <f t="shared" ca="1" si="29"/>
        <v>0</v>
      </c>
      <c r="BP65" s="359" t="str">
        <f ca="1">IF(AND(BO65&lt;&gt;0,BN65&lt;&gt;0),tpm(BO65,BN65,"s"),"")</f>
        <v/>
      </c>
      <c r="BQ65" s="362">
        <f ca="1">IF(AND(BO65&lt;&gt;0,BN65&lt;&gt;0),tDiff(BO65,BN65,"s"), 0)</f>
        <v>0</v>
      </c>
      <c r="BR65" s="363">
        <f ca="1">IF(BN65=0,0,IF(BO65=0,пропускДС,MIN(tInt(BQ65,"s")*отклонениеРД,пределРД)))</f>
        <v>0</v>
      </c>
      <c r="BS65" s="366">
        <f t="shared" ca="1" si="30"/>
        <v>0</v>
      </c>
      <c r="BT65" s="363">
        <f t="shared" ca="1" si="63"/>
        <v>0</v>
      </c>
      <c r="BU65" s="357">
        <f t="shared" ca="1" si="32"/>
        <v>0</v>
      </c>
      <c r="BV65" s="361">
        <f t="shared" ca="1" si="64"/>
        <v>900</v>
      </c>
      <c r="BW65" s="357">
        <f t="shared" ca="1" si="69"/>
        <v>0</v>
      </c>
      <c r="BX65" s="361">
        <f t="shared" ca="1" si="65"/>
        <v>900</v>
      </c>
      <c r="BY65" s="357">
        <f t="shared" ca="1" si="69"/>
        <v>0</v>
      </c>
      <c r="BZ65" s="361">
        <f t="shared" ca="1" si="66"/>
        <v>900</v>
      </c>
      <c r="CA65" s="357">
        <f ca="1">IF(L65&lt;&gt;0,tTrunc(L65+_ВКВ1/_КВ2Скорость/24),tTrunc(K65+_ВКВ1/_КВ2Скорость/24))</f>
        <v>0.60138887166976929</v>
      </c>
      <c r="CB65" s="358">
        <f t="shared" ca="1" si="67"/>
        <v>0</v>
      </c>
      <c r="CC65" s="358">
        <f>ROUNDUP(tInt(_ВКВ1/_КВ2Скорость/24)/10,0)/1440</f>
        <v>8.3333333333333332E-3</v>
      </c>
      <c r="CD65" s="359" t="str">
        <f ca="1">IF(AND(CB65&lt;&gt;0,CA65&lt;&gt;0),tpm(CB65,CA65),"")</f>
        <v/>
      </c>
      <c r="CE65" s="358">
        <f ca="1">IF(CB65&lt;&gt;0,tDiff(CB65,CA65), 0)</f>
        <v>0</v>
      </c>
      <c r="CF65" s="361">
        <f ca="1">IF(CB65&lt;&gt;0,IF(CD65="+",0,IF(CE65&gt;CC65,tInt(CE65-CC65)*опережениеКВ,0)),пропускКВ)</f>
        <v>900</v>
      </c>
    </row>
    <row r="66" spans="1:84" s="22" customFormat="1" hidden="1" x14ac:dyDescent="0.25">
      <c r="A66" s="587" t="str">
        <f>стартоваяВедомость!B67</f>
        <v/>
      </c>
      <c r="B66" s="381">
        <f t="shared" ca="1" si="0"/>
        <v>0</v>
      </c>
      <c r="C66" s="381">
        <f t="shared" ca="1" si="1"/>
        <v>0</v>
      </c>
      <c r="D66" s="381">
        <f t="shared" ca="1" si="2"/>
        <v>0</v>
      </c>
      <c r="E66" s="381">
        <f t="shared" ca="1" si="3"/>
        <v>0</v>
      </c>
      <c r="F66" s="381">
        <f t="shared" ca="1" si="4"/>
        <v>0</v>
      </c>
      <c r="G66" s="382" t="str">
        <f t="shared" si="37"/>
        <v/>
      </c>
      <c r="H66" s="382" t="str">
        <f t="shared" ca="1" si="38"/>
        <v>DNS</v>
      </c>
      <c r="I66" s="382">
        <f t="shared" ca="1" si="39"/>
        <v>7200</v>
      </c>
      <c r="J66" s="382">
        <f t="shared" ca="1" si="40"/>
        <v>0</v>
      </c>
      <c r="K66" s="383">
        <f t="shared" ca="1" si="6"/>
        <v>0.52013888888888882</v>
      </c>
      <c r="L66" s="152">
        <f t="shared" ca="1" si="41"/>
        <v>0</v>
      </c>
      <c r="M66" s="384" t="str">
        <f ca="1">IF(L66&lt;&gt;0,tpm(L66,K66),"")</f>
        <v/>
      </c>
      <c r="N66" s="152">
        <f ca="1">IF(L66&lt;&gt;0,tDiff(L66,K66), 0)</f>
        <v>0</v>
      </c>
      <c r="O66" s="385" t="str">
        <f ca="1">IF(L66&lt;&gt;0,IF(M66="+",MIN(tInt(N66)*опережениеКВ,пределКВ),tInt(N66)*опережениеКВ),"DNS")</f>
        <v>DNS</v>
      </c>
      <c r="P66" s="152">
        <f t="shared" si="8"/>
        <v>8.3333335816860199E-2</v>
      </c>
      <c r="Q66" s="152">
        <f t="shared" ca="1" si="42"/>
        <v>0</v>
      </c>
      <c r="R66" s="383">
        <f t="shared" ca="1" si="43"/>
        <v>0.60347222470574902</v>
      </c>
      <c r="S66" s="152">
        <f t="shared" ca="1" si="44"/>
        <v>0</v>
      </c>
      <c r="T66" s="384" t="str">
        <f ca="1">IF(S66&lt;&gt;0,tpm(S66,R66),"")</f>
        <v/>
      </c>
      <c r="U66" s="152">
        <f ca="1">IF(S66&lt;&gt;0,tDiff(S66,R66), 0)</f>
        <v>0</v>
      </c>
      <c r="V66" s="385">
        <f ca="1">IF(S66&lt;&gt;0,IF(T66="+",MIN(MAX(tInt(U66-Q66),0)*опережениеКВ,пределКВ),tInt(U66)*опережениеКВ),пропускКВ)</f>
        <v>900</v>
      </c>
      <c r="W66" s="152">
        <f t="shared" si="11"/>
        <v>8.3333335816860199E-2</v>
      </c>
      <c r="X66" s="152">
        <f t="shared" ca="1" si="45"/>
        <v>0</v>
      </c>
      <c r="Y66" s="152">
        <f t="shared" ca="1" si="46"/>
        <v>0</v>
      </c>
      <c r="Z66" s="383">
        <f t="shared" ca="1" si="47"/>
        <v>0.68680556052260922</v>
      </c>
      <c r="AA66" s="152">
        <f t="shared" ca="1" si="48"/>
        <v>0</v>
      </c>
      <c r="AB66" s="384" t="str">
        <f ca="1">IF(AA66&lt;&gt;0,tpm(AA66,Z66),"")</f>
        <v/>
      </c>
      <c r="AC66" s="152">
        <f ca="1">IF(AA66&lt;&gt;0,tDiff(AA66,Z66), 0)</f>
        <v>0</v>
      </c>
      <c r="AD66" s="385" t="str">
        <f ca="1">IF(AA66&lt;&gt;0,IF(AB66="+",MIN(MAX(tInt(AC66-Y66),0)*опережениеКВ,пределКВ),IF(tInt(AC66)&lt;=ROUNDUP(tInt(W66)*0.1,0),0,(tInt(AC66)-ROUNDUP(tInt(W66)*0.1,0))*опережениеКВ)),"DNF")</f>
        <v>DNF</v>
      </c>
      <c r="AE66" s="383">
        <f t="shared" ca="1" si="14"/>
        <v>0</v>
      </c>
      <c r="AF66" s="152">
        <f t="shared" ca="1" si="49"/>
        <v>0</v>
      </c>
      <c r="AG66" s="152">
        <f ca="1">IF(OR(AE66=0,AF66=0),0,tDiff(AF66,AE66))</f>
        <v>0</v>
      </c>
      <c r="AH66" s="386">
        <f t="shared" ca="1" si="50"/>
        <v>0</v>
      </c>
      <c r="AI66" s="386">
        <f t="shared" ca="1" si="17"/>
        <v>0</v>
      </c>
      <c r="AJ66" s="380" t="str">
        <f ca="1">IF(AI66&lt;&gt;0,tpm(AI66,AH66,"s"),"")</f>
        <v/>
      </c>
      <c r="AK66" s="386">
        <f ca="1">IF(AI66&lt;&gt;0,tDiff(AI66,AH66,"s"), 0)</f>
        <v>0</v>
      </c>
      <c r="AL66" s="387">
        <f ca="1">IF(AI66=0,пропускСФ,MIN(tInt(AK66,"s")*отклонениеРД,пределРД))</f>
        <v>1800</v>
      </c>
      <c r="AM66" s="388">
        <f t="shared" ca="1" si="51"/>
        <v>0</v>
      </c>
      <c r="AN66" s="386">
        <f t="shared" ca="1" si="18"/>
        <v>0</v>
      </c>
      <c r="AO66" s="384" t="str">
        <f ca="1">IF(AND(AM66&lt;&gt;0,AN66&lt;&gt;0),tpm(AN66,AM66,"s"),"")</f>
        <v/>
      </c>
      <c r="AP66" s="386">
        <f ca="1">IF(AND(AM66&lt;&gt;0,AN66&lt;&gt;0),tDiff(AN66,AM66,"s"), 0)</f>
        <v>0</v>
      </c>
      <c r="AQ66" s="387">
        <f ca="1">IF(AM66=0,0,IF(AN66=0,пропускДС,MIN(tInt(AP66,"s")*отклонениеРД,пределРД)))</f>
        <v>0</v>
      </c>
      <c r="AR66" s="383">
        <f t="shared" ca="1" si="19"/>
        <v>0</v>
      </c>
      <c r="AS66" s="152">
        <f t="shared" ca="1" si="52"/>
        <v>0</v>
      </c>
      <c r="AT66" s="152">
        <f t="shared" ca="1" si="53"/>
        <v>0</v>
      </c>
      <c r="AU66" s="389">
        <f t="shared" ca="1" si="54"/>
        <v>0</v>
      </c>
      <c r="AV66" s="389">
        <f t="shared" ca="1" si="55"/>
        <v>0</v>
      </c>
      <c r="AW66" s="389">
        <f t="shared" ca="1" si="56"/>
        <v>0</v>
      </c>
      <c r="AX66" s="384">
        <f t="shared" ca="1" si="57"/>
        <v>0</v>
      </c>
      <c r="AY66" s="384">
        <f t="shared" ca="1" si="58"/>
        <v>0</v>
      </c>
      <c r="AZ66" s="387">
        <f t="shared" ca="1" si="68"/>
        <v>1800</v>
      </c>
      <c r="BA66" s="383">
        <f t="shared" ca="1" si="24"/>
        <v>0</v>
      </c>
      <c r="BB66" s="152">
        <f t="shared" ca="1" si="59"/>
        <v>0</v>
      </c>
      <c r="BC66" s="152">
        <f ca="1">IF(OR(BA66=0,BB66=0),0,tDiff(BB66,BA66))</f>
        <v>0</v>
      </c>
      <c r="BD66" s="386">
        <f t="shared" ca="1" si="60"/>
        <v>0</v>
      </c>
      <c r="BE66" s="386">
        <f t="shared" ca="1" si="27"/>
        <v>0</v>
      </c>
      <c r="BF66" s="380" t="str">
        <f ca="1">IF(BE66&lt;&gt;0,tpm(BE66,BD66,"s"),"")</f>
        <v/>
      </c>
      <c r="BG66" s="386">
        <f ca="1">IF(BE66&lt;&gt;0,tDiff(BE66,BD66,"s"), 0)</f>
        <v>0</v>
      </c>
      <c r="BH66" s="387">
        <f ca="1">IF(BE66=0,пропускСФ,MIN(tInt(BG66,"s")*отклонениеРД,пределРД))</f>
        <v>1800</v>
      </c>
      <c r="BI66" s="388">
        <f t="shared" ca="1" si="61"/>
        <v>0</v>
      </c>
      <c r="BJ66" s="386">
        <f t="shared" ca="1" si="28"/>
        <v>0</v>
      </c>
      <c r="BK66" s="384" t="str">
        <f ca="1">IF(BJ66&lt;&gt;0,tpm(BJ66,BI66,"s"),"")</f>
        <v/>
      </c>
      <c r="BL66" s="386">
        <f ca="1">IF(BJ66&lt;&gt;0,tDiff(BJ66,BI66,"s"), 0)</f>
        <v>0</v>
      </c>
      <c r="BM66" s="387">
        <f ca="1">IF(BJ66=0,пропускСФ,MIN(tInt(BL66,"s")*отклонениеРД,пределРД))</f>
        <v>1800</v>
      </c>
      <c r="BN66" s="388">
        <f t="shared" ca="1" si="62"/>
        <v>0</v>
      </c>
      <c r="BO66" s="386">
        <f t="shared" ca="1" si="29"/>
        <v>0</v>
      </c>
      <c r="BP66" s="384" t="str">
        <f ca="1">IF(AND(BO66&lt;&gt;0,BN66&lt;&gt;0),tpm(BO66,BN66,"s"),"")</f>
        <v/>
      </c>
      <c r="BQ66" s="386">
        <f ca="1">IF(AND(BO66&lt;&gt;0,BN66&lt;&gt;0),tDiff(BO66,BN66,"s"), 0)</f>
        <v>0</v>
      </c>
      <c r="BR66" s="387">
        <f ca="1">IF(BN66=0,0,IF(BO66=0,пропускДС,MIN(tInt(BQ66,"s")*отклонениеРД,пределРД)))</f>
        <v>0</v>
      </c>
      <c r="BS66" s="390">
        <f t="shared" ca="1" si="30"/>
        <v>0</v>
      </c>
      <c r="BT66" s="387">
        <f t="shared" ca="1" si="63"/>
        <v>0</v>
      </c>
      <c r="BU66" s="383">
        <f t="shared" ca="1" si="32"/>
        <v>0</v>
      </c>
      <c r="BV66" s="391">
        <f t="shared" ca="1" si="64"/>
        <v>900</v>
      </c>
      <c r="BW66" s="383">
        <f t="shared" ca="1" si="69"/>
        <v>0</v>
      </c>
      <c r="BX66" s="391">
        <f t="shared" ca="1" si="65"/>
        <v>900</v>
      </c>
      <c r="BY66" s="383">
        <f t="shared" ca="1" si="69"/>
        <v>0</v>
      </c>
      <c r="BZ66" s="391">
        <f t="shared" ca="1" si="66"/>
        <v>900</v>
      </c>
      <c r="CA66" s="383">
        <f ca="1">IF(L66&lt;&gt;0,tTrunc(L66+_ВКВ1/_КВ2Скорость/24),tTrunc(K66+_ВКВ1/_КВ2Скорость/24))</f>
        <v>0.60138887166976929</v>
      </c>
      <c r="CB66" s="152">
        <f t="shared" ca="1" si="67"/>
        <v>0</v>
      </c>
      <c r="CC66" s="152">
        <f>ROUNDUP(tInt(_ВКВ1/_КВ2Скорость/24)/10,0)/1440</f>
        <v>8.3333333333333332E-3</v>
      </c>
      <c r="CD66" s="384" t="str">
        <f ca="1">IF(AND(CB66&lt;&gt;0,CA66&lt;&gt;0),tpm(CB66,CA66),"")</f>
        <v/>
      </c>
      <c r="CE66" s="152">
        <f ca="1">IF(CB66&lt;&gt;0,tDiff(CB66,CA66), 0)</f>
        <v>0</v>
      </c>
      <c r="CF66" s="391">
        <f ca="1">IF(CB66&lt;&gt;0,IF(CD66="+",0,IF(CE66&gt;CC66,tInt(CE66-CC66)*опережениеКВ,0)),пропускКВ)</f>
        <v>900</v>
      </c>
    </row>
    <row r="67" spans="1:84" s="367" customFormat="1" hidden="1" x14ac:dyDescent="0.25">
      <c r="A67" s="586" t="str">
        <f>стартоваяВедомость!B68</f>
        <v/>
      </c>
      <c r="B67" s="355">
        <f t="shared" ca="1" si="0"/>
        <v>0</v>
      </c>
      <c r="C67" s="355">
        <f t="shared" ca="1" si="1"/>
        <v>0</v>
      </c>
      <c r="D67" s="355">
        <f t="shared" ca="1" si="2"/>
        <v>0</v>
      </c>
      <c r="E67" s="355">
        <f t="shared" ca="1" si="3"/>
        <v>0</v>
      </c>
      <c r="F67" s="355">
        <f t="shared" ca="1" si="4"/>
        <v>0</v>
      </c>
      <c r="G67" s="356" t="str">
        <f t="shared" si="37"/>
        <v/>
      </c>
      <c r="H67" s="356" t="str">
        <f t="shared" ca="1" si="38"/>
        <v>DNS</v>
      </c>
      <c r="I67" s="356">
        <f t="shared" ca="1" si="39"/>
        <v>7200</v>
      </c>
      <c r="J67" s="356">
        <f t="shared" ca="1" si="40"/>
        <v>0</v>
      </c>
      <c r="K67" s="357">
        <f t="shared" ca="1" si="6"/>
        <v>0.52013888888888882</v>
      </c>
      <c r="L67" s="358">
        <f t="shared" ca="1" si="41"/>
        <v>0</v>
      </c>
      <c r="M67" s="359" t="str">
        <f ca="1">IF(L67&lt;&gt;0,tpm(L67,K67),"")</f>
        <v/>
      </c>
      <c r="N67" s="358">
        <f ca="1">IF(L67&lt;&gt;0,tDiff(L67,K67), 0)</f>
        <v>0</v>
      </c>
      <c r="O67" s="360" t="str">
        <f ca="1">IF(L67&lt;&gt;0,IF(M67="+",MIN(tInt(N67)*опережениеКВ,пределКВ),tInt(N67)*опережениеКВ),"DNS")</f>
        <v>DNS</v>
      </c>
      <c r="P67" s="358">
        <f t="shared" si="8"/>
        <v>8.3333335816860199E-2</v>
      </c>
      <c r="Q67" s="358">
        <f t="shared" ca="1" si="42"/>
        <v>0</v>
      </c>
      <c r="R67" s="357">
        <f t="shared" ca="1" si="43"/>
        <v>0.60347222470574902</v>
      </c>
      <c r="S67" s="358">
        <f t="shared" ca="1" si="44"/>
        <v>0</v>
      </c>
      <c r="T67" s="359" t="str">
        <f ca="1">IF(S67&lt;&gt;0,tpm(S67,R67),"")</f>
        <v/>
      </c>
      <c r="U67" s="358">
        <f ca="1">IF(S67&lt;&gt;0,tDiff(S67,R67), 0)</f>
        <v>0</v>
      </c>
      <c r="V67" s="360">
        <f ca="1">IF(S67&lt;&gt;0,IF(T67="+",MIN(MAX(tInt(U67-Q67),0)*опережениеКВ,пределКВ),tInt(U67)*опережениеКВ),пропускКВ)</f>
        <v>900</v>
      </c>
      <c r="W67" s="358">
        <f t="shared" si="11"/>
        <v>8.3333335816860199E-2</v>
      </c>
      <c r="X67" s="358">
        <f t="shared" ca="1" si="45"/>
        <v>0</v>
      </c>
      <c r="Y67" s="358">
        <f t="shared" ca="1" si="46"/>
        <v>0</v>
      </c>
      <c r="Z67" s="357">
        <f t="shared" ca="1" si="47"/>
        <v>0.68680556052260922</v>
      </c>
      <c r="AA67" s="358">
        <f t="shared" ca="1" si="48"/>
        <v>0</v>
      </c>
      <c r="AB67" s="359" t="str">
        <f ca="1">IF(AA67&lt;&gt;0,tpm(AA67,Z67),"")</f>
        <v/>
      </c>
      <c r="AC67" s="358">
        <f ca="1">IF(AA67&lt;&gt;0,tDiff(AA67,Z67), 0)</f>
        <v>0</v>
      </c>
      <c r="AD67" s="360" t="str">
        <f ca="1">IF(AA67&lt;&gt;0,IF(AB67="+",MIN(MAX(tInt(AC67-Y67),0)*опережениеКВ,пределКВ),IF(tInt(AC67)&lt;=ROUNDUP(tInt(W67)*0.1,0),0,(tInt(AC67)-ROUNDUP(tInt(W67)*0.1,0))*опережениеКВ)),"DNF")</f>
        <v>DNF</v>
      </c>
      <c r="AE67" s="357">
        <f t="shared" ca="1" si="14"/>
        <v>0</v>
      </c>
      <c r="AF67" s="358">
        <f t="shared" ca="1" si="49"/>
        <v>0</v>
      </c>
      <c r="AG67" s="358">
        <f ca="1">IF(OR(AE67=0,AF67=0),0,tDiff(AF67,AE67))</f>
        <v>0</v>
      </c>
      <c r="AH67" s="362">
        <f t="shared" ca="1" si="50"/>
        <v>0</v>
      </c>
      <c r="AI67" s="362">
        <f t="shared" ca="1" si="17"/>
        <v>0</v>
      </c>
      <c r="AJ67" s="354" t="str">
        <f ca="1">IF(AI67&lt;&gt;0,tpm(AI67,AH67,"s"),"")</f>
        <v/>
      </c>
      <c r="AK67" s="362">
        <f ca="1">IF(AI67&lt;&gt;0,tDiff(AI67,AH67,"s"), 0)</f>
        <v>0</v>
      </c>
      <c r="AL67" s="363">
        <f ca="1">IF(AI67=0,пропускСФ,MIN(tInt(AK67,"s")*отклонениеРД,пределРД))</f>
        <v>1800</v>
      </c>
      <c r="AM67" s="364">
        <f t="shared" ca="1" si="51"/>
        <v>0</v>
      </c>
      <c r="AN67" s="362">
        <f t="shared" ca="1" si="18"/>
        <v>0</v>
      </c>
      <c r="AO67" s="359" t="str">
        <f ca="1">IF(AND(AM67&lt;&gt;0,AN67&lt;&gt;0),tpm(AN67,AM67,"s"),"")</f>
        <v/>
      </c>
      <c r="AP67" s="362">
        <f ca="1">IF(AND(AM67&lt;&gt;0,AN67&lt;&gt;0),tDiff(AN67,AM67,"s"), 0)</f>
        <v>0</v>
      </c>
      <c r="AQ67" s="363">
        <f ca="1">IF(AM67=0,0,IF(AN67=0,пропускДС,MIN(tInt(AP67,"s")*отклонениеРД,пределРД)))</f>
        <v>0</v>
      </c>
      <c r="AR67" s="357">
        <f t="shared" ca="1" si="19"/>
        <v>0</v>
      </c>
      <c r="AS67" s="358">
        <f t="shared" ca="1" si="52"/>
        <v>0</v>
      </c>
      <c r="AT67" s="358">
        <f t="shared" ca="1" si="53"/>
        <v>0</v>
      </c>
      <c r="AU67" s="365">
        <f t="shared" ca="1" si="54"/>
        <v>0</v>
      </c>
      <c r="AV67" s="365">
        <f t="shared" ca="1" si="55"/>
        <v>0</v>
      </c>
      <c r="AW67" s="365">
        <f t="shared" ca="1" si="56"/>
        <v>0</v>
      </c>
      <c r="AX67" s="359">
        <f t="shared" ca="1" si="57"/>
        <v>0</v>
      </c>
      <c r="AY67" s="359">
        <f t="shared" ca="1" si="58"/>
        <v>0</v>
      </c>
      <c r="AZ67" s="363">
        <f t="shared" ca="1" si="68"/>
        <v>1800</v>
      </c>
      <c r="BA67" s="357">
        <f t="shared" ca="1" si="24"/>
        <v>0</v>
      </c>
      <c r="BB67" s="358">
        <f t="shared" ca="1" si="59"/>
        <v>0</v>
      </c>
      <c r="BC67" s="358">
        <f ca="1">IF(OR(BA67=0,BB67=0),0,tDiff(BB67,BA67))</f>
        <v>0</v>
      </c>
      <c r="BD67" s="362">
        <f t="shared" ca="1" si="60"/>
        <v>0</v>
      </c>
      <c r="BE67" s="362">
        <f t="shared" ca="1" si="27"/>
        <v>0</v>
      </c>
      <c r="BF67" s="354" t="str">
        <f ca="1">IF(BE67&lt;&gt;0,tpm(BE67,BD67,"s"),"")</f>
        <v/>
      </c>
      <c r="BG67" s="362">
        <f ca="1">IF(BE67&lt;&gt;0,tDiff(BE67,BD67,"s"), 0)</f>
        <v>0</v>
      </c>
      <c r="BH67" s="363">
        <f ca="1">IF(BE67=0,пропускСФ,MIN(tInt(BG67,"s")*отклонениеРД,пределРД))</f>
        <v>1800</v>
      </c>
      <c r="BI67" s="364">
        <f t="shared" ca="1" si="61"/>
        <v>0</v>
      </c>
      <c r="BJ67" s="362">
        <f t="shared" ca="1" si="28"/>
        <v>0</v>
      </c>
      <c r="BK67" s="359" t="str">
        <f ca="1">IF(BJ67&lt;&gt;0,tpm(BJ67,BI67,"s"),"")</f>
        <v/>
      </c>
      <c r="BL67" s="362">
        <f ca="1">IF(BJ67&lt;&gt;0,tDiff(BJ67,BI67,"s"), 0)</f>
        <v>0</v>
      </c>
      <c r="BM67" s="363">
        <f ca="1">IF(BJ67=0,пропускСФ,MIN(tInt(BL67,"s")*отклонениеРД,пределРД))</f>
        <v>1800</v>
      </c>
      <c r="BN67" s="364">
        <f t="shared" ca="1" si="62"/>
        <v>0</v>
      </c>
      <c r="BO67" s="362">
        <f t="shared" ca="1" si="29"/>
        <v>0</v>
      </c>
      <c r="BP67" s="359" t="str">
        <f ca="1">IF(AND(BO67&lt;&gt;0,BN67&lt;&gt;0),tpm(BO67,BN67,"s"),"")</f>
        <v/>
      </c>
      <c r="BQ67" s="362">
        <f ca="1">IF(AND(BO67&lt;&gt;0,BN67&lt;&gt;0),tDiff(BO67,BN67,"s"), 0)</f>
        <v>0</v>
      </c>
      <c r="BR67" s="363">
        <f ca="1">IF(BN67=0,0,IF(BO67=0,пропускДС,MIN(tInt(BQ67,"s")*отклонениеРД,пределРД)))</f>
        <v>0</v>
      </c>
      <c r="BS67" s="366">
        <f t="shared" ca="1" si="30"/>
        <v>0</v>
      </c>
      <c r="BT67" s="363">
        <f t="shared" ca="1" si="63"/>
        <v>0</v>
      </c>
      <c r="BU67" s="357">
        <f t="shared" ca="1" si="32"/>
        <v>0</v>
      </c>
      <c r="BV67" s="361">
        <f t="shared" ca="1" si="64"/>
        <v>900</v>
      </c>
      <c r="BW67" s="357">
        <f t="shared" ca="1" si="69"/>
        <v>0</v>
      </c>
      <c r="BX67" s="361">
        <f t="shared" ca="1" si="65"/>
        <v>900</v>
      </c>
      <c r="BY67" s="357">
        <f t="shared" ca="1" si="69"/>
        <v>0</v>
      </c>
      <c r="BZ67" s="361">
        <f t="shared" ca="1" si="66"/>
        <v>900</v>
      </c>
      <c r="CA67" s="357">
        <f ca="1">IF(L67&lt;&gt;0,tTrunc(L67+_ВКВ1/_КВ2Скорость/24),tTrunc(K67+_ВКВ1/_КВ2Скорость/24))</f>
        <v>0.60138887166976929</v>
      </c>
      <c r="CB67" s="358">
        <f t="shared" ca="1" si="67"/>
        <v>0</v>
      </c>
      <c r="CC67" s="358">
        <f>ROUNDUP(tInt(_ВКВ1/_КВ2Скорость/24)/10,0)/1440</f>
        <v>8.3333333333333332E-3</v>
      </c>
      <c r="CD67" s="359" t="str">
        <f ca="1">IF(AND(CB67&lt;&gt;0,CA67&lt;&gt;0),tpm(CB67,CA67),"")</f>
        <v/>
      </c>
      <c r="CE67" s="358">
        <f ca="1">IF(CB67&lt;&gt;0,tDiff(CB67,CA67), 0)</f>
        <v>0</v>
      </c>
      <c r="CF67" s="361">
        <f ca="1">IF(CB67&lt;&gt;0,IF(CD67="+",0,IF(CE67&gt;CC67,tInt(CE67-CC67)*опережениеКВ,0)),пропускКВ)</f>
        <v>900</v>
      </c>
    </row>
    <row r="68" spans="1:84" s="22" customFormat="1" hidden="1" x14ac:dyDescent="0.25">
      <c r="A68" s="587" t="str">
        <f>стартоваяВедомость!B69</f>
        <v/>
      </c>
      <c r="B68" s="381">
        <f t="shared" ca="1" si="0"/>
        <v>0</v>
      </c>
      <c r="C68" s="381">
        <f t="shared" ca="1" si="1"/>
        <v>0</v>
      </c>
      <c r="D68" s="381">
        <f t="shared" ca="1" si="2"/>
        <v>0</v>
      </c>
      <c r="E68" s="381">
        <f t="shared" ca="1" si="3"/>
        <v>0</v>
      </c>
      <c r="F68" s="381">
        <f t="shared" ca="1" si="4"/>
        <v>0</v>
      </c>
      <c r="G68" s="382" t="str">
        <f t="shared" si="37"/>
        <v/>
      </c>
      <c r="H68" s="382" t="str">
        <f t="shared" ca="1" si="38"/>
        <v>DNS</v>
      </c>
      <c r="I68" s="382">
        <f t="shared" ca="1" si="39"/>
        <v>7200</v>
      </c>
      <c r="J68" s="382">
        <f t="shared" ca="1" si="40"/>
        <v>0</v>
      </c>
      <c r="K68" s="383">
        <f t="shared" ca="1" si="6"/>
        <v>0.52013888888888882</v>
      </c>
      <c r="L68" s="152">
        <f t="shared" ca="1" si="41"/>
        <v>0</v>
      </c>
      <c r="M68" s="384" t="str">
        <f ca="1">IF(L68&lt;&gt;0,tpm(L68,K68),"")</f>
        <v/>
      </c>
      <c r="N68" s="152">
        <f ca="1">IF(L68&lt;&gt;0,tDiff(L68,K68), 0)</f>
        <v>0</v>
      </c>
      <c r="O68" s="385" t="str">
        <f ca="1">IF(L68&lt;&gt;0,IF(M68="+",MIN(tInt(N68)*опережениеКВ,пределКВ),tInt(N68)*опережениеКВ),"DNS")</f>
        <v>DNS</v>
      </c>
      <c r="P68" s="152">
        <f t="shared" si="8"/>
        <v>8.3333335816860199E-2</v>
      </c>
      <c r="Q68" s="152">
        <f t="shared" ca="1" si="42"/>
        <v>0</v>
      </c>
      <c r="R68" s="383">
        <f t="shared" ca="1" si="43"/>
        <v>0.60347222470574902</v>
      </c>
      <c r="S68" s="152">
        <f t="shared" ca="1" si="44"/>
        <v>0</v>
      </c>
      <c r="T68" s="384" t="str">
        <f ca="1">IF(S68&lt;&gt;0,tpm(S68,R68),"")</f>
        <v/>
      </c>
      <c r="U68" s="152">
        <f ca="1">IF(S68&lt;&gt;0,tDiff(S68,R68), 0)</f>
        <v>0</v>
      </c>
      <c r="V68" s="385">
        <f ca="1">IF(S68&lt;&gt;0,IF(T68="+",MIN(MAX(tInt(U68-Q68),0)*опережениеКВ,пределКВ),tInt(U68)*опережениеКВ),пропускКВ)</f>
        <v>900</v>
      </c>
      <c r="W68" s="152">
        <f t="shared" si="11"/>
        <v>8.3333335816860199E-2</v>
      </c>
      <c r="X68" s="152">
        <f t="shared" ca="1" si="45"/>
        <v>0</v>
      </c>
      <c r="Y68" s="152">
        <f t="shared" ca="1" si="46"/>
        <v>0</v>
      </c>
      <c r="Z68" s="383">
        <f t="shared" ca="1" si="47"/>
        <v>0.68680556052260922</v>
      </c>
      <c r="AA68" s="152">
        <f t="shared" ca="1" si="48"/>
        <v>0</v>
      </c>
      <c r="AB68" s="384" t="str">
        <f ca="1">IF(AA68&lt;&gt;0,tpm(AA68,Z68),"")</f>
        <v/>
      </c>
      <c r="AC68" s="152">
        <f ca="1">IF(AA68&lt;&gt;0,tDiff(AA68,Z68), 0)</f>
        <v>0</v>
      </c>
      <c r="AD68" s="385" t="str">
        <f ca="1">IF(AA68&lt;&gt;0,IF(AB68="+",MIN(MAX(tInt(AC68-Y68),0)*опережениеКВ,пределКВ),IF(tInt(AC68)&lt;=ROUNDUP(tInt(W68)*0.1,0),0,(tInt(AC68)-ROUNDUP(tInt(W68)*0.1,0))*опережениеКВ)),"DNF")</f>
        <v>DNF</v>
      </c>
      <c r="AE68" s="383">
        <f t="shared" ca="1" si="14"/>
        <v>0</v>
      </c>
      <c r="AF68" s="152">
        <f t="shared" ca="1" si="49"/>
        <v>0</v>
      </c>
      <c r="AG68" s="152">
        <f ca="1">IF(OR(AE68=0,AF68=0),0,tDiff(AF68,AE68))</f>
        <v>0</v>
      </c>
      <c r="AH68" s="386">
        <f t="shared" ca="1" si="50"/>
        <v>0</v>
      </c>
      <c r="AI68" s="386">
        <f t="shared" ca="1" si="17"/>
        <v>0</v>
      </c>
      <c r="AJ68" s="380" t="str">
        <f ca="1">IF(AI68&lt;&gt;0,tpm(AI68,AH68,"s"),"")</f>
        <v/>
      </c>
      <c r="AK68" s="386">
        <f ca="1">IF(AI68&lt;&gt;0,tDiff(AI68,AH68,"s"), 0)</f>
        <v>0</v>
      </c>
      <c r="AL68" s="387">
        <f ca="1">IF(AI68=0,пропускСФ,MIN(tInt(AK68,"s")*отклонениеРД,пределРД))</f>
        <v>1800</v>
      </c>
      <c r="AM68" s="388">
        <f t="shared" ca="1" si="51"/>
        <v>0</v>
      </c>
      <c r="AN68" s="386">
        <f t="shared" ca="1" si="18"/>
        <v>0</v>
      </c>
      <c r="AO68" s="384" t="str">
        <f ca="1">IF(AND(AM68&lt;&gt;0,AN68&lt;&gt;0),tpm(AN68,AM68,"s"),"")</f>
        <v/>
      </c>
      <c r="AP68" s="386">
        <f ca="1">IF(AND(AM68&lt;&gt;0,AN68&lt;&gt;0),tDiff(AN68,AM68,"s"), 0)</f>
        <v>0</v>
      </c>
      <c r="AQ68" s="387">
        <f ca="1">IF(AM68=0,0,IF(AN68=0,пропускДС,MIN(tInt(AP68,"s")*отклонениеРД,пределРД)))</f>
        <v>0</v>
      </c>
      <c r="AR68" s="383">
        <f t="shared" ca="1" si="19"/>
        <v>0</v>
      </c>
      <c r="AS68" s="152">
        <f t="shared" ca="1" si="52"/>
        <v>0</v>
      </c>
      <c r="AT68" s="152">
        <f t="shared" ca="1" si="53"/>
        <v>0</v>
      </c>
      <c r="AU68" s="389">
        <f t="shared" ca="1" si="54"/>
        <v>0</v>
      </c>
      <c r="AV68" s="389">
        <f t="shared" ca="1" si="55"/>
        <v>0</v>
      </c>
      <c r="AW68" s="389">
        <f t="shared" ca="1" si="56"/>
        <v>0</v>
      </c>
      <c r="AX68" s="384">
        <f t="shared" ca="1" si="57"/>
        <v>0</v>
      </c>
      <c r="AY68" s="384">
        <f t="shared" ca="1" si="58"/>
        <v>0</v>
      </c>
      <c r="AZ68" s="387">
        <f t="shared" ca="1" si="68"/>
        <v>1800</v>
      </c>
      <c r="BA68" s="383">
        <f t="shared" ca="1" si="24"/>
        <v>0</v>
      </c>
      <c r="BB68" s="152">
        <f t="shared" ca="1" si="59"/>
        <v>0</v>
      </c>
      <c r="BC68" s="152">
        <f ca="1">IF(OR(BA68=0,BB68=0),0,tDiff(BB68,BA68))</f>
        <v>0</v>
      </c>
      <c r="BD68" s="386">
        <f t="shared" ca="1" si="60"/>
        <v>0</v>
      </c>
      <c r="BE68" s="386">
        <f t="shared" ca="1" si="27"/>
        <v>0</v>
      </c>
      <c r="BF68" s="380" t="str">
        <f ca="1">IF(BE68&lt;&gt;0,tpm(BE68,BD68,"s"),"")</f>
        <v/>
      </c>
      <c r="BG68" s="386">
        <f ca="1">IF(BE68&lt;&gt;0,tDiff(BE68,BD68,"s"), 0)</f>
        <v>0</v>
      </c>
      <c r="BH68" s="387">
        <f ca="1">IF(BE68=0,пропускСФ,MIN(tInt(BG68,"s")*отклонениеРД,пределРД))</f>
        <v>1800</v>
      </c>
      <c r="BI68" s="388">
        <f t="shared" ca="1" si="61"/>
        <v>0</v>
      </c>
      <c r="BJ68" s="386">
        <f t="shared" ca="1" si="28"/>
        <v>0</v>
      </c>
      <c r="BK68" s="384" t="str">
        <f ca="1">IF(BJ68&lt;&gt;0,tpm(BJ68,BI68,"s"),"")</f>
        <v/>
      </c>
      <c r="BL68" s="386">
        <f ca="1">IF(BJ68&lt;&gt;0,tDiff(BJ68,BI68,"s"), 0)</f>
        <v>0</v>
      </c>
      <c r="BM68" s="387">
        <f ca="1">IF(BJ68=0,пропускСФ,MIN(tInt(BL68,"s")*отклонениеРД,пределРД))</f>
        <v>1800</v>
      </c>
      <c r="BN68" s="388">
        <f t="shared" ca="1" si="62"/>
        <v>0</v>
      </c>
      <c r="BO68" s="386">
        <f t="shared" ca="1" si="29"/>
        <v>0</v>
      </c>
      <c r="BP68" s="384" t="str">
        <f ca="1">IF(AND(BO68&lt;&gt;0,BN68&lt;&gt;0),tpm(BO68,BN68,"s"),"")</f>
        <v/>
      </c>
      <c r="BQ68" s="386">
        <f ca="1">IF(AND(BO68&lt;&gt;0,BN68&lt;&gt;0),tDiff(BO68,BN68,"s"), 0)</f>
        <v>0</v>
      </c>
      <c r="BR68" s="387">
        <f ca="1">IF(BN68=0,0,IF(BO68=0,пропускДС,MIN(tInt(BQ68,"s")*отклонениеРД,пределРД)))</f>
        <v>0</v>
      </c>
      <c r="BS68" s="390">
        <f t="shared" ca="1" si="30"/>
        <v>0</v>
      </c>
      <c r="BT68" s="387">
        <f t="shared" ca="1" si="63"/>
        <v>0</v>
      </c>
      <c r="BU68" s="383">
        <f t="shared" ca="1" si="32"/>
        <v>0</v>
      </c>
      <c r="BV68" s="391">
        <f t="shared" ca="1" si="64"/>
        <v>900</v>
      </c>
      <c r="BW68" s="383">
        <f t="shared" ca="1" si="69"/>
        <v>0</v>
      </c>
      <c r="BX68" s="391">
        <f t="shared" ca="1" si="65"/>
        <v>900</v>
      </c>
      <c r="BY68" s="383">
        <f t="shared" ca="1" si="69"/>
        <v>0</v>
      </c>
      <c r="BZ68" s="391">
        <f t="shared" ca="1" si="66"/>
        <v>900</v>
      </c>
      <c r="CA68" s="383">
        <f ca="1">IF(L68&lt;&gt;0,tTrunc(L68+_ВКВ1/_КВ2Скорость/24),tTrunc(K68+_ВКВ1/_КВ2Скорость/24))</f>
        <v>0.60138887166976929</v>
      </c>
      <c r="CB68" s="152">
        <f t="shared" ca="1" si="67"/>
        <v>0</v>
      </c>
      <c r="CC68" s="152">
        <f>ROUNDUP(tInt(_ВКВ1/_КВ2Скорость/24)/10,0)/1440</f>
        <v>8.3333333333333332E-3</v>
      </c>
      <c r="CD68" s="384" t="str">
        <f ca="1">IF(AND(CB68&lt;&gt;0,CA68&lt;&gt;0),tpm(CB68,CA68),"")</f>
        <v/>
      </c>
      <c r="CE68" s="152">
        <f ca="1">IF(CB68&lt;&gt;0,tDiff(CB68,CA68), 0)</f>
        <v>0</v>
      </c>
      <c r="CF68" s="391">
        <f ca="1">IF(CB68&lt;&gt;0,IF(CD68="+",0,IF(CE68&gt;CC68,tInt(CE68-CC68)*опережениеКВ,0)),пропускКВ)</f>
        <v>900</v>
      </c>
    </row>
    <row r="69" spans="1:84" x14ac:dyDescent="0.25">
      <c r="A69" s="606">
        <f>заявки[[#Totals],[Ст. №]]</f>
        <v>29</v>
      </c>
      <c r="B69" s="147" t="s">
        <v>343</v>
      </c>
      <c r="C69" s="147"/>
      <c r="D69" s="147"/>
      <c r="E69" s="147"/>
      <c r="F69" s="301" t="s">
        <v>344</v>
      </c>
      <c r="G69" s="274">
        <f ca="1">COUNTIF(предварительные!$G$9:$G$68,"DNS")</f>
        <v>2</v>
      </c>
      <c r="H69" s="274">
        <f ca="1">COUNTIF(предварительные!$H$9:$H$68,"DNF")</f>
        <v>0</v>
      </c>
      <c r="I69" s="274" t="s">
        <v>342</v>
      </c>
      <c r="J69" s="274"/>
      <c r="K69"/>
      <c r="L69" s="145"/>
      <c r="M69" s="145"/>
      <c r="N69" s="145"/>
      <c r="O69" s="274"/>
      <c r="P69" s="145"/>
      <c r="Q69" s="145"/>
      <c r="R69" s="145"/>
      <c r="S69" s="145"/>
      <c r="T69" s="145"/>
      <c r="U69" s="145"/>
      <c r="V69" s="274"/>
      <c r="W69" s="145"/>
      <c r="X69" s="145"/>
      <c r="Y69" s="145"/>
      <c r="Z69" s="145"/>
      <c r="AA69" s="145"/>
      <c r="AB69" s="145"/>
      <c r="AC69" s="145"/>
      <c r="AD69" s="275"/>
      <c r="AE69" s="145"/>
      <c r="AF69" s="145"/>
      <c r="AG69" s="145"/>
      <c r="AH69" s="145"/>
      <c r="AI69" s="145"/>
      <c r="AJ69" s="145"/>
      <c r="AK69" s="145"/>
      <c r="AL69" s="275"/>
      <c r="AM69" s="145"/>
      <c r="AN69" s="145"/>
      <c r="AO69" s="145"/>
      <c r="AP69" s="145"/>
      <c r="AQ69" s="275"/>
      <c r="AR69" s="145"/>
      <c r="AS69" s="145"/>
      <c r="AT69" s="145"/>
      <c r="AU69" s="145"/>
      <c r="AV69" s="145"/>
      <c r="AW69" s="145"/>
      <c r="AX69" s="145"/>
      <c r="AY69" s="145"/>
      <c r="AZ69" s="275"/>
      <c r="BA69" s="145"/>
      <c r="BB69" s="145"/>
      <c r="BC69" s="145"/>
      <c r="BD69" s="145"/>
      <c r="BE69" s="145"/>
      <c r="BF69" s="145"/>
      <c r="BG69" s="145"/>
      <c r="BH69" s="275"/>
      <c r="BI69" s="145"/>
      <c r="BJ69" s="145"/>
      <c r="BK69" s="145"/>
      <c r="BL69" s="145"/>
      <c r="BM69" s="275"/>
      <c r="BN69" s="145"/>
      <c r="BO69" s="145"/>
      <c r="BP69" s="145"/>
      <c r="BQ69" s="145"/>
      <c r="BR69" s="275"/>
      <c r="BS69" s="276"/>
      <c r="BT69" s="275"/>
      <c r="BU69" s="145"/>
      <c r="BV69" s="275"/>
      <c r="BW69" s="145"/>
      <c r="BX69" s="275"/>
      <c r="BY69" s="145"/>
      <c r="BZ69" s="275"/>
      <c r="CA69" s="275"/>
      <c r="CB69" s="145"/>
      <c r="CC69" s="145"/>
      <c r="CD69" s="145"/>
      <c r="CE69" s="145"/>
      <c r="CF69" s="275"/>
    </row>
  </sheetData>
  <sortState ref="A10:DU48">
    <sortCondition ref="F10:F48"/>
  </sortState>
  <pageMargins left="0.39370078740157483" right="0.39370078740157483" top="0.39370078740157483" bottom="0.39370078740157483" header="0" footer="0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F0"/>
  </sheetPr>
  <dimension ref="A1:K59"/>
  <sheetViews>
    <sheetView view="pageBreakPreview" topLeftCell="A7" zoomScale="85" zoomScaleSheetLayoutView="85" workbookViewId="0">
      <selection activeCell="B14" sqref="B14:C14"/>
    </sheetView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114</v>
      </c>
    </row>
    <row r="2" spans="1:11" x14ac:dyDescent="0.25">
      <c r="A2" s="38" t="s">
        <v>45</v>
      </c>
      <c r="B2" s="27"/>
      <c r="C2" s="41"/>
      <c r="D2" s="42"/>
    </row>
    <row r="3" spans="1:11" ht="20.100000000000001" customHeight="1" x14ac:dyDescent="0.25">
      <c r="A3" s="38" t="s">
        <v>110</v>
      </c>
      <c r="B3" s="36"/>
      <c r="C3" s="38" t="s">
        <v>104</v>
      </c>
      <c r="D3" s="36"/>
    </row>
    <row r="4" spans="1:11" ht="20.100000000000001" customHeight="1" x14ac:dyDescent="0.25">
      <c r="A4" s="38" t="s">
        <v>111</v>
      </c>
      <c r="B4" s="36"/>
      <c r="C4" s="38" t="s">
        <v>105</v>
      </c>
      <c r="D4" s="36"/>
    </row>
    <row r="5" spans="1:11" ht="46.5" x14ac:dyDescent="0.25">
      <c r="A5" s="564" t="s">
        <v>716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40"/>
      <c r="C8" s="40"/>
      <c r="D8" s="40"/>
    </row>
    <row r="9" spans="1:11" ht="21" customHeight="1" x14ac:dyDescent="0.25">
      <c r="A9" s="89" t="s">
        <v>0</v>
      </c>
      <c r="B9" s="567" t="s">
        <v>106</v>
      </c>
      <c r="C9" s="568"/>
      <c r="D9" s="91" t="s">
        <v>113</v>
      </c>
      <c r="J9" s="30"/>
      <c r="K9" s="31"/>
    </row>
    <row r="10" spans="1:11" ht="45" customHeight="1" x14ac:dyDescent="0.25">
      <c r="A10" s="34">
        <v>3</v>
      </c>
      <c r="B10" s="580" t="s">
        <v>712</v>
      </c>
      <c r="C10" s="581"/>
      <c r="D10" s="34">
        <v>300</v>
      </c>
    </row>
    <row r="11" spans="1:11" ht="54" customHeight="1" x14ac:dyDescent="0.25">
      <c r="A11" s="34">
        <v>13</v>
      </c>
      <c r="B11" s="580" t="s">
        <v>711</v>
      </c>
      <c r="C11" s="581"/>
      <c r="D11" s="34">
        <v>300</v>
      </c>
    </row>
    <row r="12" spans="1:11" ht="30" customHeight="1" x14ac:dyDescent="0.25">
      <c r="A12" s="379">
        <v>14</v>
      </c>
      <c r="B12" s="580" t="s">
        <v>709</v>
      </c>
      <c r="C12" s="581"/>
      <c r="D12" s="34">
        <v>30</v>
      </c>
    </row>
    <row r="13" spans="1:11" ht="60.75" customHeight="1" x14ac:dyDescent="0.25">
      <c r="A13" s="34">
        <v>15</v>
      </c>
      <c r="B13" s="580" t="s">
        <v>711</v>
      </c>
      <c r="C13" s="581"/>
      <c r="D13" s="34">
        <v>300</v>
      </c>
    </row>
    <row r="14" spans="1:11" ht="84" customHeight="1" x14ac:dyDescent="0.25">
      <c r="A14" s="34">
        <v>16</v>
      </c>
      <c r="B14" s="580" t="s">
        <v>714</v>
      </c>
      <c r="C14" s="581"/>
      <c r="D14" s="34">
        <v>1230</v>
      </c>
    </row>
    <row r="15" spans="1:11" ht="30" customHeight="1" x14ac:dyDescent="0.25">
      <c r="A15" s="34">
        <v>25</v>
      </c>
      <c r="B15" s="580" t="s">
        <v>710</v>
      </c>
      <c r="C15" s="581"/>
      <c r="D15" s="34">
        <v>300</v>
      </c>
    </row>
    <row r="16" spans="1:11" ht="30" customHeight="1" x14ac:dyDescent="0.25">
      <c r="A16" s="34">
        <v>26</v>
      </c>
      <c r="B16" s="580" t="s">
        <v>713</v>
      </c>
      <c r="C16" s="581"/>
      <c r="D16" s="34">
        <v>300</v>
      </c>
    </row>
    <row r="17" spans="1:4" ht="30" customHeight="1" x14ac:dyDescent="0.25">
      <c r="A17" s="34">
        <v>27</v>
      </c>
      <c r="B17" s="580" t="s">
        <v>709</v>
      </c>
      <c r="C17" s="581"/>
      <c r="D17" s="34">
        <v>30</v>
      </c>
    </row>
    <row r="18" spans="1:4" ht="30" customHeight="1" x14ac:dyDescent="0.25">
      <c r="A18" s="34">
        <v>28</v>
      </c>
      <c r="B18" s="580" t="s">
        <v>715</v>
      </c>
      <c r="C18" s="581"/>
      <c r="D18" s="34">
        <v>330</v>
      </c>
    </row>
    <row r="19" spans="1:4" ht="30" customHeight="1" x14ac:dyDescent="0.25">
      <c r="A19" s="34"/>
      <c r="B19" s="578"/>
      <c r="C19" s="579"/>
      <c r="D19" s="34"/>
    </row>
    <row r="20" spans="1:4" ht="30" customHeight="1" x14ac:dyDescent="0.25">
      <c r="A20" s="34"/>
      <c r="B20" s="565"/>
      <c r="C20" s="566"/>
      <c r="D20" s="34"/>
    </row>
    <row r="21" spans="1:4" ht="30" customHeight="1" x14ac:dyDescent="0.25">
      <c r="A21" s="34"/>
      <c r="B21" s="565"/>
      <c r="C21" s="566"/>
      <c r="D21" s="34"/>
    </row>
    <row r="22" spans="1:4" ht="30" customHeight="1" x14ac:dyDescent="0.25">
      <c r="A22" s="34"/>
      <c r="B22" s="565"/>
      <c r="C22" s="566"/>
      <c r="D22" s="34"/>
    </row>
    <row r="23" spans="1:4" ht="30" customHeight="1" x14ac:dyDescent="0.25">
      <c r="A23" s="34"/>
      <c r="B23" s="565"/>
      <c r="C23" s="566"/>
      <c r="D23" s="34"/>
    </row>
    <row r="24" spans="1:4" ht="30" customHeight="1" x14ac:dyDescent="0.25">
      <c r="A24" s="34"/>
      <c r="B24" s="565"/>
      <c r="C24" s="566"/>
      <c r="D24" s="34"/>
    </row>
    <row r="25" spans="1:4" ht="30" customHeight="1" x14ac:dyDescent="0.25">
      <c r="A25" s="34"/>
      <c r="B25" s="565"/>
      <c r="C25" s="566"/>
      <c r="D25" s="34"/>
    </row>
    <row r="26" spans="1:4" ht="30" customHeight="1" x14ac:dyDescent="0.25">
      <c r="A26" s="34"/>
      <c r="B26" s="565"/>
      <c r="C26" s="566"/>
      <c r="D26" s="34"/>
    </row>
    <row r="27" spans="1:4" ht="30" customHeight="1" x14ac:dyDescent="0.25">
      <c r="A27" s="34"/>
      <c r="B27" s="565"/>
      <c r="C27" s="566"/>
      <c r="D27" s="34"/>
    </row>
    <row r="28" spans="1:4" ht="30" customHeight="1" x14ac:dyDescent="0.25">
      <c r="A28" s="34"/>
      <c r="B28" s="565"/>
      <c r="C28" s="566"/>
      <c r="D28" s="34"/>
    </row>
    <row r="29" spans="1:4" ht="30" customHeight="1" x14ac:dyDescent="0.25">
      <c r="A29" s="34"/>
      <c r="B29" s="565"/>
      <c r="C29" s="566"/>
      <c r="D29" s="34"/>
    </row>
    <row r="30" spans="1:4" ht="30" customHeight="1" x14ac:dyDescent="0.25">
      <c r="A30" s="34"/>
      <c r="B30" s="565"/>
      <c r="C30" s="566"/>
      <c r="D30" s="34"/>
    </row>
    <row r="31" spans="1:4" ht="30" customHeight="1" x14ac:dyDescent="0.25">
      <c r="A31" s="34"/>
      <c r="B31" s="565"/>
      <c r="C31" s="566"/>
      <c r="D31" s="34"/>
    </row>
    <row r="32" spans="1:4" ht="30" customHeight="1" x14ac:dyDescent="0.25">
      <c r="A32" s="34"/>
      <c r="B32" s="565"/>
      <c r="C32" s="566"/>
      <c r="D32" s="34"/>
    </row>
    <row r="33" spans="1:4" ht="30" customHeight="1" x14ac:dyDescent="0.25">
      <c r="A33" s="34"/>
      <c r="B33" s="565"/>
      <c r="C33" s="566"/>
      <c r="D33" s="34"/>
    </row>
    <row r="34" spans="1:4" ht="30" customHeight="1" x14ac:dyDescent="0.25">
      <c r="A34" s="34"/>
      <c r="B34" s="565"/>
      <c r="C34" s="566"/>
      <c r="D34" s="34"/>
    </row>
    <row r="35" spans="1:4" ht="30" customHeight="1" x14ac:dyDescent="0.25">
      <c r="A35" s="34"/>
      <c r="B35" s="565"/>
      <c r="C35" s="566"/>
      <c r="D35" s="34"/>
    </row>
    <row r="36" spans="1:4" ht="30" customHeight="1" x14ac:dyDescent="0.25">
      <c r="A36" s="34"/>
      <c r="B36" s="565"/>
      <c r="C36" s="566"/>
      <c r="D36" s="34"/>
    </row>
    <row r="37" spans="1:4" ht="30" customHeight="1" x14ac:dyDescent="0.25">
      <c r="A37" s="34"/>
      <c r="B37" s="565"/>
      <c r="C37" s="566"/>
      <c r="D37" s="34"/>
    </row>
    <row r="38" spans="1:4" ht="30" customHeight="1" x14ac:dyDescent="0.25">
      <c r="A38" s="34"/>
      <c r="B38" s="565"/>
      <c r="C38" s="566"/>
      <c r="D38" s="34"/>
    </row>
    <row r="39" spans="1:4" ht="30" customHeight="1" x14ac:dyDescent="0.25">
      <c r="A39" s="34"/>
      <c r="B39" s="565"/>
      <c r="C39" s="566"/>
      <c r="D39" s="34"/>
    </row>
    <row r="40" spans="1:4" ht="30" customHeight="1" x14ac:dyDescent="0.25">
      <c r="A40" s="34"/>
      <c r="B40" s="565"/>
      <c r="C40" s="566"/>
      <c r="D40" s="34"/>
    </row>
    <row r="41" spans="1:4" ht="30" customHeight="1" x14ac:dyDescent="0.25">
      <c r="A41" s="34"/>
      <c r="B41" s="565"/>
      <c r="C41" s="566"/>
      <c r="D41" s="34"/>
    </row>
    <row r="42" spans="1:4" ht="30" customHeight="1" x14ac:dyDescent="0.25">
      <c r="A42" s="34"/>
      <c r="B42" s="565"/>
      <c r="C42" s="566"/>
      <c r="D42" s="34"/>
    </row>
    <row r="43" spans="1:4" ht="30" customHeight="1" x14ac:dyDescent="0.25">
      <c r="A43" s="34"/>
      <c r="B43" s="565"/>
      <c r="C43" s="566"/>
      <c r="D43" s="34"/>
    </row>
    <row r="44" spans="1:4" ht="30" customHeight="1" x14ac:dyDescent="0.25">
      <c r="A44" s="34"/>
      <c r="B44" s="565"/>
      <c r="C44" s="566"/>
      <c r="D44" s="34"/>
    </row>
    <row r="45" spans="1:4" ht="30" customHeight="1" x14ac:dyDescent="0.25">
      <c r="A45" s="34"/>
      <c r="B45" s="565"/>
      <c r="C45" s="566"/>
      <c r="D45" s="34"/>
    </row>
    <row r="46" spans="1:4" ht="30" customHeight="1" x14ac:dyDescent="0.25">
      <c r="A46" s="34"/>
      <c r="B46" s="565"/>
      <c r="C46" s="566"/>
      <c r="D46" s="34"/>
    </row>
    <row r="47" spans="1:4" ht="30" customHeight="1" x14ac:dyDescent="0.25">
      <c r="A47" s="34"/>
      <c r="B47" s="565"/>
      <c r="C47" s="566"/>
      <c r="D47" s="34"/>
    </row>
    <row r="48" spans="1:4" ht="30" customHeight="1" x14ac:dyDescent="0.25">
      <c r="A48" s="34"/>
      <c r="B48" s="565"/>
      <c r="C48" s="566"/>
      <c r="D48" s="34"/>
    </row>
    <row r="49" spans="1:4" ht="30" customHeight="1" x14ac:dyDescent="0.25">
      <c r="A49" s="34"/>
      <c r="B49" s="565"/>
      <c r="C49" s="566"/>
      <c r="D49" s="34"/>
    </row>
    <row r="50" spans="1:4" ht="30" customHeight="1" x14ac:dyDescent="0.25">
      <c r="A50" s="34"/>
      <c r="B50" s="565"/>
      <c r="C50" s="566"/>
      <c r="D50" s="34"/>
    </row>
    <row r="51" spans="1:4" ht="30" customHeight="1" x14ac:dyDescent="0.25">
      <c r="A51" s="34"/>
      <c r="B51" s="565"/>
      <c r="C51" s="566"/>
      <c r="D51" s="34"/>
    </row>
    <row r="52" spans="1:4" ht="30" customHeight="1" x14ac:dyDescent="0.25">
      <c r="A52" s="34"/>
      <c r="B52" s="565"/>
      <c r="C52" s="566"/>
      <c r="D52" s="34"/>
    </row>
    <row r="53" spans="1:4" ht="30" customHeight="1" x14ac:dyDescent="0.25">
      <c r="A53" s="34"/>
      <c r="B53" s="565"/>
      <c r="C53" s="566"/>
      <c r="D53" s="34"/>
    </row>
    <row r="54" spans="1:4" ht="30" customHeight="1" x14ac:dyDescent="0.25">
      <c r="A54" s="34"/>
      <c r="B54" s="565"/>
      <c r="C54" s="566"/>
      <c r="D54" s="34"/>
    </row>
    <row r="55" spans="1:4" ht="30" customHeight="1" x14ac:dyDescent="0.25">
      <c r="A55" s="34"/>
      <c r="B55" s="565"/>
      <c r="C55" s="566"/>
      <c r="D55" s="34"/>
    </row>
    <row r="56" spans="1:4" ht="30" customHeight="1" x14ac:dyDescent="0.25">
      <c r="A56" s="34"/>
      <c r="B56" s="565"/>
      <c r="C56" s="566"/>
      <c r="D56" s="34"/>
    </row>
    <row r="57" spans="1:4" ht="30" customHeight="1" x14ac:dyDescent="0.25">
      <c r="A57" s="34"/>
      <c r="B57" s="565"/>
      <c r="C57" s="566"/>
      <c r="D57" s="34"/>
    </row>
    <row r="58" spans="1:4" ht="30" customHeight="1" x14ac:dyDescent="0.25">
      <c r="A58" s="34"/>
      <c r="B58" s="565"/>
      <c r="C58" s="566"/>
      <c r="D58" s="34"/>
    </row>
    <row r="59" spans="1:4" ht="30" customHeight="1" x14ac:dyDescent="0.25">
      <c r="A59" s="34"/>
      <c r="B59" s="565"/>
      <c r="C59" s="566"/>
      <c r="D59" s="34"/>
    </row>
  </sheetData>
  <sortState ref="A10:D22">
    <sortCondition ref="A10"/>
  </sortState>
  <mergeCells count="51"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55:C55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5:C25"/>
    <mergeCell ref="B14:C14"/>
    <mergeCell ref="B15:C15"/>
    <mergeCell ref="B16:C16"/>
    <mergeCell ref="B17:C17"/>
    <mergeCell ref="B18:C18"/>
    <mergeCell ref="B20:C20"/>
    <mergeCell ref="B21:C21"/>
    <mergeCell ref="B22:C22"/>
    <mergeCell ref="B23:C23"/>
    <mergeCell ref="B24:C24"/>
    <mergeCell ref="B13:C13"/>
    <mergeCell ref="A5:D5"/>
    <mergeCell ref="B9:C9"/>
    <mergeCell ref="B10:C10"/>
    <mergeCell ref="B11:C11"/>
    <mergeCell ref="B12:C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F0"/>
  </sheetPr>
  <dimension ref="A1:K59"/>
  <sheetViews>
    <sheetView view="pageBreakPreview" topLeftCell="A26" zoomScale="85" zoomScaleSheetLayoutView="85" workbookViewId="0">
      <selection activeCell="C31" sqref="C3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250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>
        <v>0.49027777777777776</v>
      </c>
      <c r="C3" s="38" t="s">
        <v>104</v>
      </c>
      <c r="D3" s="36">
        <v>0.49027777777777781</v>
      </c>
    </row>
    <row r="4" spans="1:11" ht="20.100000000000001" customHeight="1" x14ac:dyDescent="0.25">
      <c r="A4" s="38" t="s">
        <v>111</v>
      </c>
      <c r="B4" s="36">
        <v>0.53541666666666665</v>
      </c>
      <c r="C4" s="38" t="s">
        <v>105</v>
      </c>
      <c r="D4" s="36">
        <v>0.54166666666666663</v>
      </c>
    </row>
    <row r="5" spans="1:11" ht="46.5" x14ac:dyDescent="0.25">
      <c r="A5" s="564" t="s">
        <v>353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92" t="s">
        <v>231</v>
      </c>
      <c r="D8" s="40"/>
    </row>
    <row r="9" spans="1:11" ht="21" x14ac:dyDescent="0.25">
      <c r="A9" s="93" t="s">
        <v>0</v>
      </c>
      <c r="B9" s="94" t="s">
        <v>232</v>
      </c>
      <c r="C9" s="94" t="s">
        <v>233</v>
      </c>
      <c r="D9" s="94" t="s">
        <v>106</v>
      </c>
      <c r="J9" s="30"/>
      <c r="K9" s="31"/>
    </row>
    <row r="10" spans="1:11" ht="30" customHeight="1" x14ac:dyDescent="0.25">
      <c r="A10" s="378" t="str">
        <f>IF(ISBLANK(стартоваяВедомость!B10),"",стартоваяВедомость!B10)</f>
        <v>0</v>
      </c>
      <c r="B10" s="101">
        <f>IF(A10="","",стартоваяВедомость!H10)</f>
        <v>0.49027777777777781</v>
      </c>
      <c r="C10" s="106">
        <v>0.49027777777777781</v>
      </c>
      <c r="D10" s="95"/>
    </row>
    <row r="11" spans="1:11" ht="30" customHeight="1" x14ac:dyDescent="0.25">
      <c r="A11" s="378">
        <f>IF(ISBLANK(стартоваяВедомость!B11),"",стартоваяВедомость!B11)</f>
        <v>1</v>
      </c>
      <c r="B11" s="101">
        <f>IF(A11="","",стартоваяВедомость!H11)</f>
        <v>0.52013888888888882</v>
      </c>
      <c r="C11" s="106">
        <v>0.52013888888888882</v>
      </c>
      <c r="D11" s="95"/>
    </row>
    <row r="12" spans="1:11" ht="30" customHeight="1" x14ac:dyDescent="0.25">
      <c r="A12" s="378">
        <f>IF(ISBLANK(стартоваяВедомость!B12),"",стартоваяВедомость!B12)</f>
        <v>2</v>
      </c>
      <c r="B12" s="101">
        <f>IF(A12="","",стартоваяВедомость!H12)</f>
        <v>0.50138888888888888</v>
      </c>
      <c r="C12" s="106">
        <v>0.50138888888888888</v>
      </c>
      <c r="D12" s="95" t="s">
        <v>628</v>
      </c>
    </row>
    <row r="13" spans="1:11" ht="30" customHeight="1" x14ac:dyDescent="0.25">
      <c r="A13" s="378">
        <f>IF(ISBLANK(стартоваяВедомость!B13),"",стартоваяВедомость!B13)</f>
        <v>3</v>
      </c>
      <c r="B13" s="101">
        <f>IF(A13="","",стартоваяВедомость!H13)</f>
        <v>0.50208333333333333</v>
      </c>
      <c r="C13" s="106">
        <v>0.50208333333333333</v>
      </c>
      <c r="D13" s="95"/>
    </row>
    <row r="14" spans="1:11" ht="30" customHeight="1" x14ac:dyDescent="0.25">
      <c r="A14" s="378">
        <f>IF(ISBLANK(стартоваяВедомость!B14),"",стартоваяВедомость!B14)</f>
        <v>4</v>
      </c>
      <c r="B14" s="101">
        <f>IF(A14="","",стартоваяВедомость!H14)</f>
        <v>0.50277777777777777</v>
      </c>
      <c r="C14" s="106">
        <v>0.50277777777777777</v>
      </c>
      <c r="D14" s="95"/>
    </row>
    <row r="15" spans="1:11" ht="30" customHeight="1" x14ac:dyDescent="0.25">
      <c r="A15" s="378">
        <f>IF(ISBLANK(стартоваяВедомость!B15),"",стартоваяВедомость!B15)</f>
        <v>5</v>
      </c>
      <c r="B15" s="101">
        <f>IF(A15="","",стартоваяВедомость!H15)</f>
        <v>0.50347222222222221</v>
      </c>
      <c r="C15" s="106">
        <v>0.50347222222222221</v>
      </c>
      <c r="D15" s="95"/>
    </row>
    <row r="16" spans="1:11" ht="30" customHeight="1" x14ac:dyDescent="0.25">
      <c r="A16" s="378">
        <f>IF(ISBLANK(стартоваяВедомость!B16),"",стартоваяВедомость!B16)</f>
        <v>6</v>
      </c>
      <c r="B16" s="101">
        <f>IF(A16="","",стартоваяВедомость!H16)</f>
        <v>0.50416666666666665</v>
      </c>
      <c r="C16" s="106">
        <v>0.50416666666666665</v>
      </c>
      <c r="D16" s="95"/>
    </row>
    <row r="17" spans="1:4" ht="30" customHeight="1" x14ac:dyDescent="0.25">
      <c r="A17" s="378">
        <f>IF(ISBLANK(стартоваяВедомость!B17),"",стартоваяВедомость!B17)</f>
        <v>7</v>
      </c>
      <c r="B17" s="101">
        <f>IF(A17="","",стартоваяВедомость!H17)</f>
        <v>0.50486111111111109</v>
      </c>
      <c r="C17" s="106">
        <v>0.50486111111111109</v>
      </c>
      <c r="D17" s="95"/>
    </row>
    <row r="18" spans="1:4" ht="30" customHeight="1" x14ac:dyDescent="0.25">
      <c r="A18" s="378">
        <f>IF(ISBLANK(стартоваяВедомость!B18),"",стартоваяВедомость!B18)</f>
        <v>8</v>
      </c>
      <c r="B18" s="101">
        <f>IF(A18="","",стартоваяВедомость!H18)</f>
        <v>0.50555555555555554</v>
      </c>
      <c r="C18" s="106">
        <v>0.50555555555555554</v>
      </c>
      <c r="D18" s="95"/>
    </row>
    <row r="19" spans="1:4" ht="30" customHeight="1" x14ac:dyDescent="0.25">
      <c r="A19" s="378">
        <f>IF(ISBLANK(стартоваяВедомость!B19),"",стартоваяВедомость!B19)</f>
        <v>9</v>
      </c>
      <c r="B19" s="101">
        <f>IF(A19="","",стартоваяВедомость!H19)</f>
        <v>0.50624999999999998</v>
      </c>
      <c r="C19" s="106">
        <v>0.50624999999999998</v>
      </c>
      <c r="D19" s="95"/>
    </row>
    <row r="20" spans="1:4" ht="30" customHeight="1" x14ac:dyDescent="0.25">
      <c r="A20" s="378">
        <f>IF(ISBLANK(стартоваяВедомость!B20),"",стартоваяВедомость!B20)</f>
        <v>10</v>
      </c>
      <c r="B20" s="101">
        <f>IF(A20="","",стартоваяВедомость!H20)</f>
        <v>0.50694444444444442</v>
      </c>
      <c r="C20" s="106">
        <v>0.50694444444444442</v>
      </c>
      <c r="D20" s="95"/>
    </row>
    <row r="21" spans="1:4" ht="30" customHeight="1" x14ac:dyDescent="0.25">
      <c r="A21" s="378">
        <f>IF(ISBLANK(стартоваяВедомость!B21),"",стартоваяВедомость!B21)</f>
        <v>11</v>
      </c>
      <c r="B21" s="101">
        <f>IF(A21="","",стартоваяВедомость!H21)</f>
        <v>0.50763888888888886</v>
      </c>
      <c r="C21" s="106">
        <v>0.50763888888888886</v>
      </c>
      <c r="D21" s="95"/>
    </row>
    <row r="22" spans="1:4" ht="30" customHeight="1" x14ac:dyDescent="0.25">
      <c r="A22" s="378">
        <f>IF(ISBLANK(стартоваяВедомость!B22),"",стартоваяВедомость!B22)</f>
        <v>12</v>
      </c>
      <c r="B22" s="101">
        <f>IF(A22="","",стартоваяВедомость!H22)</f>
        <v>0.5083333333333333</v>
      </c>
      <c r="C22" s="106"/>
      <c r="D22" s="95"/>
    </row>
    <row r="23" spans="1:4" ht="30" customHeight="1" x14ac:dyDescent="0.25">
      <c r="A23" s="378">
        <f>IF(ISBLANK(стартоваяВедомость!B23),"",стартоваяВедомость!B23)</f>
        <v>13</v>
      </c>
      <c r="B23" s="101">
        <f>IF(A23="","",стартоваяВедомость!H23)</f>
        <v>0.50902777777777775</v>
      </c>
      <c r="C23" s="106">
        <v>0.50902777777777775</v>
      </c>
      <c r="D23" s="95"/>
    </row>
    <row r="24" spans="1:4" ht="30" customHeight="1" x14ac:dyDescent="0.25">
      <c r="A24" s="378">
        <f>IF(ISBLANK(стартоваяВедомость!B24),"",стартоваяВедомость!B24)</f>
        <v>14</v>
      </c>
      <c r="B24" s="101">
        <f>IF(A24="","",стартоваяВедомость!H24)</f>
        <v>0.50972222222222219</v>
      </c>
      <c r="C24" s="106">
        <v>0.50972222222222219</v>
      </c>
      <c r="D24" s="95"/>
    </row>
    <row r="25" spans="1:4" ht="30" customHeight="1" x14ac:dyDescent="0.25">
      <c r="A25" s="378">
        <f>IF(ISBLANK(стартоваяВедомость!B25),"",стартоваяВедомость!B25)</f>
        <v>15</v>
      </c>
      <c r="B25" s="101">
        <f>IF(A25="","",стартоваяВедомость!H25)</f>
        <v>0.51041666666666663</v>
      </c>
      <c r="C25" s="106">
        <v>0.51041666666666663</v>
      </c>
      <c r="D25" s="95"/>
    </row>
    <row r="26" spans="1:4" ht="30" customHeight="1" x14ac:dyDescent="0.25">
      <c r="A26" s="378">
        <f>IF(ISBLANK(стартоваяВедомость!B26),"",стартоваяВедомость!B26)</f>
        <v>16</v>
      </c>
      <c r="B26" s="101">
        <f>IF(A26="","",стартоваяВедомость!H26)</f>
        <v>0.51111111111111107</v>
      </c>
      <c r="C26" s="106">
        <v>0.51111111111111118</v>
      </c>
      <c r="D26" s="95"/>
    </row>
    <row r="27" spans="1:4" ht="30" customHeight="1" x14ac:dyDescent="0.25">
      <c r="A27" s="378">
        <f>IF(ISBLANK(стартоваяВедомость!B27),"",стартоваяВедомость!B27)</f>
        <v>17</v>
      </c>
      <c r="B27" s="101">
        <f>IF(A27="","",стартоваяВедомость!H27)</f>
        <v>0.51180555555555551</v>
      </c>
      <c r="C27" s="106">
        <v>0.51180555555555551</v>
      </c>
      <c r="D27" s="95"/>
    </row>
    <row r="28" spans="1:4" ht="30" customHeight="1" x14ac:dyDescent="0.25">
      <c r="A28" s="378">
        <f>IF(ISBLANK(стартоваяВедомость!B28),"",стартоваяВедомость!B28)</f>
        <v>18</v>
      </c>
      <c r="B28" s="101">
        <f>IF(A28="","",стартоваяВедомость!H28)</f>
        <v>0.51249999999999996</v>
      </c>
      <c r="C28" s="106">
        <v>0.51250000000000007</v>
      </c>
      <c r="D28" s="95"/>
    </row>
    <row r="29" spans="1:4" ht="30" customHeight="1" x14ac:dyDescent="0.25">
      <c r="A29" s="378">
        <f>IF(ISBLANK(стартоваяВедомость!B29),"",стартоваяВедомость!B29)</f>
        <v>19</v>
      </c>
      <c r="B29" s="101">
        <f>IF(A29="","",стартоваяВедомость!H29)</f>
        <v>0.5131944444444444</v>
      </c>
      <c r="C29" s="106">
        <v>0.5131944444444444</v>
      </c>
      <c r="D29" s="95"/>
    </row>
    <row r="30" spans="1:4" ht="30" customHeight="1" x14ac:dyDescent="0.25">
      <c r="A30" s="378">
        <f>IF(ISBLANK(стартоваяВедомость!B30),"",стартоваяВедомость!B30)</f>
        <v>20</v>
      </c>
      <c r="B30" s="101">
        <f>IF(A30="","",стартоваяВедомость!H30)</f>
        <v>0.51388888888888884</v>
      </c>
      <c r="C30" s="106">
        <v>0.51388888888888895</v>
      </c>
      <c r="D30" s="95"/>
    </row>
    <row r="31" spans="1:4" ht="30" customHeight="1" x14ac:dyDescent="0.25">
      <c r="A31" s="378">
        <f>IF(ISBLANK(стартоваяВедомость!B31),"",стартоваяВедомость!B31)</f>
        <v>21</v>
      </c>
      <c r="B31" s="101">
        <f>IF(A31="","",стартоваяВедомость!H31)</f>
        <v>0.51458333333333328</v>
      </c>
      <c r="C31" s="106"/>
      <c r="D31" s="95"/>
    </row>
    <row r="32" spans="1:4" ht="30" customHeight="1" x14ac:dyDescent="0.25">
      <c r="A32" s="378">
        <f>IF(ISBLANK(стартоваяВедомость!B32),"",стартоваяВедомость!B32)</f>
        <v>22</v>
      </c>
      <c r="B32" s="101">
        <f>IF(A32="","",стартоваяВедомость!H32)</f>
        <v>0.51527777777777772</v>
      </c>
      <c r="C32" s="106">
        <v>0.51527777777777783</v>
      </c>
      <c r="D32" s="95"/>
    </row>
    <row r="33" spans="1:4" ht="30" customHeight="1" x14ac:dyDescent="0.25">
      <c r="A33" s="378">
        <f>IF(ISBLANK(стартоваяВедомость!B33),"",стартоваяВедомость!B33)</f>
        <v>23</v>
      </c>
      <c r="B33" s="101">
        <f>IF(A33="","",стартоваяВедомость!H33)</f>
        <v>0.51597222222222217</v>
      </c>
      <c r="C33" s="106">
        <v>0.51597222222222217</v>
      </c>
      <c r="D33" s="95"/>
    </row>
    <row r="34" spans="1:4" ht="30" customHeight="1" x14ac:dyDescent="0.25">
      <c r="A34" s="378">
        <f>IF(ISBLANK(стартоваяВедомость!B34),"",стартоваяВедомость!B34)</f>
        <v>24</v>
      </c>
      <c r="B34" s="101">
        <f>IF(A34="","",стартоваяВедомость!H34)</f>
        <v>0.51666666666666661</v>
      </c>
      <c r="C34" s="106">
        <v>0.51666666666666672</v>
      </c>
      <c r="D34" s="95"/>
    </row>
    <row r="35" spans="1:4" ht="30" customHeight="1" x14ac:dyDescent="0.25">
      <c r="A35" s="378">
        <f>IF(ISBLANK(стартоваяВедомость!B35),"",стартоваяВедомость!B35)</f>
        <v>25</v>
      </c>
      <c r="B35" s="101">
        <f>IF(A35="","",стартоваяВедомость!H35)</f>
        <v>0.51736111111111105</v>
      </c>
      <c r="C35" s="106">
        <v>0.51736111111111105</v>
      </c>
      <c r="D35" s="95"/>
    </row>
    <row r="36" spans="1:4" ht="30" customHeight="1" x14ac:dyDescent="0.25">
      <c r="A36" s="378">
        <f>IF(ISBLANK(стартоваяВедомость!B36),"",стартоваяВедомость!B36)</f>
        <v>26</v>
      </c>
      <c r="B36" s="101">
        <f>IF(A36="","",стартоваяВедомость!H36)</f>
        <v>0.51805555555555549</v>
      </c>
      <c r="C36" s="106">
        <v>0.5180555555555556</v>
      </c>
      <c r="D36" s="95"/>
    </row>
    <row r="37" spans="1:4" ht="30" customHeight="1" x14ac:dyDescent="0.25">
      <c r="A37" s="378">
        <f>IF(ISBLANK(стартоваяВедомость!B37),"",стартоваяВедомость!B37)</f>
        <v>27</v>
      </c>
      <c r="B37" s="101">
        <f>IF(A37="","",стартоваяВедомость!H37)</f>
        <v>0.51874999999999993</v>
      </c>
      <c r="C37" s="106">
        <v>0.51874999999999993</v>
      </c>
      <c r="D37" s="95"/>
    </row>
    <row r="38" spans="1:4" ht="30" customHeight="1" x14ac:dyDescent="0.25">
      <c r="A38" s="378">
        <f>IF(ISBLANK(стартоваяВедомость!B38),"",стартоваяВедомость!B38)</f>
        <v>28</v>
      </c>
      <c r="B38" s="101">
        <f>IF(A38="","",стартоваяВедомость!H38)</f>
        <v>0.51944444444444438</v>
      </c>
      <c r="C38" s="106">
        <v>0.51944444444444449</v>
      </c>
      <c r="D38" s="95"/>
    </row>
    <row r="39" spans="1:4" ht="30" customHeight="1" x14ac:dyDescent="0.25">
      <c r="A39" s="378" t="str">
        <f>IF(ISBLANK(стартоваяВедомость!B39),"",стартоваяВедомость!B39)</f>
        <v/>
      </c>
      <c r="B39" s="101" t="str">
        <f>IF(A39="","",стартоваяВедомость!H39)</f>
        <v/>
      </c>
      <c r="C39" s="106"/>
      <c r="D39" s="95"/>
    </row>
    <row r="40" spans="1:4" ht="30" customHeight="1" x14ac:dyDescent="0.25">
      <c r="A40" s="378" t="str">
        <f>IF(ISBLANK(стартоваяВедомость!B40),"",стартоваяВедомость!B40)</f>
        <v/>
      </c>
      <c r="B40" s="101" t="str">
        <f>IF(A40="","",стартоваяВедомость!H40)</f>
        <v/>
      </c>
      <c r="C40" s="106"/>
      <c r="D40" s="95"/>
    </row>
    <row r="41" spans="1:4" ht="30" customHeight="1" x14ac:dyDescent="0.25">
      <c r="A41" s="378" t="str">
        <f>IF(ISBLANK(стартоваяВедомость!B41),"",стартоваяВедомость!B41)</f>
        <v/>
      </c>
      <c r="B41" s="101" t="str">
        <f>IF(A41="","",стартоваяВедомость!H41)</f>
        <v/>
      </c>
      <c r="C41" s="106"/>
      <c r="D41" s="95"/>
    </row>
    <row r="42" spans="1:4" ht="30" customHeight="1" x14ac:dyDescent="0.25">
      <c r="A42" s="378" t="str">
        <f>IF(ISBLANK(стартоваяВедомость!B42),"",стартоваяВедомость!B42)</f>
        <v/>
      </c>
      <c r="B42" s="101" t="str">
        <f>IF(A42="","",стартоваяВедомость!H42)</f>
        <v/>
      </c>
      <c r="C42" s="106"/>
      <c r="D42" s="95"/>
    </row>
    <row r="43" spans="1:4" ht="30" customHeight="1" x14ac:dyDescent="0.25">
      <c r="A43" s="378" t="str">
        <f>IF(ISBLANK(стартоваяВедомость!B43),"",стартоваяВедомость!B43)</f>
        <v/>
      </c>
      <c r="B43" s="101" t="str">
        <f>IF(A43="","",стартоваяВедомость!H43)</f>
        <v/>
      </c>
      <c r="C43" s="106"/>
      <c r="D43" s="95"/>
    </row>
    <row r="44" spans="1:4" ht="30" customHeight="1" x14ac:dyDescent="0.25">
      <c r="A44" s="378" t="str">
        <f>IF(ISBLANK(стартоваяВедомость!B44),"",стартоваяВедомость!B44)</f>
        <v/>
      </c>
      <c r="B44" s="101" t="str">
        <f>IF(A44="","",стартоваяВедомость!H44)</f>
        <v/>
      </c>
      <c r="C44" s="106"/>
      <c r="D44" s="95"/>
    </row>
    <row r="45" spans="1:4" ht="30" customHeight="1" x14ac:dyDescent="0.25">
      <c r="A45" s="378" t="str">
        <f>IF(ISBLANK(стартоваяВедомость!B45),"",стартоваяВедомость!B45)</f>
        <v/>
      </c>
      <c r="B45" s="101" t="str">
        <f>IF(A45="","",стартоваяВедомость!H45)</f>
        <v/>
      </c>
      <c r="C45" s="106"/>
      <c r="D45" s="95"/>
    </row>
    <row r="46" spans="1:4" ht="30" customHeight="1" x14ac:dyDescent="0.25">
      <c r="A46" s="378" t="str">
        <f>IF(ISBLANK(стартоваяВедомость!B46),"",стартоваяВедомость!B46)</f>
        <v/>
      </c>
      <c r="B46" s="101" t="str">
        <f>IF(A46="","",стартоваяВедомость!H46)</f>
        <v/>
      </c>
      <c r="C46" s="106"/>
      <c r="D46" s="95"/>
    </row>
    <row r="47" spans="1:4" ht="30" customHeight="1" x14ac:dyDescent="0.25">
      <c r="A47" s="378" t="str">
        <f>IF(ISBLANK(стартоваяВедомость!B47),"",стартоваяВедомость!B47)</f>
        <v/>
      </c>
      <c r="B47" s="101" t="str">
        <f>IF(A47="","",стартоваяВедомость!H47)</f>
        <v/>
      </c>
      <c r="C47" s="106"/>
      <c r="D47" s="95"/>
    </row>
    <row r="48" spans="1:4" ht="30" customHeight="1" x14ac:dyDescent="0.25">
      <c r="A48" s="378" t="str">
        <f>IF(ISBLANK(стартоваяВедомость!B48),"",стартоваяВедомость!B48)</f>
        <v/>
      </c>
      <c r="B48" s="101" t="str">
        <f>IF(A48="","",стартоваяВедомость!H48)</f>
        <v/>
      </c>
      <c r="C48" s="106"/>
      <c r="D48" s="95"/>
    </row>
    <row r="49" spans="1:4" ht="30" customHeight="1" x14ac:dyDescent="0.25">
      <c r="A49" s="378" t="str">
        <f>IF(ISBLANK(стартоваяВедомость!B49),"",стартоваяВедомость!B49)</f>
        <v/>
      </c>
      <c r="B49" s="101" t="str">
        <f>IF(A49="","",стартоваяВедомость!H49)</f>
        <v/>
      </c>
      <c r="C49" s="106"/>
      <c r="D49" s="95"/>
    </row>
    <row r="50" spans="1:4" ht="30" customHeight="1" x14ac:dyDescent="0.25">
      <c r="A50" s="378" t="str">
        <f>IF(ISBLANK(стартоваяВедомость!B50),"",стартоваяВедомость!B50)</f>
        <v/>
      </c>
      <c r="B50" s="101" t="str">
        <f>IF(A50="","",стартоваяВедомость!H50)</f>
        <v/>
      </c>
      <c r="C50" s="106"/>
      <c r="D50" s="95"/>
    </row>
    <row r="51" spans="1:4" ht="30" customHeight="1" x14ac:dyDescent="0.25">
      <c r="A51" s="378" t="str">
        <f>IF(ISBLANK(стартоваяВедомость!B51),"",стартоваяВедомость!B51)</f>
        <v/>
      </c>
      <c r="B51" s="101" t="str">
        <f>IF(A51="","",стартоваяВедомость!H51)</f>
        <v/>
      </c>
      <c r="C51" s="106"/>
      <c r="D51" s="95"/>
    </row>
    <row r="52" spans="1:4" ht="30" customHeight="1" x14ac:dyDescent="0.25">
      <c r="A52" s="378" t="str">
        <f>IF(ISBLANK(стартоваяВедомость!B52),"",стартоваяВедомость!B52)</f>
        <v/>
      </c>
      <c r="B52" s="101" t="str">
        <f>IF(A52="","",стартоваяВедомость!H52)</f>
        <v/>
      </c>
      <c r="C52" s="106"/>
      <c r="D52" s="95"/>
    </row>
    <row r="53" spans="1:4" ht="30" customHeight="1" x14ac:dyDescent="0.25">
      <c r="A53" s="378" t="str">
        <f>IF(ISBLANK(стартоваяВедомость!B53),"",стартоваяВедомость!B53)</f>
        <v/>
      </c>
      <c r="B53" s="101" t="str">
        <f>IF(A53="","",стартоваяВедомость!H53)</f>
        <v/>
      </c>
      <c r="C53" s="106"/>
      <c r="D53" s="95"/>
    </row>
    <row r="54" spans="1:4" ht="30" customHeight="1" x14ac:dyDescent="0.25">
      <c r="A54" s="378" t="str">
        <f>IF(ISBLANK(стартоваяВедомость!B54),"",стартоваяВедомость!B54)</f>
        <v/>
      </c>
      <c r="B54" s="101" t="str">
        <f>IF(A54="","",стартоваяВедомость!H54)</f>
        <v/>
      </c>
      <c r="C54" s="106"/>
      <c r="D54" s="95"/>
    </row>
    <row r="55" spans="1:4" ht="30" customHeight="1" x14ac:dyDescent="0.25">
      <c r="A55" s="378" t="str">
        <f>IF(ISBLANK(стартоваяВедомость!B55),"",стартоваяВедомость!B55)</f>
        <v/>
      </c>
      <c r="B55" s="101" t="str">
        <f>IF(A55="","",стартоваяВедомость!H55)</f>
        <v/>
      </c>
      <c r="C55" s="106"/>
      <c r="D55" s="95"/>
    </row>
    <row r="56" spans="1:4" ht="30" customHeight="1" x14ac:dyDescent="0.25">
      <c r="A56" s="378" t="str">
        <f>IF(ISBLANK(стартоваяВедомость!B56),"",стартоваяВедомость!B56)</f>
        <v/>
      </c>
      <c r="B56" s="101" t="str">
        <f>IF(A56="","",стартоваяВедомость!H56)</f>
        <v/>
      </c>
      <c r="C56" s="106"/>
      <c r="D56" s="95"/>
    </row>
    <row r="57" spans="1:4" ht="30" customHeight="1" x14ac:dyDescent="0.25">
      <c r="A57" s="378" t="str">
        <f>IF(ISBLANK(стартоваяВедомость!B57),"",стартоваяВедомость!B57)</f>
        <v/>
      </c>
      <c r="B57" s="101" t="str">
        <f>IF(A57="","",стартоваяВедомость!H57)</f>
        <v/>
      </c>
      <c r="C57" s="106"/>
      <c r="D57" s="95"/>
    </row>
    <row r="58" spans="1:4" ht="30" customHeight="1" x14ac:dyDescent="0.25">
      <c r="A58" s="378" t="str">
        <f>IF(ISBLANK(стартоваяВедомость!B58),"",стартоваяВедомость!B58)</f>
        <v/>
      </c>
      <c r="B58" s="101" t="str">
        <f>IF(A58="","",стартоваяВедомость!H58)</f>
        <v/>
      </c>
      <c r="C58" s="106"/>
      <c r="D58" s="95"/>
    </row>
    <row r="59" spans="1:4" ht="30" customHeight="1" x14ac:dyDescent="0.25">
      <c r="A59" s="378" t="str">
        <f>IF(ISBLANK(стартоваяВедомость!B59),"",стартоваяВедомость!B59)</f>
        <v/>
      </c>
      <c r="B59" s="101" t="str">
        <f>IF(A59="","",стартоваяВедомость!H59)</f>
        <v/>
      </c>
      <c r="C59" s="106"/>
      <c r="D59" s="95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F0"/>
  </sheetPr>
  <dimension ref="A1:K59"/>
  <sheetViews>
    <sheetView view="pageBreakPreview" zoomScale="85" zoomScaleSheetLayoutView="85" workbookViewId="0">
      <selection activeCell="A12" sqref="A12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532</v>
      </c>
      <c r="C2" s="41"/>
      <c r="D2" s="42"/>
    </row>
    <row r="3" spans="1:11" ht="20.100000000000001" customHeight="1" x14ac:dyDescent="0.25">
      <c r="A3" s="38" t="s">
        <v>110</v>
      </c>
      <c r="B3" s="36">
        <v>0.50188563575042011</v>
      </c>
      <c r="C3" s="38" t="s">
        <v>104</v>
      </c>
      <c r="D3" s="36">
        <v>0.49305555555555558</v>
      </c>
    </row>
    <row r="4" spans="1:11" ht="20.100000000000001" customHeight="1" x14ac:dyDescent="0.25">
      <c r="A4" s="38" t="s">
        <v>111</v>
      </c>
      <c r="B4" s="36">
        <v>0.54702452463930895</v>
      </c>
      <c r="C4" s="38" t="s">
        <v>105</v>
      </c>
      <c r="D4" s="36">
        <v>0.55069444444444449</v>
      </c>
    </row>
    <row r="5" spans="1:11" ht="46.5" x14ac:dyDescent="0.25">
      <c r="A5" s="564" t="s">
        <v>485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0.50138888888888888</v>
      </c>
      <c r="C10" s="565"/>
      <c r="D10" s="566"/>
    </row>
    <row r="11" spans="1:11" ht="30" customHeight="1" x14ac:dyDescent="0.25">
      <c r="A11" s="379" t="s">
        <v>629</v>
      </c>
      <c r="B11" s="106">
        <v>0.50486111111111109</v>
      </c>
      <c r="C11" s="565"/>
      <c r="D11" s="566"/>
    </row>
    <row r="12" spans="1:11" ht="30" customHeight="1" x14ac:dyDescent="0.25">
      <c r="A12" s="34">
        <v>2</v>
      </c>
      <c r="B12" s="106">
        <v>0.51527777777777783</v>
      </c>
      <c r="C12" s="565"/>
      <c r="D12" s="566"/>
    </row>
    <row r="13" spans="1:11" ht="30" customHeight="1" x14ac:dyDescent="0.25">
      <c r="A13" s="34">
        <v>5</v>
      </c>
      <c r="B13" s="106">
        <v>0.51736111111111105</v>
      </c>
      <c r="C13" s="565"/>
      <c r="D13" s="566"/>
    </row>
    <row r="14" spans="1:11" ht="30" customHeight="1" x14ac:dyDescent="0.25">
      <c r="A14" s="34">
        <v>8</v>
      </c>
      <c r="B14" s="106">
        <v>0.51944444444444449</v>
      </c>
      <c r="C14" s="565"/>
      <c r="D14" s="566"/>
    </row>
    <row r="15" spans="1:11" ht="30" customHeight="1" x14ac:dyDescent="0.25">
      <c r="A15" s="34">
        <v>4</v>
      </c>
      <c r="B15" s="106">
        <v>0.51944444444444449</v>
      </c>
      <c r="C15" s="565"/>
      <c r="D15" s="566"/>
    </row>
    <row r="16" spans="1:11" ht="30" customHeight="1" x14ac:dyDescent="0.25">
      <c r="A16" s="34">
        <v>5</v>
      </c>
      <c r="B16" s="106">
        <v>0.52083333333333337</v>
      </c>
      <c r="C16" s="565"/>
      <c r="D16" s="566"/>
    </row>
    <row r="17" spans="1:4" ht="30" customHeight="1" x14ac:dyDescent="0.25">
      <c r="A17" s="34">
        <v>7</v>
      </c>
      <c r="B17" s="106">
        <v>0.52083333333333337</v>
      </c>
      <c r="C17" s="565"/>
      <c r="D17" s="566"/>
    </row>
    <row r="18" spans="1:4" ht="30" customHeight="1" x14ac:dyDescent="0.25">
      <c r="A18" s="34">
        <v>6</v>
      </c>
      <c r="B18" s="106">
        <v>0.52083333333333337</v>
      </c>
      <c r="C18" s="565"/>
      <c r="D18" s="566"/>
    </row>
    <row r="19" spans="1:4" ht="30" customHeight="1" x14ac:dyDescent="0.25">
      <c r="A19" s="34">
        <v>10</v>
      </c>
      <c r="B19" s="106">
        <v>0.52152777777777781</v>
      </c>
      <c r="C19" s="565"/>
      <c r="D19" s="566"/>
    </row>
    <row r="20" spans="1:4" ht="30" customHeight="1" x14ac:dyDescent="0.25">
      <c r="A20" s="34">
        <v>11</v>
      </c>
      <c r="B20" s="106">
        <v>0.52222222222222225</v>
      </c>
      <c r="C20" s="565"/>
      <c r="D20" s="566"/>
    </row>
    <row r="21" spans="1:4" ht="30" customHeight="1" x14ac:dyDescent="0.25">
      <c r="A21" s="34">
        <v>13</v>
      </c>
      <c r="B21" s="106">
        <v>0.52222222222222225</v>
      </c>
      <c r="C21" s="565"/>
      <c r="D21" s="566"/>
    </row>
    <row r="22" spans="1:4" ht="30" customHeight="1" x14ac:dyDescent="0.25">
      <c r="A22" s="34">
        <v>4</v>
      </c>
      <c r="B22" s="106">
        <v>0.5229166666666667</v>
      </c>
      <c r="C22" s="565"/>
      <c r="D22" s="566"/>
    </row>
    <row r="23" spans="1:4" ht="30" customHeight="1" x14ac:dyDescent="0.25">
      <c r="A23" s="34">
        <v>8</v>
      </c>
      <c r="B23" s="106">
        <v>0.52361111111111114</v>
      </c>
      <c r="C23" s="565"/>
      <c r="D23" s="566"/>
    </row>
    <row r="24" spans="1:4" ht="30" customHeight="1" x14ac:dyDescent="0.25">
      <c r="A24" s="34">
        <v>7</v>
      </c>
      <c r="B24" s="106">
        <v>0.52430555555555558</v>
      </c>
      <c r="C24" s="565"/>
      <c r="D24" s="566"/>
    </row>
    <row r="25" spans="1:4" ht="30" customHeight="1" x14ac:dyDescent="0.25">
      <c r="A25" s="34">
        <v>9</v>
      </c>
      <c r="B25" s="106">
        <v>0.52430555555555558</v>
      </c>
      <c r="C25" s="565"/>
      <c r="D25" s="566"/>
    </row>
    <row r="26" spans="1:4" ht="30" customHeight="1" x14ac:dyDescent="0.25">
      <c r="A26" s="34">
        <v>14</v>
      </c>
      <c r="B26" s="106">
        <v>0.52500000000000002</v>
      </c>
      <c r="C26" s="565"/>
      <c r="D26" s="566"/>
    </row>
    <row r="27" spans="1:4" ht="30" customHeight="1" x14ac:dyDescent="0.25">
      <c r="A27" s="34">
        <v>6</v>
      </c>
      <c r="B27" s="106">
        <v>0.52569444444444446</v>
      </c>
      <c r="C27" s="565"/>
      <c r="D27" s="566"/>
    </row>
    <row r="28" spans="1:4" ht="30" customHeight="1" x14ac:dyDescent="0.25">
      <c r="A28" s="34">
        <v>20</v>
      </c>
      <c r="B28" s="106">
        <v>0.52569444444444446</v>
      </c>
      <c r="C28" s="565"/>
      <c r="D28" s="566"/>
    </row>
    <row r="29" spans="1:4" ht="30" customHeight="1" x14ac:dyDescent="0.25">
      <c r="A29" s="34">
        <v>11</v>
      </c>
      <c r="B29" s="106">
        <v>0.52638888888888891</v>
      </c>
      <c r="C29" s="565"/>
      <c r="D29" s="566"/>
    </row>
    <row r="30" spans="1:4" ht="30" customHeight="1" x14ac:dyDescent="0.25">
      <c r="A30" s="34">
        <v>10</v>
      </c>
      <c r="B30" s="106">
        <v>0.52638888888888891</v>
      </c>
      <c r="C30" s="565"/>
      <c r="D30" s="566"/>
    </row>
    <row r="31" spans="1:4" ht="30" customHeight="1" x14ac:dyDescent="0.25">
      <c r="A31" s="34">
        <v>13</v>
      </c>
      <c r="B31" s="106">
        <v>0.52708333333333335</v>
      </c>
      <c r="C31" s="565"/>
      <c r="D31" s="566"/>
    </row>
    <row r="32" spans="1:4" ht="30" customHeight="1" x14ac:dyDescent="0.25">
      <c r="A32" s="34">
        <v>16</v>
      </c>
      <c r="B32" s="106">
        <v>0.52777777777777779</v>
      </c>
      <c r="C32" s="565"/>
      <c r="D32" s="566"/>
    </row>
    <row r="33" spans="1:4" ht="30" customHeight="1" x14ac:dyDescent="0.25">
      <c r="A33" s="34">
        <v>9</v>
      </c>
      <c r="B33" s="106">
        <v>0.52777777777777779</v>
      </c>
      <c r="C33" s="565"/>
      <c r="D33" s="566"/>
    </row>
    <row r="34" spans="1:4" ht="30" customHeight="1" x14ac:dyDescent="0.25">
      <c r="A34" s="34">
        <v>19</v>
      </c>
      <c r="B34" s="106">
        <v>0.52777777777777779</v>
      </c>
      <c r="C34" s="565"/>
      <c r="D34" s="566"/>
    </row>
    <row r="35" spans="1:4" ht="30" customHeight="1" x14ac:dyDescent="0.25">
      <c r="A35" s="34">
        <v>17</v>
      </c>
      <c r="B35" s="106">
        <v>0.52916666666666667</v>
      </c>
      <c r="C35" s="565"/>
      <c r="D35" s="566"/>
    </row>
    <row r="36" spans="1:4" ht="30" customHeight="1" x14ac:dyDescent="0.25">
      <c r="A36" s="34">
        <v>14</v>
      </c>
      <c r="B36" s="106">
        <v>0.52986111111111112</v>
      </c>
      <c r="C36" s="565"/>
      <c r="D36" s="566"/>
    </row>
    <row r="37" spans="1:4" ht="30" customHeight="1" x14ac:dyDescent="0.25">
      <c r="A37" s="34">
        <v>22</v>
      </c>
      <c r="B37" s="106">
        <v>0.52986111111111112</v>
      </c>
      <c r="C37" s="565"/>
      <c r="D37" s="566"/>
    </row>
    <row r="38" spans="1:4" ht="30" customHeight="1" x14ac:dyDescent="0.25">
      <c r="A38" s="34">
        <v>23</v>
      </c>
      <c r="B38" s="106">
        <v>0.52986111111111112</v>
      </c>
      <c r="C38" s="565"/>
      <c r="D38" s="566"/>
    </row>
    <row r="39" spans="1:4" ht="30" customHeight="1" x14ac:dyDescent="0.25">
      <c r="A39" s="34">
        <v>20</v>
      </c>
      <c r="B39" s="106">
        <v>0.52986111111111112</v>
      </c>
      <c r="C39" s="565"/>
      <c r="D39" s="566"/>
    </row>
    <row r="40" spans="1:4" ht="30" customHeight="1" x14ac:dyDescent="0.25">
      <c r="A40" s="34">
        <v>16</v>
      </c>
      <c r="B40" s="106">
        <v>0.53055555555555556</v>
      </c>
      <c r="C40" s="565"/>
      <c r="D40" s="566"/>
    </row>
    <row r="41" spans="1:4" ht="30" customHeight="1" x14ac:dyDescent="0.25">
      <c r="A41" s="34">
        <v>28</v>
      </c>
      <c r="B41" s="106">
        <v>0.53125</v>
      </c>
      <c r="C41" s="565"/>
      <c r="D41" s="566"/>
    </row>
    <row r="42" spans="1:4" ht="30" customHeight="1" x14ac:dyDescent="0.25">
      <c r="A42" s="34">
        <v>24</v>
      </c>
      <c r="B42" s="106">
        <v>0.53194444444444444</v>
      </c>
      <c r="C42" s="565"/>
      <c r="D42" s="566"/>
    </row>
    <row r="43" spans="1:4" ht="30" customHeight="1" x14ac:dyDescent="0.25">
      <c r="A43" s="34">
        <v>25</v>
      </c>
      <c r="B43" s="106">
        <v>0.53194444444444444</v>
      </c>
      <c r="C43" s="565"/>
      <c r="D43" s="566"/>
    </row>
    <row r="44" spans="1:4" ht="30" customHeight="1" x14ac:dyDescent="0.25">
      <c r="A44" s="34">
        <v>17</v>
      </c>
      <c r="B44" s="106">
        <v>0.53263888888888888</v>
      </c>
      <c r="C44" s="565"/>
      <c r="D44" s="566"/>
    </row>
    <row r="45" spans="1:4" ht="30" customHeight="1" x14ac:dyDescent="0.25">
      <c r="A45" s="34">
        <v>19</v>
      </c>
      <c r="B45" s="106">
        <v>0.53263888888888888</v>
      </c>
      <c r="C45" s="565"/>
      <c r="D45" s="566"/>
    </row>
    <row r="46" spans="1:4" ht="30" customHeight="1" x14ac:dyDescent="0.25">
      <c r="A46" s="34">
        <v>1</v>
      </c>
      <c r="B46" s="106">
        <v>0.53333333333333333</v>
      </c>
      <c r="C46" s="565"/>
      <c r="D46" s="566"/>
    </row>
    <row r="47" spans="1:4" ht="30" customHeight="1" x14ac:dyDescent="0.25">
      <c r="A47" s="34">
        <v>22</v>
      </c>
      <c r="B47" s="106">
        <v>0.53402777777777777</v>
      </c>
      <c r="C47" s="565"/>
      <c r="D47" s="566"/>
    </row>
    <row r="48" spans="1:4" ht="30" customHeight="1" x14ac:dyDescent="0.25">
      <c r="A48" s="34">
        <v>23</v>
      </c>
      <c r="B48" s="106">
        <v>0.53402777777777777</v>
      </c>
      <c r="C48" s="565"/>
      <c r="D48" s="566"/>
    </row>
    <row r="49" spans="1:4" ht="30" customHeight="1" x14ac:dyDescent="0.25">
      <c r="A49" s="34">
        <v>26</v>
      </c>
      <c r="B49" s="106">
        <v>0.53402777777777777</v>
      </c>
      <c r="C49" s="565"/>
      <c r="D49" s="566"/>
    </row>
    <row r="50" spans="1:4" ht="30" customHeight="1" x14ac:dyDescent="0.25">
      <c r="A50" s="34">
        <v>24</v>
      </c>
      <c r="B50" s="106">
        <v>0.53472222222222221</v>
      </c>
      <c r="C50" s="565"/>
      <c r="D50" s="566"/>
    </row>
    <row r="51" spans="1:4" ht="30" customHeight="1" x14ac:dyDescent="0.25">
      <c r="A51" s="34">
        <v>27</v>
      </c>
      <c r="B51" s="106">
        <v>0.53472222222222221</v>
      </c>
      <c r="C51" s="565"/>
      <c r="D51" s="566"/>
    </row>
    <row r="52" spans="1:4" ht="30" customHeight="1" x14ac:dyDescent="0.25">
      <c r="A52" s="34">
        <v>25</v>
      </c>
      <c r="B52" s="106">
        <v>0.53541666666666665</v>
      </c>
      <c r="C52" s="565"/>
      <c r="D52" s="566"/>
    </row>
    <row r="53" spans="1:4" ht="30" customHeight="1" x14ac:dyDescent="0.25">
      <c r="A53" s="34">
        <v>28</v>
      </c>
      <c r="B53" s="106">
        <v>0.53611111111111109</v>
      </c>
      <c r="C53" s="565"/>
      <c r="D53" s="566"/>
    </row>
    <row r="54" spans="1:4" ht="30" customHeight="1" x14ac:dyDescent="0.25">
      <c r="A54" s="34">
        <v>1</v>
      </c>
      <c r="B54" s="106">
        <v>0.53749999999999998</v>
      </c>
      <c r="C54" s="565"/>
      <c r="D54" s="566"/>
    </row>
    <row r="55" spans="1:4" ht="30" customHeight="1" x14ac:dyDescent="0.25">
      <c r="A55" s="34">
        <v>26</v>
      </c>
      <c r="B55" s="106">
        <v>0.53819444444444442</v>
      </c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ortState ref="A10:B55">
    <sortCondition ref="B10:B55"/>
  </sortState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75"/>
  <sheetViews>
    <sheetView view="pageBreakPreview" zoomScaleNormal="100" zoomScaleSheetLayoutView="100" workbookViewId="0">
      <selection activeCell="A14" sqref="A14"/>
    </sheetView>
  </sheetViews>
  <sheetFormatPr defaultRowHeight="15" x14ac:dyDescent="0.25"/>
  <cols>
    <col min="1" max="2" width="5.7109375" style="1" customWidth="1"/>
    <col min="3" max="3" width="14.7109375" style="1" customWidth="1"/>
    <col min="4" max="4" width="15.42578125" style="1" customWidth="1"/>
    <col min="5" max="5" width="15" style="1" customWidth="1"/>
    <col min="6" max="6" width="17.7109375" style="1" customWidth="1"/>
    <col min="7" max="7" width="11.85546875" style="1" customWidth="1"/>
    <col min="8" max="8" width="9" style="1" customWidth="1"/>
    <col min="9" max="166" width="9.140625" style="1"/>
    <col min="167" max="167" width="18.7109375" style="1" customWidth="1"/>
    <col min="168" max="168" width="18.140625" style="1" customWidth="1"/>
    <col min="169" max="169" width="8.7109375" style="1" customWidth="1"/>
    <col min="170" max="170" width="9.140625" style="1"/>
    <col min="171" max="171" width="9.140625" style="1" customWidth="1"/>
    <col min="172" max="172" width="27.28515625" style="1" customWidth="1"/>
    <col min="173" max="208" width="9.140625" style="1" customWidth="1"/>
    <col min="209" max="422" width="9.140625" style="1"/>
    <col min="423" max="423" width="18.7109375" style="1" customWidth="1"/>
    <col min="424" max="424" width="18.140625" style="1" customWidth="1"/>
    <col min="425" max="425" width="8.7109375" style="1" customWidth="1"/>
    <col min="426" max="426" width="9.140625" style="1"/>
    <col min="427" max="427" width="9.140625" style="1" customWidth="1"/>
    <col min="428" max="428" width="27.28515625" style="1" customWidth="1"/>
    <col min="429" max="464" width="9.140625" style="1" customWidth="1"/>
    <col min="465" max="678" width="9.140625" style="1"/>
    <col min="679" max="679" width="18.7109375" style="1" customWidth="1"/>
    <col min="680" max="680" width="18.140625" style="1" customWidth="1"/>
    <col min="681" max="681" width="8.7109375" style="1" customWidth="1"/>
    <col min="682" max="682" width="9.140625" style="1"/>
    <col min="683" max="683" width="9.140625" style="1" customWidth="1"/>
    <col min="684" max="684" width="27.28515625" style="1" customWidth="1"/>
    <col min="685" max="720" width="9.140625" style="1" customWidth="1"/>
    <col min="721" max="934" width="9.140625" style="1"/>
    <col min="935" max="935" width="18.7109375" style="1" customWidth="1"/>
    <col min="936" max="936" width="18.140625" style="1" customWidth="1"/>
    <col min="937" max="937" width="8.7109375" style="1" customWidth="1"/>
    <col min="938" max="938" width="9.140625" style="1"/>
    <col min="939" max="939" width="9.140625" style="1" customWidth="1"/>
    <col min="940" max="940" width="27.28515625" style="1" customWidth="1"/>
    <col min="941" max="976" width="9.140625" style="1" customWidth="1"/>
    <col min="977" max="1190" width="9.140625" style="1"/>
    <col min="1191" max="1191" width="18.7109375" style="1" customWidth="1"/>
    <col min="1192" max="1192" width="18.140625" style="1" customWidth="1"/>
    <col min="1193" max="1193" width="8.7109375" style="1" customWidth="1"/>
    <col min="1194" max="1194" width="9.140625" style="1"/>
    <col min="1195" max="1195" width="9.140625" style="1" customWidth="1"/>
    <col min="1196" max="1196" width="27.28515625" style="1" customWidth="1"/>
    <col min="1197" max="1232" width="9.140625" style="1" customWidth="1"/>
    <col min="1233" max="1446" width="9.140625" style="1"/>
    <col min="1447" max="1447" width="18.7109375" style="1" customWidth="1"/>
    <col min="1448" max="1448" width="18.140625" style="1" customWidth="1"/>
    <col min="1449" max="1449" width="8.7109375" style="1" customWidth="1"/>
    <col min="1450" max="1450" width="9.140625" style="1"/>
    <col min="1451" max="1451" width="9.140625" style="1" customWidth="1"/>
    <col min="1452" max="1452" width="27.28515625" style="1" customWidth="1"/>
    <col min="1453" max="1488" width="9.140625" style="1" customWidth="1"/>
    <col min="1489" max="1702" width="9.140625" style="1"/>
    <col min="1703" max="1703" width="18.7109375" style="1" customWidth="1"/>
    <col min="1704" max="1704" width="18.140625" style="1" customWidth="1"/>
    <col min="1705" max="1705" width="8.7109375" style="1" customWidth="1"/>
    <col min="1706" max="1706" width="9.140625" style="1"/>
    <col min="1707" max="1707" width="9.140625" style="1" customWidth="1"/>
    <col min="1708" max="1708" width="27.28515625" style="1" customWidth="1"/>
    <col min="1709" max="1744" width="9.140625" style="1" customWidth="1"/>
    <col min="1745" max="1958" width="9.140625" style="1"/>
    <col min="1959" max="1959" width="18.7109375" style="1" customWidth="1"/>
    <col min="1960" max="1960" width="18.140625" style="1" customWidth="1"/>
    <col min="1961" max="1961" width="8.7109375" style="1" customWidth="1"/>
    <col min="1962" max="1962" width="9.140625" style="1"/>
    <col min="1963" max="1963" width="9.140625" style="1" customWidth="1"/>
    <col min="1964" max="1964" width="27.28515625" style="1" customWidth="1"/>
    <col min="1965" max="2000" width="9.140625" style="1" customWidth="1"/>
    <col min="2001" max="2214" width="9.140625" style="1"/>
    <col min="2215" max="2215" width="18.7109375" style="1" customWidth="1"/>
    <col min="2216" max="2216" width="18.140625" style="1" customWidth="1"/>
    <col min="2217" max="2217" width="8.7109375" style="1" customWidth="1"/>
    <col min="2218" max="2218" width="9.140625" style="1"/>
    <col min="2219" max="2219" width="9.140625" style="1" customWidth="1"/>
    <col min="2220" max="2220" width="27.28515625" style="1" customWidth="1"/>
    <col min="2221" max="2256" width="9.140625" style="1" customWidth="1"/>
    <col min="2257" max="2470" width="9.140625" style="1"/>
    <col min="2471" max="2471" width="18.7109375" style="1" customWidth="1"/>
    <col min="2472" max="2472" width="18.140625" style="1" customWidth="1"/>
    <col min="2473" max="2473" width="8.7109375" style="1" customWidth="1"/>
    <col min="2474" max="2474" width="9.140625" style="1"/>
    <col min="2475" max="2475" width="9.140625" style="1" customWidth="1"/>
    <col min="2476" max="2476" width="27.28515625" style="1" customWidth="1"/>
    <col min="2477" max="2512" width="9.140625" style="1" customWidth="1"/>
    <col min="2513" max="2726" width="9.140625" style="1"/>
    <col min="2727" max="2727" width="18.7109375" style="1" customWidth="1"/>
    <col min="2728" max="2728" width="18.140625" style="1" customWidth="1"/>
    <col min="2729" max="2729" width="8.7109375" style="1" customWidth="1"/>
    <col min="2730" max="2730" width="9.140625" style="1"/>
    <col min="2731" max="2731" width="9.140625" style="1" customWidth="1"/>
    <col min="2732" max="2732" width="27.28515625" style="1" customWidth="1"/>
    <col min="2733" max="2768" width="9.140625" style="1" customWidth="1"/>
    <col min="2769" max="2982" width="9.140625" style="1"/>
    <col min="2983" max="2983" width="18.7109375" style="1" customWidth="1"/>
    <col min="2984" max="2984" width="18.140625" style="1" customWidth="1"/>
    <col min="2985" max="2985" width="8.7109375" style="1" customWidth="1"/>
    <col min="2986" max="2986" width="9.140625" style="1"/>
    <col min="2987" max="2987" width="9.140625" style="1" customWidth="1"/>
    <col min="2988" max="2988" width="27.28515625" style="1" customWidth="1"/>
    <col min="2989" max="3024" width="9.140625" style="1" customWidth="1"/>
    <col min="3025" max="3238" width="9.140625" style="1"/>
    <col min="3239" max="3239" width="18.7109375" style="1" customWidth="1"/>
    <col min="3240" max="3240" width="18.140625" style="1" customWidth="1"/>
    <col min="3241" max="3241" width="8.7109375" style="1" customWidth="1"/>
    <col min="3242" max="3242" width="9.140625" style="1"/>
    <col min="3243" max="3243" width="9.140625" style="1" customWidth="1"/>
    <col min="3244" max="3244" width="27.28515625" style="1" customWidth="1"/>
    <col min="3245" max="3280" width="9.140625" style="1" customWidth="1"/>
    <col min="3281" max="3494" width="9.140625" style="1"/>
    <col min="3495" max="3495" width="18.7109375" style="1" customWidth="1"/>
    <col min="3496" max="3496" width="18.140625" style="1" customWidth="1"/>
    <col min="3497" max="3497" width="8.7109375" style="1" customWidth="1"/>
    <col min="3498" max="3498" width="9.140625" style="1"/>
    <col min="3499" max="3499" width="9.140625" style="1" customWidth="1"/>
    <col min="3500" max="3500" width="27.28515625" style="1" customWidth="1"/>
    <col min="3501" max="3536" width="9.140625" style="1" customWidth="1"/>
    <col min="3537" max="3750" width="9.140625" style="1"/>
    <col min="3751" max="3751" width="18.7109375" style="1" customWidth="1"/>
    <col min="3752" max="3752" width="18.140625" style="1" customWidth="1"/>
    <col min="3753" max="3753" width="8.7109375" style="1" customWidth="1"/>
    <col min="3754" max="3754" width="9.140625" style="1"/>
    <col min="3755" max="3755" width="9.140625" style="1" customWidth="1"/>
    <col min="3756" max="3756" width="27.28515625" style="1" customWidth="1"/>
    <col min="3757" max="3792" width="9.140625" style="1" customWidth="1"/>
    <col min="3793" max="4006" width="9.140625" style="1"/>
    <col min="4007" max="4007" width="18.7109375" style="1" customWidth="1"/>
    <col min="4008" max="4008" width="18.140625" style="1" customWidth="1"/>
    <col min="4009" max="4009" width="8.7109375" style="1" customWidth="1"/>
    <col min="4010" max="4010" width="9.140625" style="1"/>
    <col min="4011" max="4011" width="9.140625" style="1" customWidth="1"/>
    <col min="4012" max="4012" width="27.28515625" style="1" customWidth="1"/>
    <col min="4013" max="4048" width="9.140625" style="1" customWidth="1"/>
    <col min="4049" max="4262" width="9.140625" style="1"/>
    <col min="4263" max="4263" width="18.7109375" style="1" customWidth="1"/>
    <col min="4264" max="4264" width="18.140625" style="1" customWidth="1"/>
    <col min="4265" max="4265" width="8.7109375" style="1" customWidth="1"/>
    <col min="4266" max="4266" width="9.140625" style="1"/>
    <col min="4267" max="4267" width="9.140625" style="1" customWidth="1"/>
    <col min="4268" max="4268" width="27.28515625" style="1" customWidth="1"/>
    <col min="4269" max="4304" width="9.140625" style="1" customWidth="1"/>
    <col min="4305" max="4518" width="9.140625" style="1"/>
    <col min="4519" max="4519" width="18.7109375" style="1" customWidth="1"/>
    <col min="4520" max="4520" width="18.140625" style="1" customWidth="1"/>
    <col min="4521" max="4521" width="8.7109375" style="1" customWidth="1"/>
    <col min="4522" max="4522" width="9.140625" style="1"/>
    <col min="4523" max="4523" width="9.140625" style="1" customWidth="1"/>
    <col min="4524" max="4524" width="27.28515625" style="1" customWidth="1"/>
    <col min="4525" max="4560" width="9.140625" style="1" customWidth="1"/>
    <col min="4561" max="4774" width="9.140625" style="1"/>
    <col min="4775" max="4775" width="18.7109375" style="1" customWidth="1"/>
    <col min="4776" max="4776" width="18.140625" style="1" customWidth="1"/>
    <col min="4777" max="4777" width="8.7109375" style="1" customWidth="1"/>
    <col min="4778" max="4778" width="9.140625" style="1"/>
    <col min="4779" max="4779" width="9.140625" style="1" customWidth="1"/>
    <col min="4780" max="4780" width="27.28515625" style="1" customWidth="1"/>
    <col min="4781" max="4816" width="9.140625" style="1" customWidth="1"/>
    <col min="4817" max="5030" width="9.140625" style="1"/>
    <col min="5031" max="5031" width="18.7109375" style="1" customWidth="1"/>
    <col min="5032" max="5032" width="18.140625" style="1" customWidth="1"/>
    <col min="5033" max="5033" width="8.7109375" style="1" customWidth="1"/>
    <col min="5034" max="5034" width="9.140625" style="1"/>
    <col min="5035" max="5035" width="9.140625" style="1" customWidth="1"/>
    <col min="5036" max="5036" width="27.28515625" style="1" customWidth="1"/>
    <col min="5037" max="5072" width="9.140625" style="1" customWidth="1"/>
    <col min="5073" max="5286" width="9.140625" style="1"/>
    <col min="5287" max="5287" width="18.7109375" style="1" customWidth="1"/>
    <col min="5288" max="5288" width="18.140625" style="1" customWidth="1"/>
    <col min="5289" max="5289" width="8.7109375" style="1" customWidth="1"/>
    <col min="5290" max="5290" width="9.140625" style="1"/>
    <col min="5291" max="5291" width="9.140625" style="1" customWidth="1"/>
    <col min="5292" max="5292" width="27.28515625" style="1" customWidth="1"/>
    <col min="5293" max="5328" width="9.140625" style="1" customWidth="1"/>
    <col min="5329" max="5542" width="9.140625" style="1"/>
    <col min="5543" max="5543" width="18.7109375" style="1" customWidth="1"/>
    <col min="5544" max="5544" width="18.140625" style="1" customWidth="1"/>
    <col min="5545" max="5545" width="8.7109375" style="1" customWidth="1"/>
    <col min="5546" max="5546" width="9.140625" style="1"/>
    <col min="5547" max="5547" width="9.140625" style="1" customWidth="1"/>
    <col min="5548" max="5548" width="27.28515625" style="1" customWidth="1"/>
    <col min="5549" max="5584" width="9.140625" style="1" customWidth="1"/>
    <col min="5585" max="5798" width="9.140625" style="1"/>
    <col min="5799" max="5799" width="18.7109375" style="1" customWidth="1"/>
    <col min="5800" max="5800" width="18.140625" style="1" customWidth="1"/>
    <col min="5801" max="5801" width="8.7109375" style="1" customWidth="1"/>
    <col min="5802" max="5802" width="9.140625" style="1"/>
    <col min="5803" max="5803" width="9.140625" style="1" customWidth="1"/>
    <col min="5804" max="5804" width="27.28515625" style="1" customWidth="1"/>
    <col min="5805" max="5840" width="9.140625" style="1" customWidth="1"/>
    <col min="5841" max="6054" width="9.140625" style="1"/>
    <col min="6055" max="6055" width="18.7109375" style="1" customWidth="1"/>
    <col min="6056" max="6056" width="18.140625" style="1" customWidth="1"/>
    <col min="6057" max="6057" width="8.7109375" style="1" customWidth="1"/>
    <col min="6058" max="6058" width="9.140625" style="1"/>
    <col min="6059" max="6059" width="9.140625" style="1" customWidth="1"/>
    <col min="6060" max="6060" width="27.28515625" style="1" customWidth="1"/>
    <col min="6061" max="6096" width="9.140625" style="1" customWidth="1"/>
    <col min="6097" max="6310" width="9.140625" style="1"/>
    <col min="6311" max="6311" width="18.7109375" style="1" customWidth="1"/>
    <col min="6312" max="6312" width="18.140625" style="1" customWidth="1"/>
    <col min="6313" max="6313" width="8.7109375" style="1" customWidth="1"/>
    <col min="6314" max="6314" width="9.140625" style="1"/>
    <col min="6315" max="6315" width="9.140625" style="1" customWidth="1"/>
    <col min="6316" max="6316" width="27.28515625" style="1" customWidth="1"/>
    <col min="6317" max="6352" width="9.140625" style="1" customWidth="1"/>
    <col min="6353" max="6566" width="9.140625" style="1"/>
    <col min="6567" max="6567" width="18.7109375" style="1" customWidth="1"/>
    <col min="6568" max="6568" width="18.140625" style="1" customWidth="1"/>
    <col min="6569" max="6569" width="8.7109375" style="1" customWidth="1"/>
    <col min="6570" max="6570" width="9.140625" style="1"/>
    <col min="6571" max="6571" width="9.140625" style="1" customWidth="1"/>
    <col min="6572" max="6572" width="27.28515625" style="1" customWidth="1"/>
    <col min="6573" max="6608" width="9.140625" style="1" customWidth="1"/>
    <col min="6609" max="6822" width="9.140625" style="1"/>
    <col min="6823" max="6823" width="18.7109375" style="1" customWidth="1"/>
    <col min="6824" max="6824" width="18.140625" style="1" customWidth="1"/>
    <col min="6825" max="6825" width="8.7109375" style="1" customWidth="1"/>
    <col min="6826" max="6826" width="9.140625" style="1"/>
    <col min="6827" max="6827" width="9.140625" style="1" customWidth="1"/>
    <col min="6828" max="6828" width="27.28515625" style="1" customWidth="1"/>
    <col min="6829" max="6864" width="9.140625" style="1" customWidth="1"/>
    <col min="6865" max="7078" width="9.140625" style="1"/>
    <col min="7079" max="7079" width="18.7109375" style="1" customWidth="1"/>
    <col min="7080" max="7080" width="18.140625" style="1" customWidth="1"/>
    <col min="7081" max="7081" width="8.7109375" style="1" customWidth="1"/>
    <col min="7082" max="7082" width="9.140625" style="1"/>
    <col min="7083" max="7083" width="9.140625" style="1" customWidth="1"/>
    <col min="7084" max="7084" width="27.28515625" style="1" customWidth="1"/>
    <col min="7085" max="7120" width="9.140625" style="1" customWidth="1"/>
    <col min="7121" max="7334" width="9.140625" style="1"/>
    <col min="7335" max="7335" width="18.7109375" style="1" customWidth="1"/>
    <col min="7336" max="7336" width="18.140625" style="1" customWidth="1"/>
    <col min="7337" max="7337" width="8.7109375" style="1" customWidth="1"/>
    <col min="7338" max="7338" width="9.140625" style="1"/>
    <col min="7339" max="7339" width="9.140625" style="1" customWidth="1"/>
    <col min="7340" max="7340" width="27.28515625" style="1" customWidth="1"/>
    <col min="7341" max="7376" width="9.140625" style="1" customWidth="1"/>
    <col min="7377" max="7590" width="9.140625" style="1"/>
    <col min="7591" max="7591" width="18.7109375" style="1" customWidth="1"/>
    <col min="7592" max="7592" width="18.140625" style="1" customWidth="1"/>
    <col min="7593" max="7593" width="8.7109375" style="1" customWidth="1"/>
    <col min="7594" max="7594" width="9.140625" style="1"/>
    <col min="7595" max="7595" width="9.140625" style="1" customWidth="1"/>
    <col min="7596" max="7596" width="27.28515625" style="1" customWidth="1"/>
    <col min="7597" max="7632" width="9.140625" style="1" customWidth="1"/>
    <col min="7633" max="7846" width="9.140625" style="1"/>
    <col min="7847" max="7847" width="18.7109375" style="1" customWidth="1"/>
    <col min="7848" max="7848" width="18.140625" style="1" customWidth="1"/>
    <col min="7849" max="7849" width="8.7109375" style="1" customWidth="1"/>
    <col min="7850" max="7850" width="9.140625" style="1"/>
    <col min="7851" max="7851" width="9.140625" style="1" customWidth="1"/>
    <col min="7852" max="7852" width="27.28515625" style="1" customWidth="1"/>
    <col min="7853" max="7888" width="9.140625" style="1" customWidth="1"/>
    <col min="7889" max="8102" width="9.140625" style="1"/>
    <col min="8103" max="8103" width="18.7109375" style="1" customWidth="1"/>
    <col min="8104" max="8104" width="18.140625" style="1" customWidth="1"/>
    <col min="8105" max="8105" width="8.7109375" style="1" customWidth="1"/>
    <col min="8106" max="8106" width="9.140625" style="1"/>
    <col min="8107" max="8107" width="9.140625" style="1" customWidth="1"/>
    <col min="8108" max="8108" width="27.28515625" style="1" customWidth="1"/>
    <col min="8109" max="8144" width="9.140625" style="1" customWidth="1"/>
    <col min="8145" max="8358" width="9.140625" style="1"/>
    <col min="8359" max="8359" width="18.7109375" style="1" customWidth="1"/>
    <col min="8360" max="8360" width="18.140625" style="1" customWidth="1"/>
    <col min="8361" max="8361" width="8.7109375" style="1" customWidth="1"/>
    <col min="8362" max="8362" width="9.140625" style="1"/>
    <col min="8363" max="8363" width="9.140625" style="1" customWidth="1"/>
    <col min="8364" max="8364" width="27.28515625" style="1" customWidth="1"/>
    <col min="8365" max="8400" width="9.140625" style="1" customWidth="1"/>
    <col min="8401" max="8614" width="9.140625" style="1"/>
    <col min="8615" max="8615" width="18.7109375" style="1" customWidth="1"/>
    <col min="8616" max="8616" width="18.140625" style="1" customWidth="1"/>
    <col min="8617" max="8617" width="8.7109375" style="1" customWidth="1"/>
    <col min="8618" max="8618" width="9.140625" style="1"/>
    <col min="8619" max="8619" width="9.140625" style="1" customWidth="1"/>
    <col min="8620" max="8620" width="27.28515625" style="1" customWidth="1"/>
    <col min="8621" max="8656" width="9.140625" style="1" customWidth="1"/>
    <col min="8657" max="8870" width="9.140625" style="1"/>
    <col min="8871" max="8871" width="18.7109375" style="1" customWidth="1"/>
    <col min="8872" max="8872" width="18.140625" style="1" customWidth="1"/>
    <col min="8873" max="8873" width="8.7109375" style="1" customWidth="1"/>
    <col min="8874" max="8874" width="9.140625" style="1"/>
    <col min="8875" max="8875" width="9.140625" style="1" customWidth="1"/>
    <col min="8876" max="8876" width="27.28515625" style="1" customWidth="1"/>
    <col min="8877" max="8912" width="9.140625" style="1" customWidth="1"/>
    <col min="8913" max="9126" width="9.140625" style="1"/>
    <col min="9127" max="9127" width="18.7109375" style="1" customWidth="1"/>
    <col min="9128" max="9128" width="18.140625" style="1" customWidth="1"/>
    <col min="9129" max="9129" width="8.7109375" style="1" customWidth="1"/>
    <col min="9130" max="9130" width="9.140625" style="1"/>
    <col min="9131" max="9131" width="9.140625" style="1" customWidth="1"/>
    <col min="9132" max="9132" width="27.28515625" style="1" customWidth="1"/>
    <col min="9133" max="9168" width="9.140625" style="1" customWidth="1"/>
    <col min="9169" max="9382" width="9.140625" style="1"/>
    <col min="9383" max="9383" width="18.7109375" style="1" customWidth="1"/>
    <col min="9384" max="9384" width="18.140625" style="1" customWidth="1"/>
    <col min="9385" max="9385" width="8.7109375" style="1" customWidth="1"/>
    <col min="9386" max="9386" width="9.140625" style="1"/>
    <col min="9387" max="9387" width="9.140625" style="1" customWidth="1"/>
    <col min="9388" max="9388" width="27.28515625" style="1" customWidth="1"/>
    <col min="9389" max="9424" width="9.140625" style="1" customWidth="1"/>
    <col min="9425" max="9638" width="9.140625" style="1"/>
    <col min="9639" max="9639" width="18.7109375" style="1" customWidth="1"/>
    <col min="9640" max="9640" width="18.140625" style="1" customWidth="1"/>
    <col min="9641" max="9641" width="8.7109375" style="1" customWidth="1"/>
    <col min="9642" max="9642" width="9.140625" style="1"/>
    <col min="9643" max="9643" width="9.140625" style="1" customWidth="1"/>
    <col min="9644" max="9644" width="27.28515625" style="1" customWidth="1"/>
    <col min="9645" max="9680" width="9.140625" style="1" customWidth="1"/>
    <col min="9681" max="9894" width="9.140625" style="1"/>
    <col min="9895" max="9895" width="18.7109375" style="1" customWidth="1"/>
    <col min="9896" max="9896" width="18.140625" style="1" customWidth="1"/>
    <col min="9897" max="9897" width="8.7109375" style="1" customWidth="1"/>
    <col min="9898" max="9898" width="9.140625" style="1"/>
    <col min="9899" max="9899" width="9.140625" style="1" customWidth="1"/>
    <col min="9900" max="9900" width="27.28515625" style="1" customWidth="1"/>
    <col min="9901" max="9936" width="9.140625" style="1" customWidth="1"/>
    <col min="9937" max="10150" width="9.140625" style="1"/>
    <col min="10151" max="10151" width="18.7109375" style="1" customWidth="1"/>
    <col min="10152" max="10152" width="18.140625" style="1" customWidth="1"/>
    <col min="10153" max="10153" width="8.7109375" style="1" customWidth="1"/>
    <col min="10154" max="10154" width="9.140625" style="1"/>
    <col min="10155" max="10155" width="9.140625" style="1" customWidth="1"/>
    <col min="10156" max="10156" width="27.28515625" style="1" customWidth="1"/>
    <col min="10157" max="10192" width="9.140625" style="1" customWidth="1"/>
    <col min="10193" max="10406" width="9.140625" style="1"/>
    <col min="10407" max="10407" width="18.7109375" style="1" customWidth="1"/>
    <col min="10408" max="10408" width="18.140625" style="1" customWidth="1"/>
    <col min="10409" max="10409" width="8.7109375" style="1" customWidth="1"/>
    <col min="10410" max="10410" width="9.140625" style="1"/>
    <col min="10411" max="10411" width="9.140625" style="1" customWidth="1"/>
    <col min="10412" max="10412" width="27.28515625" style="1" customWidth="1"/>
    <col min="10413" max="10448" width="9.140625" style="1" customWidth="1"/>
    <col min="10449" max="10662" width="9.140625" style="1"/>
    <col min="10663" max="10663" width="18.7109375" style="1" customWidth="1"/>
    <col min="10664" max="10664" width="18.140625" style="1" customWidth="1"/>
    <col min="10665" max="10665" width="8.7109375" style="1" customWidth="1"/>
    <col min="10666" max="10666" width="9.140625" style="1"/>
    <col min="10667" max="10667" width="9.140625" style="1" customWidth="1"/>
    <col min="10668" max="10668" width="27.28515625" style="1" customWidth="1"/>
    <col min="10669" max="10704" width="9.140625" style="1" customWidth="1"/>
    <col min="10705" max="10918" width="9.140625" style="1"/>
    <col min="10919" max="10919" width="18.7109375" style="1" customWidth="1"/>
    <col min="10920" max="10920" width="18.140625" style="1" customWidth="1"/>
    <col min="10921" max="10921" width="8.7109375" style="1" customWidth="1"/>
    <col min="10922" max="10922" width="9.140625" style="1"/>
    <col min="10923" max="10923" width="9.140625" style="1" customWidth="1"/>
    <col min="10924" max="10924" width="27.28515625" style="1" customWidth="1"/>
    <col min="10925" max="10960" width="9.140625" style="1" customWidth="1"/>
    <col min="10961" max="11174" width="9.140625" style="1"/>
    <col min="11175" max="11175" width="18.7109375" style="1" customWidth="1"/>
    <col min="11176" max="11176" width="18.140625" style="1" customWidth="1"/>
    <col min="11177" max="11177" width="8.7109375" style="1" customWidth="1"/>
    <col min="11178" max="11178" width="9.140625" style="1"/>
    <col min="11179" max="11179" width="9.140625" style="1" customWidth="1"/>
    <col min="11180" max="11180" width="27.28515625" style="1" customWidth="1"/>
    <col min="11181" max="11216" width="9.140625" style="1" customWidth="1"/>
    <col min="11217" max="11430" width="9.140625" style="1"/>
    <col min="11431" max="11431" width="18.7109375" style="1" customWidth="1"/>
    <col min="11432" max="11432" width="18.140625" style="1" customWidth="1"/>
    <col min="11433" max="11433" width="8.7109375" style="1" customWidth="1"/>
    <col min="11434" max="11434" width="9.140625" style="1"/>
    <col min="11435" max="11435" width="9.140625" style="1" customWidth="1"/>
    <col min="11436" max="11436" width="27.28515625" style="1" customWidth="1"/>
    <col min="11437" max="11472" width="9.140625" style="1" customWidth="1"/>
    <col min="11473" max="11686" width="9.140625" style="1"/>
    <col min="11687" max="11687" width="18.7109375" style="1" customWidth="1"/>
    <col min="11688" max="11688" width="18.140625" style="1" customWidth="1"/>
    <col min="11689" max="11689" width="8.7109375" style="1" customWidth="1"/>
    <col min="11690" max="11690" width="9.140625" style="1"/>
    <col min="11691" max="11691" width="9.140625" style="1" customWidth="1"/>
    <col min="11692" max="11692" width="27.28515625" style="1" customWidth="1"/>
    <col min="11693" max="11728" width="9.140625" style="1" customWidth="1"/>
    <col min="11729" max="11942" width="9.140625" style="1"/>
    <col min="11943" max="11943" width="18.7109375" style="1" customWidth="1"/>
    <col min="11944" max="11944" width="18.140625" style="1" customWidth="1"/>
    <col min="11945" max="11945" width="8.7109375" style="1" customWidth="1"/>
    <col min="11946" max="11946" width="9.140625" style="1"/>
    <col min="11947" max="11947" width="9.140625" style="1" customWidth="1"/>
    <col min="11948" max="11948" width="27.28515625" style="1" customWidth="1"/>
    <col min="11949" max="11984" width="9.140625" style="1" customWidth="1"/>
    <col min="11985" max="12198" width="9.140625" style="1"/>
    <col min="12199" max="12199" width="18.7109375" style="1" customWidth="1"/>
    <col min="12200" max="12200" width="18.140625" style="1" customWidth="1"/>
    <col min="12201" max="12201" width="8.7109375" style="1" customWidth="1"/>
    <col min="12202" max="12202" width="9.140625" style="1"/>
    <col min="12203" max="12203" width="9.140625" style="1" customWidth="1"/>
    <col min="12204" max="12204" width="27.28515625" style="1" customWidth="1"/>
    <col min="12205" max="12240" width="9.140625" style="1" customWidth="1"/>
    <col min="12241" max="12454" width="9.140625" style="1"/>
    <col min="12455" max="12455" width="18.7109375" style="1" customWidth="1"/>
    <col min="12456" max="12456" width="18.140625" style="1" customWidth="1"/>
    <col min="12457" max="12457" width="8.7109375" style="1" customWidth="1"/>
    <col min="12458" max="12458" width="9.140625" style="1"/>
    <col min="12459" max="12459" width="9.140625" style="1" customWidth="1"/>
    <col min="12460" max="12460" width="27.28515625" style="1" customWidth="1"/>
    <col min="12461" max="12496" width="9.140625" style="1" customWidth="1"/>
    <col min="12497" max="12710" width="9.140625" style="1"/>
    <col min="12711" max="12711" width="18.7109375" style="1" customWidth="1"/>
    <col min="12712" max="12712" width="18.140625" style="1" customWidth="1"/>
    <col min="12713" max="12713" width="8.7109375" style="1" customWidth="1"/>
    <col min="12714" max="12714" width="9.140625" style="1"/>
    <col min="12715" max="12715" width="9.140625" style="1" customWidth="1"/>
    <col min="12716" max="12716" width="27.28515625" style="1" customWidth="1"/>
    <col min="12717" max="12752" width="9.140625" style="1" customWidth="1"/>
    <col min="12753" max="12966" width="9.140625" style="1"/>
    <col min="12967" max="12967" width="18.7109375" style="1" customWidth="1"/>
    <col min="12968" max="12968" width="18.140625" style="1" customWidth="1"/>
    <col min="12969" max="12969" width="8.7109375" style="1" customWidth="1"/>
    <col min="12970" max="12970" width="9.140625" style="1"/>
    <col min="12971" max="12971" width="9.140625" style="1" customWidth="1"/>
    <col min="12972" max="12972" width="27.28515625" style="1" customWidth="1"/>
    <col min="12973" max="13008" width="9.140625" style="1" customWidth="1"/>
    <col min="13009" max="13222" width="9.140625" style="1"/>
    <col min="13223" max="13223" width="18.7109375" style="1" customWidth="1"/>
    <col min="13224" max="13224" width="18.140625" style="1" customWidth="1"/>
    <col min="13225" max="13225" width="8.7109375" style="1" customWidth="1"/>
    <col min="13226" max="13226" width="9.140625" style="1"/>
    <col min="13227" max="13227" width="9.140625" style="1" customWidth="1"/>
    <col min="13228" max="13228" width="27.28515625" style="1" customWidth="1"/>
    <col min="13229" max="13264" width="9.140625" style="1" customWidth="1"/>
    <col min="13265" max="13478" width="9.140625" style="1"/>
    <col min="13479" max="13479" width="18.7109375" style="1" customWidth="1"/>
    <col min="13480" max="13480" width="18.140625" style="1" customWidth="1"/>
    <col min="13481" max="13481" width="8.7109375" style="1" customWidth="1"/>
    <col min="13482" max="13482" width="9.140625" style="1"/>
    <col min="13483" max="13483" width="9.140625" style="1" customWidth="1"/>
    <col min="13484" max="13484" width="27.28515625" style="1" customWidth="1"/>
    <col min="13485" max="13520" width="9.140625" style="1" customWidth="1"/>
    <col min="13521" max="13734" width="9.140625" style="1"/>
    <col min="13735" max="13735" width="18.7109375" style="1" customWidth="1"/>
    <col min="13736" max="13736" width="18.140625" style="1" customWidth="1"/>
    <col min="13737" max="13737" width="8.7109375" style="1" customWidth="1"/>
    <col min="13738" max="13738" width="9.140625" style="1"/>
    <col min="13739" max="13739" width="9.140625" style="1" customWidth="1"/>
    <col min="13740" max="13740" width="27.28515625" style="1" customWidth="1"/>
    <col min="13741" max="13776" width="9.140625" style="1" customWidth="1"/>
    <col min="13777" max="13990" width="9.140625" style="1"/>
    <col min="13991" max="13991" width="18.7109375" style="1" customWidth="1"/>
    <col min="13992" max="13992" width="18.140625" style="1" customWidth="1"/>
    <col min="13993" max="13993" width="8.7109375" style="1" customWidth="1"/>
    <col min="13994" max="13994" width="9.140625" style="1"/>
    <col min="13995" max="13995" width="9.140625" style="1" customWidth="1"/>
    <col min="13996" max="13996" width="27.28515625" style="1" customWidth="1"/>
    <col min="13997" max="14032" width="9.140625" style="1" customWidth="1"/>
    <col min="14033" max="14246" width="9.140625" style="1"/>
    <col min="14247" max="14247" width="18.7109375" style="1" customWidth="1"/>
    <col min="14248" max="14248" width="18.140625" style="1" customWidth="1"/>
    <col min="14249" max="14249" width="8.7109375" style="1" customWidth="1"/>
    <col min="14250" max="14250" width="9.140625" style="1"/>
    <col min="14251" max="14251" width="9.140625" style="1" customWidth="1"/>
    <col min="14252" max="14252" width="27.28515625" style="1" customWidth="1"/>
    <col min="14253" max="14288" width="9.140625" style="1" customWidth="1"/>
    <col min="14289" max="14502" width="9.140625" style="1"/>
    <col min="14503" max="14503" width="18.7109375" style="1" customWidth="1"/>
    <col min="14504" max="14504" width="18.140625" style="1" customWidth="1"/>
    <col min="14505" max="14505" width="8.7109375" style="1" customWidth="1"/>
    <col min="14506" max="14506" width="9.140625" style="1"/>
    <col min="14507" max="14507" width="9.140625" style="1" customWidth="1"/>
    <col min="14508" max="14508" width="27.28515625" style="1" customWidth="1"/>
    <col min="14509" max="14544" width="9.140625" style="1" customWidth="1"/>
    <col min="14545" max="14758" width="9.140625" style="1"/>
    <col min="14759" max="14759" width="18.7109375" style="1" customWidth="1"/>
    <col min="14760" max="14760" width="18.140625" style="1" customWidth="1"/>
    <col min="14761" max="14761" width="8.7109375" style="1" customWidth="1"/>
    <col min="14762" max="14762" width="9.140625" style="1"/>
    <col min="14763" max="14763" width="9.140625" style="1" customWidth="1"/>
    <col min="14764" max="14764" width="27.28515625" style="1" customWidth="1"/>
    <col min="14765" max="14800" width="9.140625" style="1" customWidth="1"/>
    <col min="14801" max="15014" width="9.140625" style="1"/>
    <col min="15015" max="15015" width="18.7109375" style="1" customWidth="1"/>
    <col min="15016" max="15016" width="18.140625" style="1" customWidth="1"/>
    <col min="15017" max="15017" width="8.7109375" style="1" customWidth="1"/>
    <col min="15018" max="15018" width="9.140625" style="1"/>
    <col min="15019" max="15019" width="9.140625" style="1" customWidth="1"/>
    <col min="15020" max="15020" width="27.28515625" style="1" customWidth="1"/>
    <col min="15021" max="15056" width="9.140625" style="1" customWidth="1"/>
    <col min="15057" max="15270" width="9.140625" style="1"/>
    <col min="15271" max="15271" width="18.7109375" style="1" customWidth="1"/>
    <col min="15272" max="15272" width="18.140625" style="1" customWidth="1"/>
    <col min="15273" max="15273" width="8.7109375" style="1" customWidth="1"/>
    <col min="15274" max="15274" width="9.140625" style="1"/>
    <col min="15275" max="15275" width="9.140625" style="1" customWidth="1"/>
    <col min="15276" max="15276" width="27.28515625" style="1" customWidth="1"/>
    <col min="15277" max="15312" width="9.140625" style="1" customWidth="1"/>
    <col min="15313" max="15526" width="9.140625" style="1"/>
    <col min="15527" max="15527" width="18.7109375" style="1" customWidth="1"/>
    <col min="15528" max="15528" width="18.140625" style="1" customWidth="1"/>
    <col min="15529" max="15529" width="8.7109375" style="1" customWidth="1"/>
    <col min="15530" max="15530" width="9.140625" style="1"/>
    <col min="15531" max="15531" width="9.140625" style="1" customWidth="1"/>
    <col min="15532" max="15532" width="27.28515625" style="1" customWidth="1"/>
    <col min="15533" max="15568" width="9.140625" style="1" customWidth="1"/>
    <col min="15569" max="15782" width="9.140625" style="1"/>
    <col min="15783" max="15783" width="18.7109375" style="1" customWidth="1"/>
    <col min="15784" max="15784" width="18.140625" style="1" customWidth="1"/>
    <col min="15785" max="15785" width="8.7109375" style="1" customWidth="1"/>
    <col min="15786" max="15786" width="9.140625" style="1"/>
    <col min="15787" max="15787" width="9.140625" style="1" customWidth="1"/>
    <col min="15788" max="15788" width="27.28515625" style="1" customWidth="1"/>
    <col min="15789" max="15824" width="9.140625" style="1" customWidth="1"/>
    <col min="15825" max="16038" width="9.140625" style="1"/>
    <col min="16039" max="16039" width="18.7109375" style="1" customWidth="1"/>
    <col min="16040" max="16040" width="18.140625" style="1" customWidth="1"/>
    <col min="16041" max="16041" width="8.7109375" style="1" customWidth="1"/>
    <col min="16042" max="16042" width="9.140625" style="1"/>
    <col min="16043" max="16043" width="9.140625" style="1" customWidth="1"/>
    <col min="16044" max="16044" width="27.28515625" style="1" customWidth="1"/>
    <col min="16045" max="16080" width="9.140625" style="1" customWidth="1"/>
    <col min="16081" max="16384" width="9.140625" style="1"/>
  </cols>
  <sheetData>
    <row r="1" spans="1:10" s="2" customFormat="1" ht="50.1" customHeight="1" x14ac:dyDescent="0.25">
      <c r="A1" s="17" t="str">
        <f>"Стартовая ведомость "&amp;название</f>
        <v>Стартовая ведомость Ралли "Смоленск - 2019"</v>
      </c>
      <c r="B1" s="16"/>
      <c r="C1" s="15"/>
      <c r="D1" s="15"/>
      <c r="E1" s="15"/>
      <c r="F1" s="15"/>
      <c r="G1" s="18"/>
    </row>
    <row r="2" spans="1:10" s="2" customFormat="1" ht="3" customHeight="1" x14ac:dyDescent="0.25"/>
    <row r="3" spans="1:10" hidden="1" x14ac:dyDescent="0.25"/>
    <row r="4" spans="1:10" hidden="1" x14ac:dyDescent="0.25"/>
    <row r="5" spans="1:10" hidden="1" x14ac:dyDescent="0.25"/>
    <row r="6" spans="1:10" hidden="1" x14ac:dyDescent="0.25"/>
    <row r="7" spans="1:10" hidden="1" x14ac:dyDescent="0.25"/>
    <row r="8" spans="1:10" hidden="1" x14ac:dyDescent="0.25"/>
    <row r="9" spans="1:10" ht="51" x14ac:dyDescent="0.25">
      <c r="A9" s="174" t="s">
        <v>43</v>
      </c>
      <c r="B9" s="175" t="s">
        <v>9</v>
      </c>
      <c r="C9" s="175" t="s">
        <v>10</v>
      </c>
      <c r="D9" s="175" t="s">
        <v>626</v>
      </c>
      <c r="E9" s="175" t="s">
        <v>627</v>
      </c>
      <c r="F9" s="175" t="s">
        <v>37</v>
      </c>
      <c r="G9" s="175" t="s">
        <v>311</v>
      </c>
      <c r="H9" s="176" t="s">
        <v>31</v>
      </c>
    </row>
    <row r="10" spans="1:10" ht="21" x14ac:dyDescent="0.25">
      <c r="A10" s="177">
        <v>1</v>
      </c>
      <c r="B10" s="375" t="s">
        <v>629</v>
      </c>
      <c r="C10" s="179" t="str">
        <f>VLOOKUP($A10,заявки[],4)</f>
        <v>BMW 118D</v>
      </c>
      <c r="D10" s="179" t="str">
        <f>VLOOKUP($A10,заявки[],6)</f>
        <v>Сальников Евгений</v>
      </c>
      <c r="E10" s="179" t="str">
        <f>VLOOKUP($A10,заявки[],10)</f>
        <v>Воронцова Людмила</v>
      </c>
      <c r="F10" s="179" t="str">
        <f>VLOOKUP($A10,заявки[],14)</f>
        <v>Москва</v>
      </c>
      <c r="G10" s="180" t="str">
        <f>VLOOKUP($A10,заявки[],3)</f>
        <v>Модерн-ПРО</v>
      </c>
      <c r="H10" s="377">
        <v>0.49027777777777781</v>
      </c>
      <c r="J10" s="1" t="s">
        <v>320</v>
      </c>
    </row>
    <row r="11" spans="1:10" ht="21" x14ac:dyDescent="0.25">
      <c r="A11" s="177">
        <f>1+A10</f>
        <v>2</v>
      </c>
      <c r="B11" s="376">
        <v>1</v>
      </c>
      <c r="C11" s="179" t="str">
        <f>VLOOKUP($A11,заявки[],4)</f>
        <v>Волга Газ21</v>
      </c>
      <c r="D11" s="179" t="str">
        <f>VLOOKUP($A11,заявки[],6)</f>
        <v>Середа Павел</v>
      </c>
      <c r="E11" s="179" t="str">
        <f>VLOOKUP($A11,заявки[],10)</f>
        <v>Сорока Евгений</v>
      </c>
      <c r="F11" s="179" t="str">
        <f>VLOOKUP($A11,заявки[],14)</f>
        <v>Москва</v>
      </c>
      <c r="G11" s="180" t="str">
        <f>VLOOKUP($A11,заявки[],3)</f>
        <v>Ретро-ПРО</v>
      </c>
      <c r="H11" s="377">
        <v>0.52013888888888882</v>
      </c>
      <c r="J11" s="1" t="s">
        <v>328</v>
      </c>
    </row>
    <row r="12" spans="1:10" ht="21" x14ac:dyDescent="0.25">
      <c r="A12" s="177">
        <f t="shared" ref="A12:A69" si="0">1+A11</f>
        <v>3</v>
      </c>
      <c r="B12" s="376">
        <v>2</v>
      </c>
      <c r="C12" s="179" t="str">
        <f>VLOOKUP($A12,заявки[],4)</f>
        <v>Газ 21</v>
      </c>
      <c r="D12" s="179" t="str">
        <f>VLOOKUP($A12,заявки[],6)</f>
        <v>Шевченко Павел Николаевич</v>
      </c>
      <c r="E12" s="179" t="str">
        <f>VLOOKUP($A12,заявки[],10)</f>
        <v>Шевченко Ольга Анатольевна</v>
      </c>
      <c r="F12" s="179" t="str">
        <f>VLOOKUP($A12,заявки[],14)</f>
        <v>Смоленск</v>
      </c>
      <c r="G12" s="180" t="str">
        <f>VLOOKUP($A12,заявки[],3)</f>
        <v>Ретро-ПРО</v>
      </c>
      <c r="H12" s="377">
        <v>0.50138888888888888</v>
      </c>
    </row>
    <row r="13" spans="1:10" ht="21" x14ac:dyDescent="0.25">
      <c r="A13" s="177">
        <f t="shared" si="0"/>
        <v>4</v>
      </c>
      <c r="B13" s="376">
        <v>3</v>
      </c>
      <c r="C13" s="179" t="str">
        <f>VLOOKUP($A13,заявки[],4)</f>
        <v>Москвич 2140</v>
      </c>
      <c r="D13" s="179" t="str">
        <f>VLOOKUP($A13,заявки[],6)</f>
        <v>Гайлит Сергей</v>
      </c>
      <c r="E13" s="179" t="str">
        <f>VLOOKUP($A13,заявки[],10)</f>
        <v>Ивахненко Алексей</v>
      </c>
      <c r="F13" s="179" t="str">
        <f>VLOOKUP($A13,заявки[],14)</f>
        <v>Ярцево / Смоленск</v>
      </c>
      <c r="G13" s="180" t="str">
        <f>VLOOKUP($A13,заявки[],3)</f>
        <v>Ретро-ПРО</v>
      </c>
      <c r="H13" s="377">
        <f t="shared" ref="H12:H69" si="1">H12+TIME(0,1,0)</f>
        <v>0.50208333333333333</v>
      </c>
    </row>
    <row r="14" spans="1:10" ht="21" x14ac:dyDescent="0.25">
      <c r="A14" s="177">
        <f t="shared" si="0"/>
        <v>5</v>
      </c>
      <c r="B14" s="376">
        <v>4</v>
      </c>
      <c r="C14" s="179" t="str">
        <f>VLOOKUP($A14,заявки[],4)</f>
        <v>Lancia Beta Coupe</v>
      </c>
      <c r="D14" s="179" t="str">
        <f>VLOOKUP($A14,заявки[],6)</f>
        <v>Лекае Александр</v>
      </c>
      <c r="E14" s="179" t="str">
        <f>VLOOKUP($A14,заявки[],10)</f>
        <v>Шарапова Ирина</v>
      </c>
      <c r="F14" s="179" t="str">
        <f>VLOOKUP($A14,заявки[],14)</f>
        <v>Москва</v>
      </c>
      <c r="G14" s="180" t="str">
        <f>VLOOKUP($A14,заявки[],3)</f>
        <v>Ретро-ПРО</v>
      </c>
      <c r="H14" s="377">
        <f t="shared" si="1"/>
        <v>0.50277777777777777</v>
      </c>
    </row>
    <row r="15" spans="1:10" ht="21" x14ac:dyDescent="0.25">
      <c r="A15" s="177">
        <f t="shared" si="0"/>
        <v>6</v>
      </c>
      <c r="B15" s="376">
        <v>5</v>
      </c>
      <c r="C15" s="179" t="str">
        <f>VLOOKUP($A15,заявки[],4)</f>
        <v>ГАЗ 24</v>
      </c>
      <c r="D15" s="179" t="str">
        <f>VLOOKUP($A15,заявки[],6)</f>
        <v>Патока Дмитрий</v>
      </c>
      <c r="E15" s="179" t="str">
        <f>VLOOKUP($A15,заявки[],10)</f>
        <v>Патока Вероника</v>
      </c>
      <c r="F15" s="179" t="str">
        <f>VLOOKUP($A15,заявки[],14)</f>
        <v>Елец / Москва</v>
      </c>
      <c r="G15" s="180" t="str">
        <f>VLOOKUP($A15,заявки[],3)</f>
        <v>Ретро-ПРО</v>
      </c>
      <c r="H15" s="377">
        <f t="shared" si="1"/>
        <v>0.50347222222222221</v>
      </c>
    </row>
    <row r="16" spans="1:10" ht="21" x14ac:dyDescent="0.25">
      <c r="A16" s="177">
        <f t="shared" si="0"/>
        <v>7</v>
      </c>
      <c r="B16" s="376">
        <v>6</v>
      </c>
      <c r="C16" s="179" t="str">
        <f>VLOOKUP($A16,заявки[],4)</f>
        <v>Opel Manta</v>
      </c>
      <c r="D16" s="179" t="str">
        <f>VLOOKUP($A16,заявки[],6)</f>
        <v>Ушаков Павел</v>
      </c>
      <c r="E16" s="179" t="str">
        <f>VLOOKUP($A16,заявки[],10)</f>
        <v>Кареева Елена</v>
      </c>
      <c r="F16" s="179" t="str">
        <f>VLOOKUP($A16,заявки[],14)</f>
        <v>Москва</v>
      </c>
      <c r="G16" s="180" t="str">
        <f>VLOOKUP($A16,заявки[],3)</f>
        <v>Ретро-ПРО</v>
      </c>
      <c r="H16" s="377">
        <f t="shared" si="1"/>
        <v>0.50416666666666665</v>
      </c>
    </row>
    <row r="17" spans="1:8" ht="21" x14ac:dyDescent="0.25">
      <c r="A17" s="177">
        <f t="shared" si="0"/>
        <v>8</v>
      </c>
      <c r="B17" s="376">
        <v>7</v>
      </c>
      <c r="C17" s="179" t="str">
        <f>VLOOKUP($A17,заявки[],4)</f>
        <v>ВАЗ2101</v>
      </c>
      <c r="D17" s="179" t="str">
        <f>VLOOKUP($A17,заявки[],6)</f>
        <v>Шеянов Олег</v>
      </c>
      <c r="E17" s="179" t="str">
        <f>VLOOKUP($A17,заявки[],10)</f>
        <v>Перельман Георгий</v>
      </c>
      <c r="F17" s="179" t="str">
        <f>VLOOKUP($A17,заявки[],14)</f>
        <v>Москва / Нижний Новгород</v>
      </c>
      <c r="G17" s="180" t="str">
        <f>VLOOKUP($A17,заявки[],3)</f>
        <v>Ретро-ПРО</v>
      </c>
      <c r="H17" s="377">
        <f t="shared" si="1"/>
        <v>0.50486111111111109</v>
      </c>
    </row>
    <row r="18" spans="1:8" ht="21" x14ac:dyDescent="0.25">
      <c r="A18" s="177">
        <f t="shared" si="0"/>
        <v>9</v>
      </c>
      <c r="B18" s="376">
        <v>8</v>
      </c>
      <c r="C18" s="179" t="str">
        <f>VLOOKUP($A18,заявки[],4)</f>
        <v>Westfield Sport</v>
      </c>
      <c r="D18" s="179" t="str">
        <f>VLOOKUP($A18,заявки[],6)</f>
        <v>Самиев Эдуард</v>
      </c>
      <c r="E18" s="179" t="str">
        <f>VLOOKUP($A18,заявки[],10)</f>
        <v>Комардин Евгений</v>
      </c>
      <c r="F18" s="179" t="str">
        <f>VLOOKUP($A18,заявки[],14)</f>
        <v>Смоленск</v>
      </c>
      <c r="G18" s="180" t="str">
        <f>VLOOKUP($A18,заявки[],3)</f>
        <v>Pro</v>
      </c>
      <c r="H18" s="377">
        <f t="shared" si="1"/>
        <v>0.50555555555555554</v>
      </c>
    </row>
    <row r="19" spans="1:8" ht="21" x14ac:dyDescent="0.25">
      <c r="A19" s="177">
        <f t="shared" si="0"/>
        <v>10</v>
      </c>
      <c r="B19" s="376">
        <v>9</v>
      </c>
      <c r="C19" s="179" t="str">
        <f>VLOOKUP($A19,заявки[],4)</f>
        <v>Гольф</v>
      </c>
      <c r="D19" s="179" t="str">
        <f>VLOOKUP($A19,заявки[],6)</f>
        <v>Родин Клим</v>
      </c>
      <c r="E19" s="179" t="str">
        <f>VLOOKUP($A19,заявки[],10)</f>
        <v>Работин Антон</v>
      </c>
      <c r="F19" s="179" t="str">
        <f>VLOOKUP($A19,заявки[],14)</f>
        <v>Смоленск</v>
      </c>
      <c r="G19" s="180" t="str">
        <f>VLOOKUP($A19,заявки[],3)</f>
        <v>Light</v>
      </c>
      <c r="H19" s="377">
        <f t="shared" si="1"/>
        <v>0.50624999999999998</v>
      </c>
    </row>
    <row r="20" spans="1:8" ht="21" x14ac:dyDescent="0.25">
      <c r="A20" s="177">
        <f t="shared" si="0"/>
        <v>11</v>
      </c>
      <c r="B20" s="376">
        <v>10</v>
      </c>
      <c r="C20" s="179" t="str">
        <f>VLOOKUP($A20,заявки[],4)</f>
        <v>Opel Corsa</v>
      </c>
      <c r="D20" s="179" t="str">
        <f>VLOOKUP($A20,заявки[],6)</f>
        <v>Дубасова Анжелика</v>
      </c>
      <c r="E20" s="179" t="str">
        <f>VLOOKUP($A20,заявки[],10)</f>
        <v>Моисеева Ирина</v>
      </c>
      <c r="F20" s="179" t="str">
        <f>VLOOKUP($A20,заявки[],14)</f>
        <v>Минск</v>
      </c>
      <c r="G20" s="180" t="str">
        <f>VLOOKUP($A20,заявки[],3)</f>
        <v>Light</v>
      </c>
      <c r="H20" s="377">
        <f t="shared" si="1"/>
        <v>0.50694444444444442</v>
      </c>
    </row>
    <row r="21" spans="1:8" ht="21" x14ac:dyDescent="0.25">
      <c r="A21" s="177">
        <f t="shared" si="0"/>
        <v>12</v>
      </c>
      <c r="B21" s="376">
        <v>11</v>
      </c>
      <c r="C21" s="179" t="str">
        <f>VLOOKUP($A21,заявки[],4)</f>
        <v>Мерседес-Бенц G300</v>
      </c>
      <c r="D21" s="179" t="str">
        <f>VLOOKUP($A21,заявки[],6)</f>
        <v>Свирчев Юрий Викторович</v>
      </c>
      <c r="E21" s="179" t="str">
        <f>VLOOKUP($A21,заявки[],10)</f>
        <v>Свирчева Елена Тимофеевна</v>
      </c>
      <c r="F21" s="179" t="str">
        <f>VLOOKUP($A21,заявки[],14)</f>
        <v>Москва</v>
      </c>
      <c r="G21" s="180" t="str">
        <f>VLOOKUP($A21,заявки[],3)</f>
        <v>Light</v>
      </c>
      <c r="H21" s="377">
        <f t="shared" si="1"/>
        <v>0.50763888888888886</v>
      </c>
    </row>
    <row r="22" spans="1:8" ht="21" x14ac:dyDescent="0.25">
      <c r="A22" s="177">
        <f t="shared" si="0"/>
        <v>13</v>
      </c>
      <c r="B22" s="376">
        <v>12</v>
      </c>
      <c r="C22" s="179" t="str">
        <f>VLOOKUP($A22,заявки[],4)</f>
        <v>Ford Focus</v>
      </c>
      <c r="D22" s="179" t="str">
        <f>VLOOKUP($A22,заявки[],6)</f>
        <v>Буцырин Николай</v>
      </c>
      <c r="E22" s="179" t="str">
        <f>VLOOKUP($A22,заявки[],10)</f>
        <v>Селиверстов Эдуард</v>
      </c>
      <c r="F22" s="179" t="str">
        <f>VLOOKUP($A22,заявки[],14)</f>
        <v>Смоленск</v>
      </c>
      <c r="G22" s="180" t="str">
        <f>VLOOKUP($A22,заявки[],3)</f>
        <v>Light</v>
      </c>
      <c r="H22" s="377">
        <f t="shared" si="1"/>
        <v>0.5083333333333333</v>
      </c>
    </row>
    <row r="23" spans="1:8" ht="21" x14ac:dyDescent="0.25">
      <c r="A23" s="177">
        <f t="shared" si="0"/>
        <v>14</v>
      </c>
      <c r="B23" s="376">
        <v>13</v>
      </c>
      <c r="C23" s="179" t="str">
        <f>VLOOKUP($A23,заявки[],4)</f>
        <v>Ford focus</v>
      </c>
      <c r="D23" s="179" t="str">
        <f>VLOOKUP($A23,заявки[],6)</f>
        <v>Косарев Денис</v>
      </c>
      <c r="E23" s="179" t="str">
        <f>VLOOKUP($A23,заявки[],10)</f>
        <v>Косарев Сергей</v>
      </c>
      <c r="F23" s="179" t="str">
        <f>VLOOKUP($A23,заявки[],14)</f>
        <v>Дорогобуж</v>
      </c>
      <c r="G23" s="180" t="str">
        <f>VLOOKUP($A23,заявки[],3)</f>
        <v>Light</v>
      </c>
      <c r="H23" s="377">
        <f t="shared" si="1"/>
        <v>0.50902777777777775</v>
      </c>
    </row>
    <row r="24" spans="1:8" ht="21" x14ac:dyDescent="0.25">
      <c r="A24" s="177">
        <f t="shared" si="0"/>
        <v>15</v>
      </c>
      <c r="B24" s="376">
        <v>14</v>
      </c>
      <c r="C24" s="179" t="str">
        <f>VLOOKUP($A24,заявки[],4)</f>
        <v>Ford S-max</v>
      </c>
      <c r="D24" s="179" t="str">
        <f>VLOOKUP($A24,заявки[],6)</f>
        <v>Доценко Роман</v>
      </c>
      <c r="E24" s="179" t="str">
        <f>VLOOKUP($A24,заявки[],10)</f>
        <v>Доценко Ярослав</v>
      </c>
      <c r="F24" s="179" t="str">
        <f>VLOOKUP($A24,заявки[],14)</f>
        <v>Смоленск</v>
      </c>
      <c r="G24" s="180" t="str">
        <f>VLOOKUP($A24,заявки[],3)</f>
        <v>Light</v>
      </c>
      <c r="H24" s="377">
        <f t="shared" si="1"/>
        <v>0.50972222222222219</v>
      </c>
    </row>
    <row r="25" spans="1:8" ht="21" x14ac:dyDescent="0.25">
      <c r="A25" s="177">
        <f t="shared" si="0"/>
        <v>16</v>
      </c>
      <c r="B25" s="376">
        <f>IF(LEN(VLOOKUP($A25,заявки[],2))&gt;0,VLOOKUP($A25,заявки[],2),"")</f>
        <v>15</v>
      </c>
      <c r="C25" s="179" t="str">
        <f>VLOOKUP($A25,заявки[],4)</f>
        <v>Chevrolet Aveo</v>
      </c>
      <c r="D25" s="179" t="str">
        <f>VLOOKUP($A25,заявки[],6)</f>
        <v>Шкредов Артём</v>
      </c>
      <c r="E25" s="179" t="str">
        <f>VLOOKUP($A25,заявки[],10)</f>
        <v>Шкапин Павел</v>
      </c>
      <c r="F25" s="179" t="str">
        <f>VLOOKUP($A25,заявки[],14)</f>
        <v>Смоленск</v>
      </c>
      <c r="G25" s="180" t="str">
        <f>VLOOKUP($A25,заявки[],3)</f>
        <v>Light</v>
      </c>
      <c r="H25" s="377">
        <f t="shared" si="1"/>
        <v>0.51041666666666663</v>
      </c>
    </row>
    <row r="26" spans="1:8" ht="21" x14ac:dyDescent="0.25">
      <c r="A26" s="177">
        <f t="shared" si="0"/>
        <v>17</v>
      </c>
      <c r="B26" s="376">
        <f>IF(LEN(VLOOKUP($A26,заявки[],2))&gt;0,VLOOKUP($A26,заявки[],2),"")</f>
        <v>16</v>
      </c>
      <c r="C26" s="179" t="str">
        <f>VLOOKUP($A26,заявки[],4)</f>
        <v>Шевроле Нива</v>
      </c>
      <c r="D26" s="179" t="str">
        <f>VLOOKUP($A26,заявки[],6)</f>
        <v>Овчинникова Наталья</v>
      </c>
      <c r="E26" s="179" t="str">
        <f>VLOOKUP($A26,заявки[],10)</f>
        <v>Жаров Евгений</v>
      </c>
      <c r="F26" s="179" t="str">
        <f>VLOOKUP($A26,заявки[],14)</f>
        <v>Смоленск</v>
      </c>
      <c r="G26" s="180" t="str">
        <f>VLOOKUP($A26,заявки[],3)</f>
        <v>Light</v>
      </c>
      <c r="H26" s="377">
        <f t="shared" si="1"/>
        <v>0.51111111111111107</v>
      </c>
    </row>
    <row r="27" spans="1:8" ht="21" x14ac:dyDescent="0.25">
      <c r="A27" s="177">
        <f t="shared" si="0"/>
        <v>18</v>
      </c>
      <c r="B27" s="376">
        <f>IF(LEN(VLOOKUP($A27,заявки[],2))&gt;0,VLOOKUP($A27,заявки[],2),"")</f>
        <v>17</v>
      </c>
      <c r="C27" s="179" t="str">
        <f>VLOOKUP($A27,заявки[],4)</f>
        <v>suzuki jimni</v>
      </c>
      <c r="D27" s="179" t="str">
        <f>VLOOKUP($A27,заявки[],6)</f>
        <v>Подгаева Александра</v>
      </c>
      <c r="E27" s="179" t="str">
        <f>VLOOKUP($A27,заявки[],10)</f>
        <v>Максимова Людмила</v>
      </c>
      <c r="F27" s="179" t="str">
        <f>VLOOKUP($A27,заявки[],14)</f>
        <v>Смоленск / Ярцево</v>
      </c>
      <c r="G27" s="180" t="str">
        <f>VLOOKUP($A27,заявки[],3)</f>
        <v>Light</v>
      </c>
      <c r="H27" s="377">
        <f t="shared" si="1"/>
        <v>0.51180555555555551</v>
      </c>
    </row>
    <row r="28" spans="1:8" ht="21" x14ac:dyDescent="0.25">
      <c r="A28" s="177">
        <f t="shared" si="0"/>
        <v>19</v>
      </c>
      <c r="B28" s="376">
        <f>IF(LEN(VLOOKUP($A28,заявки[],2))&gt;0,VLOOKUP($A28,заявки[],2),"")</f>
        <v>18</v>
      </c>
      <c r="C28" s="179" t="str">
        <f>VLOOKUP($A28,заявки[],4)</f>
        <v>Toyota Avensis</v>
      </c>
      <c r="D28" s="179" t="str">
        <f>VLOOKUP($A28,заявки[],6)</f>
        <v>Иванова Татьяна</v>
      </c>
      <c r="E28" s="179" t="str">
        <f>VLOOKUP($A28,заявки[],10)</f>
        <v>Кучерявенкова Олеся</v>
      </c>
      <c r="F28" s="179" t="str">
        <f>VLOOKUP($A28,заявки[],14)</f>
        <v>Смоленск</v>
      </c>
      <c r="G28" s="180" t="str">
        <f>VLOOKUP($A28,заявки[],3)</f>
        <v>Light</v>
      </c>
      <c r="H28" s="377">
        <f t="shared" si="1"/>
        <v>0.51249999999999996</v>
      </c>
    </row>
    <row r="29" spans="1:8" ht="21" x14ac:dyDescent="0.25">
      <c r="A29" s="177">
        <f t="shared" si="0"/>
        <v>20</v>
      </c>
      <c r="B29" s="376">
        <f>IF(LEN(VLOOKUP($A29,заявки[],2))&gt;0,VLOOKUP($A29,заявки[],2),"")</f>
        <v>19</v>
      </c>
      <c r="C29" s="179" t="str">
        <f>VLOOKUP($A29,заявки[],4)</f>
        <v>Лада калина</v>
      </c>
      <c r="D29" s="179" t="str">
        <f>VLOOKUP($A29,заявки[],6)</f>
        <v>Круглов Олег</v>
      </c>
      <c r="E29" s="179" t="str">
        <f>VLOOKUP($A29,заявки[],10)</f>
        <v>Власенков Кирилл</v>
      </c>
      <c r="F29" s="179" t="str">
        <f>VLOOKUP($A29,заявки[],14)</f>
        <v>Смоленск</v>
      </c>
      <c r="G29" s="180" t="str">
        <f>VLOOKUP($A29,заявки[],3)</f>
        <v>Модерн-ПРО</v>
      </c>
      <c r="H29" s="377">
        <f t="shared" si="1"/>
        <v>0.5131944444444444</v>
      </c>
    </row>
    <row r="30" spans="1:8" ht="21" x14ac:dyDescent="0.25">
      <c r="A30" s="177">
        <f t="shared" si="0"/>
        <v>21</v>
      </c>
      <c r="B30" s="376">
        <f>IF(LEN(VLOOKUP($A30,заявки[],2))&gt;0,VLOOKUP($A30,заявки[],2),"")</f>
        <v>20</v>
      </c>
      <c r="C30" s="179" t="str">
        <f>VLOOKUP($A30,заявки[],4)</f>
        <v>Audi Q7</v>
      </c>
      <c r="D30" s="179" t="str">
        <f>VLOOKUP($A30,заявки[],6)</f>
        <v>Золотова Мария</v>
      </c>
      <c r="E30" s="179" t="str">
        <f>VLOOKUP($A30,заявки[],10)</f>
        <v>Золотов Антон</v>
      </c>
      <c r="F30" s="179" t="str">
        <f>VLOOKUP($A30,заявки[],14)</f>
        <v>Тула</v>
      </c>
      <c r="G30" s="180" t="str">
        <f>VLOOKUP($A30,заявки[],3)</f>
        <v>Модерн-ПРО</v>
      </c>
      <c r="H30" s="377">
        <f t="shared" si="1"/>
        <v>0.51388888888888884</v>
      </c>
    </row>
    <row r="31" spans="1:8" ht="21" x14ac:dyDescent="0.25">
      <c r="A31" s="177">
        <f t="shared" si="0"/>
        <v>22</v>
      </c>
      <c r="B31" s="376">
        <f>IF(LEN(VLOOKUP($A31,заявки[],2))&gt;0,VLOOKUP($A31,заявки[],2),"")</f>
        <v>21</v>
      </c>
      <c r="C31" s="179" t="str">
        <f>VLOOKUP($A31,заявки[],4)</f>
        <v>BMW Z3</v>
      </c>
      <c r="D31" s="179" t="str">
        <f>VLOOKUP($A31,заявки[],6)</f>
        <v>Никулин Максим</v>
      </c>
      <c r="E31" s="179" t="str">
        <f>VLOOKUP($A31,заявки[],10)</f>
        <v>Никулина Кристина</v>
      </c>
      <c r="F31" s="179" t="str">
        <f>VLOOKUP($A31,заявки[],14)</f>
        <v>Новогорск</v>
      </c>
      <c r="G31" s="180" t="str">
        <f>VLOOKUP($A31,заявки[],3)</f>
        <v>Модерн-ПРО</v>
      </c>
      <c r="H31" s="377">
        <f t="shared" si="1"/>
        <v>0.51458333333333328</v>
      </c>
    </row>
    <row r="32" spans="1:8" ht="21" x14ac:dyDescent="0.25">
      <c r="A32" s="177">
        <f t="shared" si="0"/>
        <v>23</v>
      </c>
      <c r="B32" s="376">
        <f>IF(LEN(VLOOKUP($A32,заявки[],2))&gt;0,VLOOKUP($A32,заявки[],2),"")</f>
        <v>22</v>
      </c>
      <c r="C32" s="179" t="str">
        <f>VLOOKUP($A32,заявки[],4)</f>
        <v>Scoda Rapid</v>
      </c>
      <c r="D32" s="179" t="str">
        <f>VLOOKUP($A32,заявки[],6)</f>
        <v>Лучкин Андрей</v>
      </c>
      <c r="E32" s="179" t="str">
        <f>VLOOKUP($A32,заявки[],10)</f>
        <v>Лучкин Роман</v>
      </c>
      <c r="F32" s="179" t="str">
        <f>VLOOKUP($A32,заявки[],14)</f>
        <v>гор. Смоленск</v>
      </c>
      <c r="G32" s="180" t="str">
        <f>VLOOKUP($A32,заявки[],3)</f>
        <v>Модерн-ПРО</v>
      </c>
      <c r="H32" s="377">
        <f t="shared" si="1"/>
        <v>0.51527777777777772</v>
      </c>
    </row>
    <row r="33" spans="1:8" ht="21" x14ac:dyDescent="0.25">
      <c r="A33" s="177">
        <f t="shared" si="0"/>
        <v>24</v>
      </c>
      <c r="B33" s="376">
        <f>IF(LEN(VLOOKUP($A33,заявки[],2))&gt;0,VLOOKUP($A33,заявки[],2),"")</f>
        <v>23</v>
      </c>
      <c r="C33" s="179" t="str">
        <f>VLOOKUP($A33,заявки[],4)</f>
        <v>MAZDA6 4wd</v>
      </c>
      <c r="D33" s="179" t="str">
        <f>VLOOKUP($A33,заявки[],6)</f>
        <v>Иванов Кирилл</v>
      </c>
      <c r="E33" s="179" t="str">
        <f>VLOOKUP($A33,заявки[],10)</f>
        <v>Афанасьев Никита</v>
      </c>
      <c r="F33" s="179" t="str">
        <f>VLOOKUP($A33,заявки[],14)</f>
        <v>Смоленск</v>
      </c>
      <c r="G33" s="180" t="str">
        <f>VLOOKUP($A33,заявки[],3)</f>
        <v>Модерн-ПРО</v>
      </c>
      <c r="H33" s="377">
        <f t="shared" si="1"/>
        <v>0.51597222222222217</v>
      </c>
    </row>
    <row r="34" spans="1:8" ht="21" x14ac:dyDescent="0.25">
      <c r="A34" s="177">
        <f t="shared" si="0"/>
        <v>25</v>
      </c>
      <c r="B34" s="376">
        <f>IF(LEN(VLOOKUP($A34,заявки[],2))&gt;0,VLOOKUP($A34,заявки[],2),"")</f>
        <v>24</v>
      </c>
      <c r="C34" s="179" t="str">
        <f>VLOOKUP($A34,заявки[],4)</f>
        <v>Toyota RAV4</v>
      </c>
      <c r="D34" s="179" t="str">
        <f>VLOOKUP($A34,заявки[],6)</f>
        <v>Кананадзе Сергей</v>
      </c>
      <c r="E34" s="179" t="str">
        <f>VLOOKUP($A34,заявки[],10)</f>
        <v>Подшивалов Александр</v>
      </c>
      <c r="F34" s="179" t="str">
        <f>VLOOKUP($A34,заявки[],14)</f>
        <v>Москва / Люберцы</v>
      </c>
      <c r="G34" s="180" t="str">
        <f>VLOOKUP($A34,заявки[],3)</f>
        <v>Модерн-ПРО</v>
      </c>
      <c r="H34" s="377">
        <f t="shared" si="1"/>
        <v>0.51666666666666661</v>
      </c>
    </row>
    <row r="35" spans="1:8" ht="21" x14ac:dyDescent="0.25">
      <c r="A35" s="177">
        <f t="shared" si="0"/>
        <v>26</v>
      </c>
      <c r="B35" s="376">
        <f>IF(LEN(VLOOKUP($A35,заявки[],2))&gt;0,VLOOKUP($A35,заявки[],2),"")</f>
        <v>25</v>
      </c>
      <c r="C35" s="179" t="str">
        <f>VLOOKUP($A35,заявки[],4)</f>
        <v>SKODA KODIAG</v>
      </c>
      <c r="D35" s="179" t="str">
        <f>VLOOKUP($A35,заявки[],6)</f>
        <v>Юзвик Ольга</v>
      </c>
      <c r="E35" s="179" t="str">
        <f>VLOOKUP($A35,заявки[],10)</f>
        <v>Грушина Елена</v>
      </c>
      <c r="F35" s="179" t="str">
        <f>VLOOKUP($A35,заявки[],14)</f>
        <v>Смоленск</v>
      </c>
      <c r="G35" s="180" t="str">
        <f>VLOOKUP($A35,заявки[],3)</f>
        <v>Pro</v>
      </c>
      <c r="H35" s="377">
        <f t="shared" si="1"/>
        <v>0.51736111111111105</v>
      </c>
    </row>
    <row r="36" spans="1:8" ht="21" x14ac:dyDescent="0.25">
      <c r="A36" s="177">
        <f t="shared" si="0"/>
        <v>27</v>
      </c>
      <c r="B36" s="376">
        <f>IF(LEN(VLOOKUP($A36,заявки[],2))&gt;0,VLOOKUP($A36,заявки[],2),"")</f>
        <v>26</v>
      </c>
      <c r="C36" s="179" t="str">
        <f>VLOOKUP($A36,заявки[],4)</f>
        <v>Лада Гранта</v>
      </c>
      <c r="D36" s="179" t="str">
        <f>VLOOKUP($A36,заявки[],6)</f>
        <v>Поляков Максим</v>
      </c>
      <c r="E36" s="179" t="str">
        <f>VLOOKUP($A36,заявки[],10)</f>
        <v>Прусова Наталья</v>
      </c>
      <c r="F36" s="179" t="str">
        <f>VLOOKUP($A36,заявки[],14)</f>
        <v>Смоленск</v>
      </c>
      <c r="G36" s="180" t="str">
        <f>VLOOKUP($A36,заявки[],3)</f>
        <v>Pro</v>
      </c>
      <c r="H36" s="377">
        <f t="shared" si="1"/>
        <v>0.51805555555555549</v>
      </c>
    </row>
    <row r="37" spans="1:8" ht="21" x14ac:dyDescent="0.25">
      <c r="A37" s="177">
        <f t="shared" si="0"/>
        <v>28</v>
      </c>
      <c r="B37" s="376">
        <f>IF(LEN(VLOOKUP($A37,заявки[],2))&gt;0,VLOOKUP($A37,заявки[],2),"")</f>
        <v>27</v>
      </c>
      <c r="C37" s="179" t="str">
        <f>VLOOKUP($A37,заявки[],4)</f>
        <v>Subaru outback</v>
      </c>
      <c r="D37" s="179" t="str">
        <f>VLOOKUP($A37,заявки[],6)</f>
        <v>Сысин Максим</v>
      </c>
      <c r="E37" s="179" t="str">
        <f>VLOOKUP($A37,заявки[],10)</f>
        <v>Ковалева Юлия</v>
      </c>
      <c r="F37" s="179" t="str">
        <f>VLOOKUP($A37,заявки[],14)</f>
        <v>Смоленск</v>
      </c>
      <c r="G37" s="180" t="str">
        <f>VLOOKUP($A37,заявки[],3)</f>
        <v>Pro</v>
      </c>
      <c r="H37" s="377">
        <f t="shared" si="1"/>
        <v>0.51874999999999993</v>
      </c>
    </row>
    <row r="38" spans="1:8" ht="21" x14ac:dyDescent="0.25">
      <c r="A38" s="177">
        <f t="shared" si="0"/>
        <v>29</v>
      </c>
      <c r="B38" s="376">
        <f>IF(LEN(VLOOKUP($A38,заявки[],2))&gt;0,VLOOKUP($A38,заявки[],2),"")</f>
        <v>28</v>
      </c>
      <c r="C38" s="179" t="str">
        <f>VLOOKUP($A38,заявки[],4)</f>
        <v>Porsche Cayenne</v>
      </c>
      <c r="D38" s="179" t="str">
        <f>VLOOKUP($A38,заявки[],6)</f>
        <v>Новиков Максим</v>
      </c>
      <c r="E38" s="179" t="str">
        <f>VLOOKUP($A38,заявки[],10)</f>
        <v>Грушина Екатерина</v>
      </c>
      <c r="F38" s="179" t="str">
        <f>VLOOKUP($A38,заявки[],14)</f>
        <v>Смоленск</v>
      </c>
      <c r="G38" s="180" t="str">
        <f>VLOOKUP($A38,заявки[],3)</f>
        <v>Pro</v>
      </c>
      <c r="H38" s="377">
        <f t="shared" si="1"/>
        <v>0.51944444444444438</v>
      </c>
    </row>
    <row r="39" spans="1:8" ht="21" x14ac:dyDescent="0.25">
      <c r="A39" s="177">
        <f t="shared" si="0"/>
        <v>30</v>
      </c>
      <c r="B39" s="376" t="str">
        <f>IF(LEN(VLOOKUP($A39,заявки[],2))&gt;0,VLOOKUP($A39,заявки[],2),"")</f>
        <v/>
      </c>
      <c r="C39" s="179">
        <f>VLOOKUP($A39,заявки[],4)</f>
        <v>0</v>
      </c>
      <c r="D39" s="179">
        <f>VLOOKUP($A39,заявки[],6)</f>
        <v>0</v>
      </c>
      <c r="E39" s="179">
        <f>VLOOKUP($A39,заявки[],10)</f>
        <v>0</v>
      </c>
      <c r="F39" s="179">
        <f>VLOOKUP($A39,заявки[],14)</f>
        <v>0</v>
      </c>
      <c r="G39" s="180">
        <f>VLOOKUP($A39,заявки[],3)</f>
        <v>0</v>
      </c>
      <c r="H39" s="377">
        <f t="shared" si="1"/>
        <v>0.52013888888888882</v>
      </c>
    </row>
    <row r="40" spans="1:8" ht="21" x14ac:dyDescent="0.25">
      <c r="A40" s="177">
        <f t="shared" si="0"/>
        <v>31</v>
      </c>
      <c r="B40" s="376" t="str">
        <f>IF(LEN(VLOOKUP($A40,заявки[],2))&gt;0,VLOOKUP($A40,заявки[],2),"")</f>
        <v/>
      </c>
      <c r="C40" s="179">
        <f>VLOOKUP($A40,заявки[],4)</f>
        <v>0</v>
      </c>
      <c r="D40" s="179">
        <f>VLOOKUP($A40,заявки[],6)</f>
        <v>0</v>
      </c>
      <c r="E40" s="179">
        <f>VLOOKUP($A40,заявки[],10)</f>
        <v>0</v>
      </c>
      <c r="F40" s="179">
        <f>VLOOKUP($A40,заявки[],14)</f>
        <v>0</v>
      </c>
      <c r="G40" s="180">
        <f>VLOOKUP($A40,заявки[],3)</f>
        <v>0</v>
      </c>
      <c r="H40" s="377">
        <f t="shared" si="1"/>
        <v>0.52083333333333326</v>
      </c>
    </row>
    <row r="41" spans="1:8" ht="21" x14ac:dyDescent="0.25">
      <c r="A41" s="177">
        <f t="shared" si="0"/>
        <v>32</v>
      </c>
      <c r="B41" s="376" t="str">
        <f>IF(LEN(VLOOKUP($A41,заявки[],2))&gt;0,VLOOKUP($A41,заявки[],2),"")</f>
        <v/>
      </c>
      <c r="C41" s="179">
        <f>VLOOKUP($A41,заявки[],4)</f>
        <v>0</v>
      </c>
      <c r="D41" s="179">
        <f>VLOOKUP($A41,заявки[],6)</f>
        <v>0</v>
      </c>
      <c r="E41" s="179">
        <f>VLOOKUP($A41,заявки[],10)</f>
        <v>0</v>
      </c>
      <c r="F41" s="179">
        <f>VLOOKUP($A41,заявки[],14)</f>
        <v>0</v>
      </c>
      <c r="G41" s="180">
        <f>VLOOKUP($A41,заявки[],3)</f>
        <v>0</v>
      </c>
      <c r="H41" s="377">
        <f t="shared" si="1"/>
        <v>0.5215277777777777</v>
      </c>
    </row>
    <row r="42" spans="1:8" ht="21" x14ac:dyDescent="0.25">
      <c r="A42" s="177">
        <f t="shared" si="0"/>
        <v>33</v>
      </c>
      <c r="B42" s="376" t="str">
        <f>IF(LEN(VLOOKUP($A42,заявки[],2))&gt;0,VLOOKUP($A42,заявки[],2),"")</f>
        <v/>
      </c>
      <c r="C42" s="179">
        <f>VLOOKUP($A42,заявки[],4)</f>
        <v>0</v>
      </c>
      <c r="D42" s="179">
        <f>VLOOKUP($A42,заявки[],6)</f>
        <v>0</v>
      </c>
      <c r="E42" s="179">
        <f>VLOOKUP($A42,заявки[],10)</f>
        <v>0</v>
      </c>
      <c r="F42" s="179">
        <f>VLOOKUP($A42,заявки[],14)</f>
        <v>0</v>
      </c>
      <c r="G42" s="180">
        <f>VLOOKUP($A42,заявки[],3)</f>
        <v>0</v>
      </c>
      <c r="H42" s="377">
        <f t="shared" si="1"/>
        <v>0.52222222222222214</v>
      </c>
    </row>
    <row r="43" spans="1:8" ht="21" x14ac:dyDescent="0.25">
      <c r="A43" s="177">
        <f t="shared" si="0"/>
        <v>34</v>
      </c>
      <c r="B43" s="376" t="str">
        <f>IF(LEN(VLOOKUP($A43,заявки[],2))&gt;0,VLOOKUP($A43,заявки[],2),"")</f>
        <v/>
      </c>
      <c r="C43" s="179">
        <f>VLOOKUP($A43,заявки[],4)</f>
        <v>0</v>
      </c>
      <c r="D43" s="179">
        <f>VLOOKUP($A43,заявки[],6)</f>
        <v>0</v>
      </c>
      <c r="E43" s="179">
        <f>VLOOKUP($A43,заявки[],10)</f>
        <v>0</v>
      </c>
      <c r="F43" s="179">
        <f>VLOOKUP($A43,заявки[],14)</f>
        <v>0</v>
      </c>
      <c r="G43" s="180">
        <f>VLOOKUP($A43,заявки[],3)</f>
        <v>0</v>
      </c>
      <c r="H43" s="377">
        <f t="shared" si="1"/>
        <v>0.52291666666666659</v>
      </c>
    </row>
    <row r="44" spans="1:8" ht="21" x14ac:dyDescent="0.25">
      <c r="A44" s="177">
        <f t="shared" si="0"/>
        <v>35</v>
      </c>
      <c r="B44" s="376" t="str">
        <f>IF(LEN(VLOOKUP($A44,заявки[],2))&gt;0,VLOOKUP($A44,заявки[],2),"")</f>
        <v/>
      </c>
      <c r="C44" s="179">
        <f>VLOOKUP($A44,заявки[],4)</f>
        <v>0</v>
      </c>
      <c r="D44" s="179">
        <f>VLOOKUP($A44,заявки[],6)</f>
        <v>0</v>
      </c>
      <c r="E44" s="179">
        <f>VLOOKUP($A44,заявки[],10)</f>
        <v>0</v>
      </c>
      <c r="F44" s="179">
        <f>VLOOKUP($A44,заявки[],14)</f>
        <v>0</v>
      </c>
      <c r="G44" s="180">
        <f>VLOOKUP($A44,заявки[],3)</f>
        <v>0</v>
      </c>
      <c r="H44" s="377">
        <f t="shared" si="1"/>
        <v>0.52361111111111103</v>
      </c>
    </row>
    <row r="45" spans="1:8" ht="21" x14ac:dyDescent="0.25">
      <c r="A45" s="177">
        <f t="shared" si="0"/>
        <v>36</v>
      </c>
      <c r="B45" s="376" t="str">
        <f>IF(LEN(VLOOKUP($A45,заявки[],2))&gt;0,VLOOKUP($A45,заявки[],2),"")</f>
        <v/>
      </c>
      <c r="C45" s="179">
        <f>VLOOKUP($A45,заявки[],4)</f>
        <v>0</v>
      </c>
      <c r="D45" s="179">
        <f>VLOOKUP($A45,заявки[],6)</f>
        <v>0</v>
      </c>
      <c r="E45" s="179">
        <f>VLOOKUP($A45,заявки[],10)</f>
        <v>0</v>
      </c>
      <c r="F45" s="179">
        <f>VLOOKUP($A45,заявки[],14)</f>
        <v>0</v>
      </c>
      <c r="G45" s="180">
        <f>VLOOKUP($A45,заявки[],3)</f>
        <v>0</v>
      </c>
      <c r="H45" s="377">
        <f t="shared" si="1"/>
        <v>0.52430555555555547</v>
      </c>
    </row>
    <row r="46" spans="1:8" ht="21" x14ac:dyDescent="0.25">
      <c r="A46" s="177">
        <f t="shared" si="0"/>
        <v>37</v>
      </c>
      <c r="B46" s="376" t="str">
        <f>IF(LEN(VLOOKUP($A46,заявки[],2))&gt;0,VLOOKUP($A46,заявки[],2),"")</f>
        <v/>
      </c>
      <c r="C46" s="179">
        <f>VLOOKUP($A46,заявки[],4)</f>
        <v>0</v>
      </c>
      <c r="D46" s="179">
        <f>VLOOKUP($A46,заявки[],6)</f>
        <v>0</v>
      </c>
      <c r="E46" s="179">
        <f>VLOOKUP($A46,заявки[],10)</f>
        <v>0</v>
      </c>
      <c r="F46" s="179">
        <f>VLOOKUP($A46,заявки[],14)</f>
        <v>0</v>
      </c>
      <c r="G46" s="180">
        <f>VLOOKUP($A46,заявки[],3)</f>
        <v>0</v>
      </c>
      <c r="H46" s="377">
        <f t="shared" si="1"/>
        <v>0.52499999999999991</v>
      </c>
    </row>
    <row r="47" spans="1:8" ht="21" x14ac:dyDescent="0.25">
      <c r="A47" s="177">
        <f t="shared" si="0"/>
        <v>38</v>
      </c>
      <c r="B47" s="376" t="str">
        <f>IF(LEN(VLOOKUP($A47,заявки[],2))&gt;0,VLOOKUP($A47,заявки[],2),"")</f>
        <v/>
      </c>
      <c r="C47" s="179">
        <f>VLOOKUP($A47,заявки[],4)</f>
        <v>0</v>
      </c>
      <c r="D47" s="179">
        <f>VLOOKUP($A47,заявки[],6)</f>
        <v>0</v>
      </c>
      <c r="E47" s="179">
        <f>VLOOKUP($A47,заявки[],10)</f>
        <v>0</v>
      </c>
      <c r="F47" s="179">
        <f>VLOOKUP($A47,заявки[],14)</f>
        <v>0</v>
      </c>
      <c r="G47" s="180">
        <f>VLOOKUP($A47,заявки[],3)</f>
        <v>0</v>
      </c>
      <c r="H47" s="377">
        <f t="shared" si="1"/>
        <v>0.52569444444444435</v>
      </c>
    </row>
    <row r="48" spans="1:8" ht="21" x14ac:dyDescent="0.25">
      <c r="A48" s="177">
        <f t="shared" si="0"/>
        <v>39</v>
      </c>
      <c r="B48" s="376" t="str">
        <f>IF(LEN(VLOOKUP($A48,заявки[],2))&gt;0,VLOOKUP($A48,заявки[],2),"")</f>
        <v/>
      </c>
      <c r="C48" s="179">
        <f>VLOOKUP($A48,заявки[],4)</f>
        <v>0</v>
      </c>
      <c r="D48" s="179">
        <f>VLOOKUP($A48,заявки[],6)</f>
        <v>0</v>
      </c>
      <c r="E48" s="179">
        <f>VLOOKUP($A48,заявки[],10)</f>
        <v>0</v>
      </c>
      <c r="F48" s="179">
        <f>VLOOKUP($A48,заявки[],14)</f>
        <v>0</v>
      </c>
      <c r="G48" s="180">
        <f>VLOOKUP($A48,заявки[],3)</f>
        <v>0</v>
      </c>
      <c r="H48" s="377">
        <f t="shared" si="1"/>
        <v>0.5263888888888888</v>
      </c>
    </row>
    <row r="49" spans="1:8" ht="21" x14ac:dyDescent="0.25">
      <c r="A49" s="177">
        <f t="shared" si="0"/>
        <v>40</v>
      </c>
      <c r="B49" s="376" t="str">
        <f>IF(LEN(VLOOKUP($A49,заявки[],2))&gt;0,VLOOKUP($A49,заявки[],2),"")</f>
        <v/>
      </c>
      <c r="C49" s="179">
        <f>VLOOKUP($A49,заявки[],4)</f>
        <v>0</v>
      </c>
      <c r="D49" s="179">
        <f>VLOOKUP($A49,заявки[],6)</f>
        <v>0</v>
      </c>
      <c r="E49" s="179">
        <f>VLOOKUP($A49,заявки[],10)</f>
        <v>0</v>
      </c>
      <c r="F49" s="179">
        <f>VLOOKUP($A49,заявки[],14)</f>
        <v>0</v>
      </c>
      <c r="G49" s="180">
        <f>VLOOKUP($A49,заявки[],3)</f>
        <v>0</v>
      </c>
      <c r="H49" s="377">
        <f t="shared" si="1"/>
        <v>0.52708333333333324</v>
      </c>
    </row>
    <row r="50" spans="1:8" ht="21" x14ac:dyDescent="0.25">
      <c r="A50" s="177">
        <f t="shared" si="0"/>
        <v>41</v>
      </c>
      <c r="B50" s="376" t="str">
        <f>IF(LEN(VLOOKUP($A50,заявки[],2))&gt;0,VLOOKUP($A50,заявки[],2),"")</f>
        <v/>
      </c>
      <c r="C50" s="179">
        <f>VLOOKUP($A50,заявки[],4)</f>
        <v>0</v>
      </c>
      <c r="D50" s="179">
        <f>VLOOKUP($A50,заявки[],6)</f>
        <v>0</v>
      </c>
      <c r="E50" s="179">
        <f>VLOOKUP($A50,заявки[],10)</f>
        <v>0</v>
      </c>
      <c r="F50" s="179">
        <f>VLOOKUP($A50,заявки[],14)</f>
        <v>0</v>
      </c>
      <c r="G50" s="180">
        <f>VLOOKUP($A50,заявки[],3)</f>
        <v>0</v>
      </c>
      <c r="H50" s="377">
        <f t="shared" si="1"/>
        <v>0.52777777777777768</v>
      </c>
    </row>
    <row r="51" spans="1:8" ht="21" x14ac:dyDescent="0.25">
      <c r="A51" s="177">
        <f t="shared" si="0"/>
        <v>42</v>
      </c>
      <c r="B51" s="376" t="str">
        <f>IF(LEN(VLOOKUP($A51,заявки[],2))&gt;0,VLOOKUP($A51,заявки[],2),"")</f>
        <v/>
      </c>
      <c r="C51" s="179">
        <f>VLOOKUP($A51,заявки[],4)</f>
        <v>0</v>
      </c>
      <c r="D51" s="179">
        <f>VLOOKUP($A51,заявки[],6)</f>
        <v>0</v>
      </c>
      <c r="E51" s="179">
        <f>VLOOKUP($A51,заявки[],10)</f>
        <v>0</v>
      </c>
      <c r="F51" s="179">
        <f>VLOOKUP($A51,заявки[],14)</f>
        <v>0</v>
      </c>
      <c r="G51" s="180">
        <f>VLOOKUP($A51,заявки[],3)</f>
        <v>0</v>
      </c>
      <c r="H51" s="377">
        <f t="shared" si="1"/>
        <v>0.52847222222222212</v>
      </c>
    </row>
    <row r="52" spans="1:8" ht="21" x14ac:dyDescent="0.25">
      <c r="A52" s="177">
        <f t="shared" si="0"/>
        <v>43</v>
      </c>
      <c r="B52" s="376" t="str">
        <f>IF(LEN(VLOOKUP($A52,заявки[],2))&gt;0,VLOOKUP($A52,заявки[],2),"")</f>
        <v/>
      </c>
      <c r="C52" s="179">
        <f>VLOOKUP($A52,заявки[],4)</f>
        <v>0</v>
      </c>
      <c r="D52" s="179">
        <f>VLOOKUP($A52,заявки[],6)</f>
        <v>0</v>
      </c>
      <c r="E52" s="179">
        <f>VLOOKUP($A52,заявки[],10)</f>
        <v>0</v>
      </c>
      <c r="F52" s="179">
        <f>VLOOKUP($A52,заявки[],14)</f>
        <v>0</v>
      </c>
      <c r="G52" s="180">
        <f>VLOOKUP($A52,заявки[],3)</f>
        <v>0</v>
      </c>
      <c r="H52" s="377">
        <f t="shared" si="1"/>
        <v>0.52916666666666656</v>
      </c>
    </row>
    <row r="53" spans="1:8" ht="21" x14ac:dyDescent="0.25">
      <c r="A53" s="177">
        <f t="shared" si="0"/>
        <v>44</v>
      </c>
      <c r="B53" s="376" t="str">
        <f>IF(LEN(VLOOKUP($A53,заявки[],2))&gt;0,VLOOKUP($A53,заявки[],2),"")</f>
        <v/>
      </c>
      <c r="C53" s="179">
        <f>VLOOKUP($A53,заявки[],4)</f>
        <v>0</v>
      </c>
      <c r="D53" s="179">
        <f>VLOOKUP($A53,заявки[],6)</f>
        <v>0</v>
      </c>
      <c r="E53" s="179">
        <f>VLOOKUP($A53,заявки[],10)</f>
        <v>0</v>
      </c>
      <c r="F53" s="179">
        <f>VLOOKUP($A53,заявки[],14)</f>
        <v>0</v>
      </c>
      <c r="G53" s="180">
        <f>VLOOKUP($A53,заявки[],3)</f>
        <v>0</v>
      </c>
      <c r="H53" s="377">
        <f t="shared" si="1"/>
        <v>0.52986111111111101</v>
      </c>
    </row>
    <row r="54" spans="1:8" ht="21" x14ac:dyDescent="0.25">
      <c r="A54" s="177">
        <f t="shared" si="0"/>
        <v>45</v>
      </c>
      <c r="B54" s="376" t="str">
        <f>IF(LEN(VLOOKUP($A54,заявки[],2))&gt;0,VLOOKUP($A54,заявки[],2),"")</f>
        <v/>
      </c>
      <c r="C54" s="179">
        <f>VLOOKUP($A54,заявки[],4)</f>
        <v>0</v>
      </c>
      <c r="D54" s="179">
        <f>VLOOKUP($A54,заявки[],6)</f>
        <v>0</v>
      </c>
      <c r="E54" s="179">
        <f>VLOOKUP($A54,заявки[],10)</f>
        <v>0</v>
      </c>
      <c r="F54" s="179">
        <f>VLOOKUP($A54,заявки[],14)</f>
        <v>0</v>
      </c>
      <c r="G54" s="180">
        <f>VLOOKUP($A54,заявки[],3)</f>
        <v>0</v>
      </c>
      <c r="H54" s="377">
        <f t="shared" si="1"/>
        <v>0.53055555555555545</v>
      </c>
    </row>
    <row r="55" spans="1:8" ht="21" x14ac:dyDescent="0.25">
      <c r="A55" s="177">
        <f t="shared" si="0"/>
        <v>46</v>
      </c>
      <c r="B55" s="376" t="str">
        <f>IF(LEN(VLOOKUP($A55,заявки[],2))&gt;0,VLOOKUP($A55,заявки[],2),"")</f>
        <v/>
      </c>
      <c r="C55" s="179">
        <f>VLOOKUP($A55,заявки[],4)</f>
        <v>0</v>
      </c>
      <c r="D55" s="179">
        <f>VLOOKUP($A55,заявки[],6)</f>
        <v>0</v>
      </c>
      <c r="E55" s="179">
        <f>VLOOKUP($A55,заявки[],10)</f>
        <v>0</v>
      </c>
      <c r="F55" s="179">
        <f>VLOOKUP($A55,заявки[],14)</f>
        <v>0</v>
      </c>
      <c r="G55" s="180">
        <f>VLOOKUP($A55,заявки[],3)</f>
        <v>0</v>
      </c>
      <c r="H55" s="377">
        <f t="shared" si="1"/>
        <v>0.53124999999999989</v>
      </c>
    </row>
    <row r="56" spans="1:8" ht="21" x14ac:dyDescent="0.25">
      <c r="A56" s="177">
        <f t="shared" si="0"/>
        <v>47</v>
      </c>
      <c r="B56" s="376" t="str">
        <f>IF(LEN(VLOOKUP($A56,заявки[],2))&gt;0,VLOOKUP($A56,заявки[],2),"")</f>
        <v/>
      </c>
      <c r="C56" s="179">
        <f>VLOOKUP($A56,заявки[],4)</f>
        <v>0</v>
      </c>
      <c r="D56" s="179">
        <f>VLOOKUP($A56,заявки[],6)</f>
        <v>0</v>
      </c>
      <c r="E56" s="179">
        <f>VLOOKUP($A56,заявки[],10)</f>
        <v>0</v>
      </c>
      <c r="F56" s="179">
        <f>VLOOKUP($A56,заявки[],14)</f>
        <v>0</v>
      </c>
      <c r="G56" s="180">
        <f>VLOOKUP($A56,заявки[],3)</f>
        <v>0</v>
      </c>
      <c r="H56" s="377">
        <f t="shared" si="1"/>
        <v>0.53194444444444433</v>
      </c>
    </row>
    <row r="57" spans="1:8" ht="21" x14ac:dyDescent="0.25">
      <c r="A57" s="177">
        <f t="shared" si="0"/>
        <v>48</v>
      </c>
      <c r="B57" s="376" t="str">
        <f>IF(LEN(VLOOKUP($A57,заявки[],2))&gt;0,VLOOKUP($A57,заявки[],2),"")</f>
        <v/>
      </c>
      <c r="C57" s="179">
        <f>VLOOKUP($A57,заявки[],4)</f>
        <v>0</v>
      </c>
      <c r="D57" s="179">
        <f>VLOOKUP($A57,заявки[],6)</f>
        <v>0</v>
      </c>
      <c r="E57" s="179">
        <f>VLOOKUP($A57,заявки[],10)</f>
        <v>0</v>
      </c>
      <c r="F57" s="179">
        <f>VLOOKUP($A57,заявки[],14)</f>
        <v>0</v>
      </c>
      <c r="G57" s="180">
        <f>VLOOKUP($A57,заявки[],3)</f>
        <v>0</v>
      </c>
      <c r="H57" s="377">
        <f t="shared" si="1"/>
        <v>0.53263888888888877</v>
      </c>
    </row>
    <row r="58" spans="1:8" ht="21" x14ac:dyDescent="0.25">
      <c r="A58" s="177">
        <f t="shared" si="0"/>
        <v>49</v>
      </c>
      <c r="B58" s="376" t="str">
        <f>IF(LEN(VLOOKUP($A58,заявки[],2))&gt;0,VLOOKUP($A58,заявки[],2),"")</f>
        <v/>
      </c>
      <c r="C58" s="179">
        <f>VLOOKUP($A58,заявки[],4)</f>
        <v>0</v>
      </c>
      <c r="D58" s="179">
        <f>VLOOKUP($A58,заявки[],6)</f>
        <v>0</v>
      </c>
      <c r="E58" s="179">
        <f>VLOOKUP($A58,заявки[],10)</f>
        <v>0</v>
      </c>
      <c r="F58" s="179">
        <f>VLOOKUP($A58,заявки[],14)</f>
        <v>0</v>
      </c>
      <c r="G58" s="180">
        <f>VLOOKUP($A58,заявки[],3)</f>
        <v>0</v>
      </c>
      <c r="H58" s="377">
        <f t="shared" si="1"/>
        <v>0.53333333333333321</v>
      </c>
    </row>
    <row r="59" spans="1:8" ht="21" x14ac:dyDescent="0.25">
      <c r="A59" s="177">
        <f t="shared" si="0"/>
        <v>50</v>
      </c>
      <c r="B59" s="376" t="str">
        <f>IF(LEN(VLOOKUP($A59,заявки[],2))&gt;0,VLOOKUP($A59,заявки[],2),"")</f>
        <v/>
      </c>
      <c r="C59" s="179">
        <f>VLOOKUP($A59,заявки[],4)</f>
        <v>0</v>
      </c>
      <c r="D59" s="179">
        <f>VLOOKUP($A59,заявки[],6)</f>
        <v>0</v>
      </c>
      <c r="E59" s="179">
        <f>VLOOKUP($A59,заявки[],10)</f>
        <v>0</v>
      </c>
      <c r="F59" s="179">
        <f>VLOOKUP($A59,заявки[],14)</f>
        <v>0</v>
      </c>
      <c r="G59" s="180">
        <f>VLOOKUP($A59,заявки[],3)</f>
        <v>0</v>
      </c>
      <c r="H59" s="377">
        <f t="shared" si="1"/>
        <v>0.53402777777777766</v>
      </c>
    </row>
    <row r="60" spans="1:8" ht="21" x14ac:dyDescent="0.25">
      <c r="A60" s="177">
        <f t="shared" si="0"/>
        <v>51</v>
      </c>
      <c r="B60" s="376" t="str">
        <f>IF(LEN(VLOOKUP($A60,заявки[],2))&gt;0,VLOOKUP($A60,заявки[],2),"")</f>
        <v/>
      </c>
      <c r="C60" s="179">
        <f>VLOOKUP($A60,заявки[],4)</f>
        <v>0</v>
      </c>
      <c r="D60" s="179">
        <f>VLOOKUP($A60,заявки[],6)</f>
        <v>0</v>
      </c>
      <c r="E60" s="179">
        <f>VLOOKUP($A60,заявки[],10)</f>
        <v>0</v>
      </c>
      <c r="F60" s="179">
        <f>VLOOKUP($A60,заявки[],14)</f>
        <v>0</v>
      </c>
      <c r="G60" s="180">
        <f>VLOOKUP($A60,заявки[],3)</f>
        <v>0</v>
      </c>
      <c r="H60" s="377">
        <f t="shared" si="1"/>
        <v>0.5347222222222221</v>
      </c>
    </row>
    <row r="61" spans="1:8" ht="21" x14ac:dyDescent="0.25">
      <c r="A61" s="177">
        <f t="shared" si="0"/>
        <v>52</v>
      </c>
      <c r="B61" s="376" t="str">
        <f>IF(LEN(VLOOKUP($A61,заявки[],2))&gt;0,VLOOKUP($A61,заявки[],2),"")</f>
        <v/>
      </c>
      <c r="C61" s="179">
        <f>VLOOKUP($A61,заявки[],4)</f>
        <v>0</v>
      </c>
      <c r="D61" s="179">
        <f>VLOOKUP($A61,заявки[],6)</f>
        <v>0</v>
      </c>
      <c r="E61" s="179">
        <f>VLOOKUP($A61,заявки[],10)</f>
        <v>0</v>
      </c>
      <c r="F61" s="179">
        <f>VLOOKUP($A61,заявки[],14)</f>
        <v>0</v>
      </c>
      <c r="G61" s="180">
        <f>VLOOKUP($A61,заявки[],3)</f>
        <v>0</v>
      </c>
      <c r="H61" s="377">
        <f t="shared" si="1"/>
        <v>0.53541666666666654</v>
      </c>
    </row>
    <row r="62" spans="1:8" ht="21" x14ac:dyDescent="0.25">
      <c r="A62" s="177">
        <f t="shared" si="0"/>
        <v>53</v>
      </c>
      <c r="B62" s="376" t="str">
        <f>IF(LEN(VLOOKUP($A62,заявки[],2))&gt;0,VLOOKUP($A62,заявки[],2),"")</f>
        <v/>
      </c>
      <c r="C62" s="179">
        <f>VLOOKUP($A62,заявки[],4)</f>
        <v>0</v>
      </c>
      <c r="D62" s="179">
        <f>VLOOKUP($A62,заявки[],6)</f>
        <v>0</v>
      </c>
      <c r="E62" s="179">
        <f>VLOOKUP($A62,заявки[],10)</f>
        <v>0</v>
      </c>
      <c r="F62" s="179">
        <f>VLOOKUP($A62,заявки[],14)</f>
        <v>0</v>
      </c>
      <c r="G62" s="180">
        <f>VLOOKUP($A62,заявки[],3)</f>
        <v>0</v>
      </c>
      <c r="H62" s="377">
        <f t="shared" si="1"/>
        <v>0.53611111111111098</v>
      </c>
    </row>
    <row r="63" spans="1:8" ht="21" x14ac:dyDescent="0.25">
      <c r="A63" s="177">
        <f t="shared" si="0"/>
        <v>54</v>
      </c>
      <c r="B63" s="376" t="str">
        <f>IF(LEN(VLOOKUP($A63,заявки[],2))&gt;0,VLOOKUP($A63,заявки[],2),"")</f>
        <v/>
      </c>
      <c r="C63" s="179">
        <f>VLOOKUP($A63,заявки[],4)</f>
        <v>0</v>
      </c>
      <c r="D63" s="179">
        <f>VLOOKUP($A63,заявки[],6)</f>
        <v>0</v>
      </c>
      <c r="E63" s="179">
        <f>VLOOKUP($A63,заявки[],10)</f>
        <v>0</v>
      </c>
      <c r="F63" s="179">
        <f>VLOOKUP($A63,заявки[],14)</f>
        <v>0</v>
      </c>
      <c r="G63" s="180">
        <f>VLOOKUP($A63,заявки[],3)</f>
        <v>0</v>
      </c>
      <c r="H63" s="377">
        <f t="shared" si="1"/>
        <v>0.53680555555555542</v>
      </c>
    </row>
    <row r="64" spans="1:8" ht="21" x14ac:dyDescent="0.25">
      <c r="A64" s="177">
        <f t="shared" si="0"/>
        <v>55</v>
      </c>
      <c r="B64" s="376" t="str">
        <f>IF(LEN(VLOOKUP($A64,заявки[],2))&gt;0,VLOOKUP($A64,заявки[],2),"")</f>
        <v/>
      </c>
      <c r="C64" s="179">
        <f>VLOOKUP($A64,заявки[],4)</f>
        <v>0</v>
      </c>
      <c r="D64" s="179">
        <f>VLOOKUP($A64,заявки[],6)</f>
        <v>0</v>
      </c>
      <c r="E64" s="179">
        <f>VLOOKUP($A64,заявки[],10)</f>
        <v>0</v>
      </c>
      <c r="F64" s="179">
        <f>VLOOKUP($A64,заявки[],14)</f>
        <v>0</v>
      </c>
      <c r="G64" s="180">
        <f>VLOOKUP($A64,заявки[],3)</f>
        <v>0</v>
      </c>
      <c r="H64" s="377">
        <f t="shared" si="1"/>
        <v>0.53749999999999987</v>
      </c>
    </row>
    <row r="65" spans="1:8" ht="21" x14ac:dyDescent="0.25">
      <c r="A65" s="177">
        <f t="shared" si="0"/>
        <v>56</v>
      </c>
      <c r="B65" s="376" t="str">
        <f>IF(LEN(VLOOKUP($A65,заявки[],2))&gt;0,VLOOKUP($A65,заявки[],2),"")</f>
        <v/>
      </c>
      <c r="C65" s="179">
        <f>VLOOKUP($A65,заявки[],4)</f>
        <v>0</v>
      </c>
      <c r="D65" s="179">
        <f>VLOOKUP($A65,заявки[],6)</f>
        <v>0</v>
      </c>
      <c r="E65" s="179">
        <f>VLOOKUP($A65,заявки[],10)</f>
        <v>0</v>
      </c>
      <c r="F65" s="179">
        <f>VLOOKUP($A65,заявки[],14)</f>
        <v>0</v>
      </c>
      <c r="G65" s="180">
        <f>VLOOKUP($A65,заявки[],3)</f>
        <v>0</v>
      </c>
      <c r="H65" s="377">
        <f t="shared" si="1"/>
        <v>0.53819444444444431</v>
      </c>
    </row>
    <row r="66" spans="1:8" ht="21" x14ac:dyDescent="0.25">
      <c r="A66" s="177">
        <f t="shared" si="0"/>
        <v>57</v>
      </c>
      <c r="B66" s="376" t="str">
        <f>IF(LEN(VLOOKUP($A66,заявки[],2))&gt;0,VLOOKUP($A66,заявки[],2),"")</f>
        <v/>
      </c>
      <c r="C66" s="179">
        <f>VLOOKUP($A66,заявки[],4)</f>
        <v>0</v>
      </c>
      <c r="D66" s="179">
        <f>VLOOKUP($A66,заявки[],6)</f>
        <v>0</v>
      </c>
      <c r="E66" s="179">
        <f>VLOOKUP($A66,заявки[],10)</f>
        <v>0</v>
      </c>
      <c r="F66" s="179">
        <f>VLOOKUP($A66,заявки[],14)</f>
        <v>0</v>
      </c>
      <c r="G66" s="180">
        <f>VLOOKUP($A66,заявки[],3)</f>
        <v>0</v>
      </c>
      <c r="H66" s="377">
        <f t="shared" si="1"/>
        <v>0.53888888888888875</v>
      </c>
    </row>
    <row r="67" spans="1:8" ht="21" x14ac:dyDescent="0.25">
      <c r="A67" s="177">
        <f t="shared" si="0"/>
        <v>58</v>
      </c>
      <c r="B67" s="376" t="str">
        <f>IF(LEN(VLOOKUP($A67,заявки[],2))&gt;0,VLOOKUP($A67,заявки[],2),"")</f>
        <v/>
      </c>
      <c r="C67" s="179">
        <f>VLOOKUP($A67,заявки[],4)</f>
        <v>0</v>
      </c>
      <c r="D67" s="179">
        <f>VLOOKUP($A67,заявки[],6)</f>
        <v>0</v>
      </c>
      <c r="E67" s="179">
        <f>VLOOKUP($A67,заявки[],10)</f>
        <v>0</v>
      </c>
      <c r="F67" s="179">
        <f>VLOOKUP($A67,заявки[],14)</f>
        <v>0</v>
      </c>
      <c r="G67" s="180">
        <f>VLOOKUP($A67,заявки[],3)</f>
        <v>0</v>
      </c>
      <c r="H67" s="377">
        <f t="shared" si="1"/>
        <v>0.53958333333333319</v>
      </c>
    </row>
    <row r="68" spans="1:8" ht="21" x14ac:dyDescent="0.25">
      <c r="A68" s="177">
        <f t="shared" si="0"/>
        <v>59</v>
      </c>
      <c r="B68" s="376" t="str">
        <f>IF(LEN(VLOOKUP($A68,заявки[],2))&gt;0,VLOOKUP($A68,заявки[],2),"")</f>
        <v/>
      </c>
      <c r="C68" s="179">
        <f>VLOOKUP($A68,заявки[],4)</f>
        <v>0</v>
      </c>
      <c r="D68" s="179">
        <f>VLOOKUP($A68,заявки[],6)</f>
        <v>0</v>
      </c>
      <c r="E68" s="179">
        <f>VLOOKUP($A68,заявки[],10)</f>
        <v>0</v>
      </c>
      <c r="F68" s="179">
        <f>VLOOKUP($A68,заявки[],14)</f>
        <v>0</v>
      </c>
      <c r="G68" s="180">
        <f>VLOOKUP($A68,заявки[],3)</f>
        <v>0</v>
      </c>
      <c r="H68" s="377">
        <f t="shared" si="1"/>
        <v>0.54027777777777763</v>
      </c>
    </row>
    <row r="69" spans="1:8" ht="21" x14ac:dyDescent="0.25">
      <c r="A69" s="177">
        <f t="shared" si="0"/>
        <v>60</v>
      </c>
      <c r="B69" s="376" t="str">
        <f>IF(LEN(VLOOKUP($A69,заявки[],2))&gt;0,VLOOKUP($A69,заявки[],2),"")</f>
        <v/>
      </c>
      <c r="C69" s="179">
        <f>VLOOKUP($A69,заявки[],4)</f>
        <v>0</v>
      </c>
      <c r="D69" s="179">
        <f>VLOOKUP($A69,заявки[],6)</f>
        <v>0</v>
      </c>
      <c r="E69" s="179">
        <f>VLOOKUP($A69,заявки[],10)</f>
        <v>0</v>
      </c>
      <c r="F69" s="179">
        <f>VLOOKUP($A69,заявки[],14)</f>
        <v>0</v>
      </c>
      <c r="G69" s="180">
        <f>VLOOKUP($A69,заявки[],3)</f>
        <v>0</v>
      </c>
      <c r="H69" s="377">
        <f t="shared" si="1"/>
        <v>0.54097222222222208</v>
      </c>
    </row>
    <row r="70" spans="1:8" x14ac:dyDescent="0.25">
      <c r="A70" s="177" t="s">
        <v>70</v>
      </c>
      <c r="B70" s="180">
        <f>заявки[[#Totals],[Ст. №]]</f>
        <v>29</v>
      </c>
      <c r="C70" s="179"/>
      <c r="D70" s="179"/>
      <c r="E70" s="179"/>
      <c r="F70" s="179"/>
      <c r="G70" s="180"/>
      <c r="H70" s="181"/>
    </row>
    <row r="72" spans="1:8" ht="15.75" x14ac:dyDescent="0.25">
      <c r="B72" s="316" t="s">
        <v>302</v>
      </c>
      <c r="C72" s="2"/>
      <c r="D72" s="2" t="s">
        <v>298</v>
      </c>
      <c r="E72" s="2" t="s">
        <v>298</v>
      </c>
      <c r="F72" s="2" t="s">
        <v>298</v>
      </c>
      <c r="G72" s="2"/>
    </row>
    <row r="73" spans="1:8" x14ac:dyDescent="0.25">
      <c r="B73" s="44"/>
      <c r="C73" s="2"/>
      <c r="D73" s="187" t="s">
        <v>299</v>
      </c>
      <c r="E73" s="187" t="s">
        <v>300</v>
      </c>
      <c r="F73" s="187" t="s">
        <v>729</v>
      </c>
      <c r="G73" s="2"/>
    </row>
    <row r="74" spans="1:8" ht="15.75" x14ac:dyDescent="0.25">
      <c r="B74" s="316" t="s">
        <v>303</v>
      </c>
      <c r="C74" s="2"/>
      <c r="D74" s="2" t="s">
        <v>298</v>
      </c>
      <c r="E74" s="2" t="s">
        <v>298</v>
      </c>
      <c r="F74" s="2" t="s">
        <v>298</v>
      </c>
      <c r="G74" s="2"/>
    </row>
    <row r="75" spans="1:8" x14ac:dyDescent="0.25">
      <c r="B75" s="44"/>
      <c r="C75" s="2"/>
      <c r="D75" s="187" t="s">
        <v>299</v>
      </c>
      <c r="E75" s="187" t="s">
        <v>300</v>
      </c>
      <c r="F75" s="187" t="s">
        <v>729</v>
      </c>
      <c r="G75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headerFooter>
    <oddFooter>Страница  &amp;P из &amp;N</oddFooter>
  </headerFooter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F0"/>
  </sheetPr>
  <dimension ref="A1:K59"/>
  <sheetViews>
    <sheetView view="pageBreakPreview" zoomScale="85" zoomScaleSheetLayoutView="85" workbookViewId="0">
      <selection activeCell="K17" sqref="K17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532</v>
      </c>
      <c r="C2" s="41"/>
      <c r="D2" s="42"/>
    </row>
    <row r="3" spans="1:11" ht="20.100000000000001" customHeight="1" x14ac:dyDescent="0.25">
      <c r="A3" s="38" t="s">
        <v>110</v>
      </c>
      <c r="B3" s="36">
        <v>0.50188563575042011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0.54702452463930895</v>
      </c>
      <c r="C4" s="38" t="s">
        <v>105</v>
      </c>
      <c r="D4" s="36"/>
    </row>
    <row r="5" spans="1:11" ht="46.5" x14ac:dyDescent="0.25">
      <c r="A5" s="564" t="s">
        <v>681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0.50138888888888888</v>
      </c>
      <c r="C10" s="565"/>
      <c r="D10" s="566"/>
    </row>
    <row r="11" spans="1:11" ht="30" customHeight="1" x14ac:dyDescent="0.25">
      <c r="A11" s="34">
        <v>1</v>
      </c>
      <c r="B11" s="106">
        <v>0.53333333333333333</v>
      </c>
      <c r="C11" s="565"/>
      <c r="D11" s="566"/>
    </row>
    <row r="12" spans="1:11" ht="30" customHeight="1" x14ac:dyDescent="0.25">
      <c r="A12" s="34">
        <v>2</v>
      </c>
      <c r="B12" s="106">
        <v>0.51527777777777783</v>
      </c>
      <c r="C12" s="565"/>
      <c r="D12" s="566"/>
    </row>
    <row r="13" spans="1:11" ht="30" customHeight="1" x14ac:dyDescent="0.25">
      <c r="A13" s="34">
        <v>4</v>
      </c>
      <c r="B13" s="106">
        <v>0.51944444444444449</v>
      </c>
      <c r="C13" s="565"/>
      <c r="D13" s="566"/>
    </row>
    <row r="14" spans="1:11" ht="30" customHeight="1" x14ac:dyDescent="0.25">
      <c r="A14" s="34">
        <v>5</v>
      </c>
      <c r="B14" s="106">
        <v>0.51736111111111105</v>
      </c>
      <c r="C14" s="565"/>
      <c r="D14" s="566"/>
    </row>
    <row r="15" spans="1:11" ht="30" customHeight="1" x14ac:dyDescent="0.25">
      <c r="A15" s="34">
        <v>6</v>
      </c>
      <c r="B15" s="106">
        <v>0.52083333333333337</v>
      </c>
      <c r="C15" s="565"/>
      <c r="D15" s="566"/>
    </row>
    <row r="16" spans="1:11" ht="30" customHeight="1" x14ac:dyDescent="0.25">
      <c r="A16" s="34">
        <v>7</v>
      </c>
      <c r="B16" s="106">
        <v>0.52083333333333337</v>
      </c>
      <c r="C16" s="565"/>
      <c r="D16" s="566"/>
    </row>
    <row r="17" spans="1:4" ht="30" customHeight="1" x14ac:dyDescent="0.25">
      <c r="A17" s="34">
        <v>8</v>
      </c>
      <c r="B17" s="106">
        <v>0.51944444444444449</v>
      </c>
      <c r="C17" s="565"/>
      <c r="D17" s="566"/>
    </row>
    <row r="18" spans="1:4" ht="30" customHeight="1" x14ac:dyDescent="0.25">
      <c r="A18" s="34">
        <v>9</v>
      </c>
      <c r="B18" s="106">
        <v>0.52430555555555558</v>
      </c>
      <c r="C18" s="565"/>
      <c r="D18" s="566"/>
    </row>
    <row r="19" spans="1:4" ht="30" customHeight="1" x14ac:dyDescent="0.25">
      <c r="A19" s="34">
        <v>10</v>
      </c>
      <c r="B19" s="106">
        <v>0.52152777777777781</v>
      </c>
      <c r="C19" s="565"/>
      <c r="D19" s="566"/>
    </row>
    <row r="20" spans="1:4" ht="30" customHeight="1" x14ac:dyDescent="0.25">
      <c r="A20" s="34">
        <v>11</v>
      </c>
      <c r="B20" s="106">
        <v>0.52222222222222225</v>
      </c>
      <c r="C20" s="565"/>
      <c r="D20" s="566"/>
    </row>
    <row r="21" spans="1:4" ht="30" customHeight="1" x14ac:dyDescent="0.25">
      <c r="A21" s="34">
        <v>13</v>
      </c>
      <c r="B21" s="106">
        <v>0.52222222222222225</v>
      </c>
      <c r="C21" s="565"/>
      <c r="D21" s="566"/>
    </row>
    <row r="22" spans="1:4" ht="30" customHeight="1" x14ac:dyDescent="0.25">
      <c r="A22" s="34">
        <v>14</v>
      </c>
      <c r="B22" s="106">
        <v>0.52500000000000002</v>
      </c>
      <c r="C22" s="565"/>
      <c r="D22" s="566"/>
    </row>
    <row r="23" spans="1:4" ht="30" customHeight="1" x14ac:dyDescent="0.25">
      <c r="A23" s="34">
        <v>16</v>
      </c>
      <c r="B23" s="106">
        <v>0.52777777777777779</v>
      </c>
      <c r="C23" s="565"/>
      <c r="D23" s="566"/>
    </row>
    <row r="24" spans="1:4" ht="30" customHeight="1" x14ac:dyDescent="0.25">
      <c r="A24" s="34">
        <v>17</v>
      </c>
      <c r="B24" s="106">
        <v>0.52916666666666667</v>
      </c>
      <c r="C24" s="565"/>
      <c r="D24" s="566"/>
    </row>
    <row r="25" spans="1:4" ht="30" customHeight="1" x14ac:dyDescent="0.25">
      <c r="A25" s="34">
        <v>19</v>
      </c>
      <c r="B25" s="106">
        <v>0.52777777777777779</v>
      </c>
      <c r="C25" s="565"/>
      <c r="D25" s="566"/>
    </row>
    <row r="26" spans="1:4" ht="30" customHeight="1" x14ac:dyDescent="0.25">
      <c r="A26" s="34">
        <v>20</v>
      </c>
      <c r="B26" s="106">
        <v>0.52569444444444446</v>
      </c>
      <c r="C26" s="565"/>
      <c r="D26" s="566"/>
    </row>
    <row r="27" spans="1:4" ht="30" customHeight="1" x14ac:dyDescent="0.25">
      <c r="A27" s="34">
        <v>22</v>
      </c>
      <c r="B27" s="106">
        <v>0.52986111111111112</v>
      </c>
      <c r="C27" s="565"/>
      <c r="D27" s="566"/>
    </row>
    <row r="28" spans="1:4" ht="30" customHeight="1" x14ac:dyDescent="0.25">
      <c r="A28" s="34">
        <v>23</v>
      </c>
      <c r="B28" s="106">
        <v>0.52986111111111112</v>
      </c>
      <c r="C28" s="565"/>
      <c r="D28" s="566"/>
    </row>
    <row r="29" spans="1:4" ht="30" customHeight="1" x14ac:dyDescent="0.25">
      <c r="A29" s="34">
        <v>24</v>
      </c>
      <c r="B29" s="106">
        <v>0.53194444444444444</v>
      </c>
      <c r="C29" s="565"/>
      <c r="D29" s="566"/>
    </row>
    <row r="30" spans="1:4" ht="30" customHeight="1" x14ac:dyDescent="0.25">
      <c r="A30" s="34">
        <v>25</v>
      </c>
      <c r="B30" s="106">
        <v>0.53194444444444444</v>
      </c>
      <c r="C30" s="565"/>
      <c r="D30" s="566"/>
    </row>
    <row r="31" spans="1:4" ht="30" customHeight="1" x14ac:dyDescent="0.25">
      <c r="A31" s="34">
        <v>26</v>
      </c>
      <c r="B31" s="106">
        <v>0.53402777777777777</v>
      </c>
      <c r="C31" s="565"/>
      <c r="D31" s="566"/>
    </row>
    <row r="32" spans="1:4" ht="30" customHeight="1" x14ac:dyDescent="0.25">
      <c r="A32" s="34">
        <v>27</v>
      </c>
      <c r="B32" s="106">
        <v>0.53472222222222221</v>
      </c>
      <c r="C32" s="565"/>
      <c r="D32" s="566"/>
    </row>
    <row r="33" spans="1:4" ht="30" customHeight="1" x14ac:dyDescent="0.25">
      <c r="A33" s="34">
        <v>28</v>
      </c>
      <c r="B33" s="106">
        <v>0.53125</v>
      </c>
      <c r="C33" s="565"/>
      <c r="D33" s="566"/>
    </row>
    <row r="34" spans="1:4" ht="30" customHeight="1" x14ac:dyDescent="0.25">
      <c r="A34" s="34"/>
      <c r="B34" s="106"/>
      <c r="C34" s="565"/>
      <c r="D34" s="566"/>
    </row>
    <row r="35" spans="1:4" ht="30" customHeight="1" x14ac:dyDescent="0.25">
      <c r="A35" s="34"/>
      <c r="B35" s="106"/>
      <c r="C35" s="565"/>
      <c r="D35" s="566"/>
    </row>
    <row r="36" spans="1:4" ht="30" customHeight="1" x14ac:dyDescent="0.25">
      <c r="A36" s="34"/>
      <c r="B36" s="106"/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ortState ref="A10:B54">
    <sortCondition ref="A10"/>
  </sortState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F0"/>
  </sheetPr>
  <dimension ref="A1:K59"/>
  <sheetViews>
    <sheetView view="pageBreakPreview" zoomScale="85" zoomScaleSheetLayoutView="85" workbookViewId="0">
      <selection activeCell="A11" sqref="A1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532</v>
      </c>
      <c r="C2" s="41"/>
      <c r="D2" s="42"/>
    </row>
    <row r="3" spans="1:11" ht="20.100000000000001" customHeight="1" x14ac:dyDescent="0.25">
      <c r="A3" s="38" t="s">
        <v>110</v>
      </c>
      <c r="B3" s="36">
        <v>0.50188563575042011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0.54702452463930895</v>
      </c>
      <c r="C4" s="38" t="s">
        <v>105</v>
      </c>
      <c r="D4" s="36"/>
    </row>
    <row r="5" spans="1:11" ht="46.5" x14ac:dyDescent="0.25">
      <c r="A5" s="564" t="s">
        <v>682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0.50486111111111109</v>
      </c>
      <c r="C10" s="565"/>
      <c r="D10" s="566"/>
    </row>
    <row r="11" spans="1:11" ht="30" customHeight="1" x14ac:dyDescent="0.25">
      <c r="A11" s="34">
        <v>5</v>
      </c>
      <c r="B11" s="106">
        <v>0.52083333333333337</v>
      </c>
      <c r="C11" s="565"/>
      <c r="D11" s="566"/>
    </row>
    <row r="12" spans="1:11" ht="30" customHeight="1" x14ac:dyDescent="0.25">
      <c r="A12" s="34">
        <v>4</v>
      </c>
      <c r="B12" s="106">
        <v>0.5229166666666667</v>
      </c>
      <c r="C12" s="565"/>
      <c r="D12" s="566"/>
    </row>
    <row r="13" spans="1:11" ht="30" customHeight="1" x14ac:dyDescent="0.25">
      <c r="A13" s="34">
        <v>8</v>
      </c>
      <c r="B13" s="106">
        <v>0.52361111111111114</v>
      </c>
      <c r="C13" s="565"/>
      <c r="D13" s="566"/>
    </row>
    <row r="14" spans="1:11" ht="30" customHeight="1" x14ac:dyDescent="0.25">
      <c r="A14" s="34">
        <v>7</v>
      </c>
      <c r="B14" s="106">
        <v>0.52430555555555558</v>
      </c>
      <c r="C14" s="565"/>
      <c r="D14" s="566"/>
    </row>
    <row r="15" spans="1:11" ht="30" customHeight="1" x14ac:dyDescent="0.25">
      <c r="A15" s="34">
        <v>6</v>
      </c>
      <c r="B15" s="106">
        <v>0.52569444444444446</v>
      </c>
      <c r="C15" s="565"/>
      <c r="D15" s="566"/>
    </row>
    <row r="16" spans="1:11" ht="30" customHeight="1" x14ac:dyDescent="0.25">
      <c r="A16" s="34">
        <v>10</v>
      </c>
      <c r="B16" s="106">
        <v>0.52638888888888891</v>
      </c>
      <c r="C16" s="565"/>
      <c r="D16" s="566"/>
    </row>
    <row r="17" spans="1:4" ht="30" customHeight="1" x14ac:dyDescent="0.25">
      <c r="A17" s="34">
        <v>11</v>
      </c>
      <c r="B17" s="106">
        <v>0.52638888888888891</v>
      </c>
      <c r="C17" s="565"/>
      <c r="D17" s="566"/>
    </row>
    <row r="18" spans="1:4" ht="30" customHeight="1" x14ac:dyDescent="0.25">
      <c r="A18" s="34">
        <v>13</v>
      </c>
      <c r="B18" s="106">
        <v>0.52708333333333335</v>
      </c>
      <c r="C18" s="565"/>
      <c r="D18" s="566"/>
    </row>
    <row r="19" spans="1:4" ht="30" customHeight="1" x14ac:dyDescent="0.25">
      <c r="A19" s="34">
        <v>9</v>
      </c>
      <c r="B19" s="106">
        <v>0.52777777777777779</v>
      </c>
      <c r="C19" s="565"/>
      <c r="D19" s="566"/>
    </row>
    <row r="20" spans="1:4" ht="30" customHeight="1" x14ac:dyDescent="0.25">
      <c r="A20" s="34">
        <v>14</v>
      </c>
      <c r="B20" s="106">
        <v>0.52986111111111112</v>
      </c>
      <c r="C20" s="565"/>
      <c r="D20" s="566"/>
    </row>
    <row r="21" spans="1:4" ht="30" customHeight="1" x14ac:dyDescent="0.25">
      <c r="A21" s="34">
        <v>20</v>
      </c>
      <c r="B21" s="106">
        <v>0.52986111111111112</v>
      </c>
      <c r="C21" s="565"/>
      <c r="D21" s="566"/>
    </row>
    <row r="22" spans="1:4" ht="30" customHeight="1" x14ac:dyDescent="0.25">
      <c r="A22" s="34">
        <v>16</v>
      </c>
      <c r="B22" s="106">
        <v>0.53055555555555556</v>
      </c>
      <c r="C22" s="565"/>
      <c r="D22" s="566"/>
    </row>
    <row r="23" spans="1:4" ht="30" customHeight="1" x14ac:dyDescent="0.25">
      <c r="A23" s="34">
        <v>17</v>
      </c>
      <c r="B23" s="106">
        <v>0.53263888888888888</v>
      </c>
      <c r="C23" s="565"/>
      <c r="D23" s="566"/>
    </row>
    <row r="24" spans="1:4" ht="30" customHeight="1" x14ac:dyDescent="0.25">
      <c r="A24" s="34">
        <v>19</v>
      </c>
      <c r="B24" s="106">
        <v>0.53263888888888888</v>
      </c>
      <c r="C24" s="565"/>
      <c r="D24" s="566"/>
    </row>
    <row r="25" spans="1:4" ht="30" customHeight="1" x14ac:dyDescent="0.25">
      <c r="A25" s="34">
        <v>22</v>
      </c>
      <c r="B25" s="106">
        <v>0.53402777777777777</v>
      </c>
      <c r="C25" s="565"/>
      <c r="D25" s="566"/>
    </row>
    <row r="26" spans="1:4" ht="30" customHeight="1" x14ac:dyDescent="0.25">
      <c r="A26" s="34">
        <v>23</v>
      </c>
      <c r="B26" s="106">
        <v>0.53402777777777777</v>
      </c>
      <c r="C26" s="565"/>
      <c r="D26" s="566"/>
    </row>
    <row r="27" spans="1:4" ht="30" customHeight="1" x14ac:dyDescent="0.25">
      <c r="A27" s="34">
        <v>24</v>
      </c>
      <c r="B27" s="106">
        <v>0.53472222222222221</v>
      </c>
      <c r="C27" s="565"/>
      <c r="D27" s="566"/>
    </row>
    <row r="28" spans="1:4" ht="30" customHeight="1" x14ac:dyDescent="0.25">
      <c r="A28" s="34">
        <v>25</v>
      </c>
      <c r="B28" s="106">
        <v>0.53541666666666665</v>
      </c>
      <c r="C28" s="565"/>
      <c r="D28" s="566"/>
    </row>
    <row r="29" spans="1:4" ht="30" customHeight="1" x14ac:dyDescent="0.25">
      <c r="A29" s="34">
        <v>28</v>
      </c>
      <c r="B29" s="106">
        <v>0.53611111111111109</v>
      </c>
      <c r="C29" s="565"/>
      <c r="D29" s="566"/>
    </row>
    <row r="30" spans="1:4" ht="30" customHeight="1" x14ac:dyDescent="0.25">
      <c r="A30" s="34">
        <v>1</v>
      </c>
      <c r="B30" s="106">
        <v>0.53749999999999998</v>
      </c>
      <c r="C30" s="565"/>
      <c r="D30" s="566"/>
    </row>
    <row r="31" spans="1:4" ht="30" customHeight="1" x14ac:dyDescent="0.25">
      <c r="A31" s="34">
        <v>26</v>
      </c>
      <c r="B31" s="106">
        <v>0.53819444444444442</v>
      </c>
      <c r="C31" s="565"/>
      <c r="D31" s="566"/>
    </row>
    <row r="32" spans="1:4" ht="30" customHeight="1" x14ac:dyDescent="0.25">
      <c r="A32" s="379"/>
      <c r="B32" s="106"/>
      <c r="C32" s="565"/>
      <c r="D32" s="566"/>
    </row>
    <row r="33" spans="1:4" ht="30" customHeight="1" x14ac:dyDescent="0.25">
      <c r="A33" s="34"/>
      <c r="B33" s="106"/>
      <c r="C33" s="565"/>
      <c r="D33" s="566"/>
    </row>
    <row r="34" spans="1:4" ht="30" customHeight="1" x14ac:dyDescent="0.25">
      <c r="A34" s="34"/>
      <c r="B34" s="106"/>
      <c r="C34" s="565"/>
      <c r="D34" s="566"/>
    </row>
    <row r="35" spans="1:4" ht="30" customHeight="1" x14ac:dyDescent="0.25">
      <c r="A35" s="34"/>
      <c r="B35" s="106"/>
      <c r="C35" s="565"/>
      <c r="D35" s="566"/>
    </row>
    <row r="36" spans="1:4" ht="30" customHeight="1" x14ac:dyDescent="0.25">
      <c r="A36" s="34"/>
      <c r="B36" s="106"/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ortState ref="A10:B55">
    <sortCondition ref="B55"/>
  </sortState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F0"/>
  </sheetPr>
  <dimension ref="A1:K59"/>
  <sheetViews>
    <sheetView view="pageBreakPreview" topLeftCell="A7" zoomScale="85" zoomScaleSheetLayoutView="85" workbookViewId="0">
      <selection activeCell="C36" sqref="C36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102</v>
      </c>
    </row>
    <row r="2" spans="1:11" x14ac:dyDescent="0.25">
      <c r="A2" s="38" t="s">
        <v>45</v>
      </c>
      <c r="B2" s="27" t="s">
        <v>513</v>
      </c>
      <c r="C2" s="41"/>
      <c r="D2" s="42"/>
    </row>
    <row r="3" spans="1:11" ht="20.100000000000001" customHeight="1" x14ac:dyDescent="0.25">
      <c r="A3" s="38" t="s">
        <v>110</v>
      </c>
      <c r="B3" s="36">
        <v>0.51571037906531769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0.56084926795420653</v>
      </c>
      <c r="C4" s="38" t="s">
        <v>105</v>
      </c>
      <c r="D4" s="36"/>
    </row>
    <row r="5" spans="1:11" ht="46.5" x14ac:dyDescent="0.25">
      <c r="A5" s="564" t="s">
        <v>358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92" t="s">
        <v>231</v>
      </c>
      <c r="D8" s="40"/>
    </row>
    <row r="9" spans="1:11" ht="21" x14ac:dyDescent="0.25">
      <c r="A9" s="93" t="s">
        <v>0</v>
      </c>
      <c r="B9" s="94" t="s">
        <v>108</v>
      </c>
      <c r="C9" s="94" t="s">
        <v>127</v>
      </c>
      <c r="D9" s="94" t="s">
        <v>106</v>
      </c>
      <c r="J9" s="30"/>
      <c r="K9" s="31"/>
    </row>
    <row r="10" spans="1:11" ht="30" customHeight="1" x14ac:dyDescent="0.25">
      <c r="A10" s="379" t="s">
        <v>629</v>
      </c>
      <c r="B10" s="106"/>
      <c r="C10" s="106">
        <v>0.51527777777777783</v>
      </c>
      <c r="D10" s="43"/>
    </row>
    <row r="11" spans="1:11" ht="30" customHeight="1" x14ac:dyDescent="0.25">
      <c r="A11" s="34">
        <v>2</v>
      </c>
      <c r="B11" s="106"/>
      <c r="C11" s="106">
        <v>0.52708333333333335</v>
      </c>
      <c r="D11" s="43"/>
    </row>
    <row r="12" spans="1:11" ht="30" customHeight="1" x14ac:dyDescent="0.25">
      <c r="A12" s="34">
        <v>3</v>
      </c>
      <c r="B12" s="106"/>
      <c r="C12" s="106">
        <v>0.52777777777777779</v>
      </c>
      <c r="D12" s="43"/>
    </row>
    <row r="13" spans="1:11" ht="30" customHeight="1" x14ac:dyDescent="0.25">
      <c r="A13" s="34">
        <v>4</v>
      </c>
      <c r="B13" s="106">
        <v>0.53194444444444444</v>
      </c>
      <c r="C13" s="106">
        <v>0.53333333333333333</v>
      </c>
      <c r="D13" s="43"/>
    </row>
    <row r="14" spans="1:11" ht="30" customHeight="1" x14ac:dyDescent="0.25">
      <c r="A14" s="34">
        <v>7</v>
      </c>
      <c r="B14" s="106"/>
      <c r="C14" s="106">
        <v>0.53402777777777777</v>
      </c>
      <c r="D14" s="43"/>
    </row>
    <row r="15" spans="1:11" ht="30" customHeight="1" x14ac:dyDescent="0.25">
      <c r="A15" s="34">
        <v>8</v>
      </c>
      <c r="B15" s="106"/>
      <c r="C15" s="106">
        <v>0.53472222222222221</v>
      </c>
      <c r="D15" s="43"/>
    </row>
    <row r="16" spans="1:11" ht="30" customHeight="1" x14ac:dyDescent="0.25">
      <c r="A16" s="34">
        <v>15</v>
      </c>
      <c r="B16" s="106"/>
      <c r="C16" s="106">
        <v>0.53541666666666665</v>
      </c>
      <c r="D16" s="43"/>
    </row>
    <row r="17" spans="1:4" ht="30" customHeight="1" x14ac:dyDescent="0.25">
      <c r="A17" s="34">
        <v>18</v>
      </c>
      <c r="B17" s="106"/>
      <c r="C17" s="106">
        <v>0.53611111111111109</v>
      </c>
      <c r="D17" s="43"/>
    </row>
    <row r="18" spans="1:4" ht="30" customHeight="1" x14ac:dyDescent="0.25">
      <c r="A18" s="34">
        <v>6</v>
      </c>
      <c r="B18" s="106"/>
      <c r="C18" s="106">
        <v>0.53680555555555554</v>
      </c>
      <c r="D18" s="43"/>
    </row>
    <row r="19" spans="1:4" ht="30" customHeight="1" x14ac:dyDescent="0.25">
      <c r="A19" s="34">
        <v>13</v>
      </c>
      <c r="B19" s="106">
        <v>0.53541666666666665</v>
      </c>
      <c r="C19" s="106">
        <v>0.53749999999999998</v>
      </c>
      <c r="D19" s="43"/>
    </row>
    <row r="20" spans="1:4" ht="30" customHeight="1" x14ac:dyDescent="0.25">
      <c r="A20" s="34">
        <v>10</v>
      </c>
      <c r="B20" s="106">
        <v>0.53611111111111109</v>
      </c>
      <c r="C20" s="106">
        <v>0.53819444444444442</v>
      </c>
      <c r="D20" s="43"/>
    </row>
    <row r="21" spans="1:4" ht="30" customHeight="1" x14ac:dyDescent="0.25">
      <c r="A21" s="34">
        <v>9</v>
      </c>
      <c r="B21" s="573"/>
      <c r="C21" s="106">
        <v>0.54027777777777775</v>
      </c>
      <c r="D21" s="43" t="s">
        <v>691</v>
      </c>
    </row>
    <row r="22" spans="1:4" ht="30" customHeight="1" x14ac:dyDescent="0.25">
      <c r="A22" s="34">
        <v>14</v>
      </c>
      <c r="B22" s="106"/>
      <c r="C22" s="106">
        <v>0.5395833333333333</v>
      </c>
      <c r="D22" s="43" t="s">
        <v>692</v>
      </c>
    </row>
    <row r="23" spans="1:4" ht="30" customHeight="1" x14ac:dyDescent="0.25">
      <c r="A23" s="34">
        <v>20</v>
      </c>
      <c r="B23" s="106"/>
      <c r="C23" s="106">
        <v>0.54097222222222219</v>
      </c>
      <c r="D23" s="43"/>
    </row>
    <row r="24" spans="1:4" ht="30" customHeight="1" x14ac:dyDescent="0.25">
      <c r="A24" s="34">
        <v>19</v>
      </c>
      <c r="B24" s="106">
        <v>0.54027777777777775</v>
      </c>
      <c r="C24" s="106">
        <v>0.54166666666666663</v>
      </c>
      <c r="D24" s="43"/>
    </row>
    <row r="25" spans="1:4" ht="30" customHeight="1" x14ac:dyDescent="0.25">
      <c r="A25" s="34">
        <v>16</v>
      </c>
      <c r="B25" s="106"/>
      <c r="C25" s="106">
        <v>0.54305555555555551</v>
      </c>
      <c r="D25" s="43"/>
    </row>
    <row r="26" spans="1:4" ht="30" customHeight="1" x14ac:dyDescent="0.25">
      <c r="A26" s="34">
        <v>17</v>
      </c>
      <c r="B26" s="106"/>
      <c r="C26" s="106">
        <v>0.54375000000000007</v>
      </c>
      <c r="D26" s="43"/>
    </row>
    <row r="27" spans="1:4" ht="30" customHeight="1" x14ac:dyDescent="0.25">
      <c r="A27" s="34">
        <v>11</v>
      </c>
      <c r="B27" s="106"/>
      <c r="C27" s="106">
        <v>0.54513888888888895</v>
      </c>
      <c r="D27" s="43"/>
    </row>
    <row r="28" spans="1:4" ht="30" customHeight="1" x14ac:dyDescent="0.25">
      <c r="A28" s="34">
        <v>23</v>
      </c>
      <c r="B28" s="106"/>
      <c r="C28" s="106">
        <v>0.54583333333333328</v>
      </c>
      <c r="D28" s="43"/>
    </row>
    <row r="29" spans="1:4" ht="30" customHeight="1" x14ac:dyDescent="0.25">
      <c r="A29" s="34">
        <v>24</v>
      </c>
      <c r="B29" s="106">
        <v>0.54513888888888895</v>
      </c>
      <c r="C29" s="106">
        <v>0.54861111111111105</v>
      </c>
      <c r="D29" s="43"/>
    </row>
    <row r="30" spans="1:4" ht="30" customHeight="1" x14ac:dyDescent="0.25">
      <c r="A30" s="34">
        <v>25</v>
      </c>
      <c r="B30" s="106">
        <v>0.54583333333333328</v>
      </c>
      <c r="C30" s="106">
        <v>0.54722222222222217</v>
      </c>
      <c r="D30" s="43"/>
    </row>
    <row r="31" spans="1:4" ht="30" customHeight="1" x14ac:dyDescent="0.25">
      <c r="A31" s="34">
        <v>28</v>
      </c>
      <c r="B31" s="106">
        <v>0.54513888888888895</v>
      </c>
      <c r="C31" s="106">
        <v>0.54652777777777783</v>
      </c>
      <c r="D31" s="43" t="s">
        <v>692</v>
      </c>
    </row>
    <row r="32" spans="1:4" ht="30" customHeight="1" x14ac:dyDescent="0.25">
      <c r="A32" s="34">
        <v>22</v>
      </c>
      <c r="B32" s="106">
        <v>0.54583333333333328</v>
      </c>
      <c r="C32" s="106">
        <v>0.54791666666666672</v>
      </c>
      <c r="D32" s="43"/>
    </row>
    <row r="33" spans="1:4" ht="30" customHeight="1" x14ac:dyDescent="0.25">
      <c r="A33" s="34">
        <v>1</v>
      </c>
      <c r="B33" s="106">
        <v>0.54791666666666672</v>
      </c>
      <c r="C33" s="106">
        <v>0.54999999999999993</v>
      </c>
      <c r="D33" s="43"/>
    </row>
    <row r="34" spans="1:4" ht="30" customHeight="1" x14ac:dyDescent="0.25">
      <c r="A34" s="34">
        <v>27</v>
      </c>
      <c r="B34" s="106"/>
      <c r="C34" s="106">
        <v>0.5493055555555556</v>
      </c>
      <c r="D34" s="43" t="s">
        <v>692</v>
      </c>
    </row>
    <row r="35" spans="1:4" ht="30" customHeight="1" x14ac:dyDescent="0.25">
      <c r="A35" s="34">
        <v>26</v>
      </c>
      <c r="B35" s="106">
        <v>0.54861111111111105</v>
      </c>
      <c r="C35" s="106">
        <v>0.55069444444444449</v>
      </c>
      <c r="D35" s="43"/>
    </row>
    <row r="36" spans="1:4" ht="30" customHeight="1" x14ac:dyDescent="0.25">
      <c r="A36" s="34">
        <v>5</v>
      </c>
      <c r="B36" s="106"/>
      <c r="C36" s="106">
        <v>0.52986111111111112</v>
      </c>
      <c r="D36" s="43"/>
    </row>
    <row r="37" spans="1:4" ht="30" customHeight="1" x14ac:dyDescent="0.25">
      <c r="A37" s="34"/>
      <c r="B37" s="106"/>
      <c r="C37" s="106"/>
      <c r="D37" s="43"/>
    </row>
    <row r="38" spans="1:4" ht="30" customHeight="1" x14ac:dyDescent="0.25">
      <c r="A38" s="34"/>
      <c r="B38" s="106"/>
      <c r="C38" s="106"/>
      <c r="D38" s="43"/>
    </row>
    <row r="39" spans="1:4" ht="30" customHeight="1" x14ac:dyDescent="0.25">
      <c r="A39" s="34"/>
      <c r="B39" s="106"/>
      <c r="C39" s="106"/>
      <c r="D39" s="43"/>
    </row>
    <row r="40" spans="1:4" ht="30" customHeight="1" x14ac:dyDescent="0.25">
      <c r="A40" s="34"/>
      <c r="B40" s="106"/>
      <c r="C40" s="106"/>
      <c r="D40" s="43"/>
    </row>
    <row r="41" spans="1:4" ht="30" customHeight="1" x14ac:dyDescent="0.25">
      <c r="A41" s="34"/>
      <c r="B41" s="106"/>
      <c r="C41" s="106"/>
      <c r="D41" s="43"/>
    </row>
    <row r="42" spans="1:4" ht="30" customHeight="1" x14ac:dyDescent="0.25">
      <c r="A42" s="34"/>
      <c r="B42" s="106"/>
      <c r="C42" s="106"/>
      <c r="D42" s="43"/>
    </row>
    <row r="43" spans="1:4" ht="30" customHeight="1" x14ac:dyDescent="0.25">
      <c r="A43" s="34"/>
      <c r="B43" s="106"/>
      <c r="C43" s="106"/>
      <c r="D43" s="43"/>
    </row>
    <row r="44" spans="1:4" ht="30" customHeight="1" x14ac:dyDescent="0.25">
      <c r="A44" s="34"/>
      <c r="B44" s="106"/>
      <c r="C44" s="106"/>
      <c r="D44" s="43"/>
    </row>
    <row r="45" spans="1:4" ht="30" customHeight="1" x14ac:dyDescent="0.25">
      <c r="A45" s="34"/>
      <c r="B45" s="106"/>
      <c r="C45" s="106"/>
      <c r="D45" s="43"/>
    </row>
    <row r="46" spans="1:4" ht="30" customHeight="1" x14ac:dyDescent="0.25">
      <c r="A46" s="34"/>
      <c r="B46" s="106"/>
      <c r="C46" s="106"/>
      <c r="D46" s="43"/>
    </row>
    <row r="47" spans="1:4" ht="30" customHeight="1" x14ac:dyDescent="0.25">
      <c r="A47" s="34"/>
      <c r="B47" s="106"/>
      <c r="C47" s="106"/>
      <c r="D47" s="43"/>
    </row>
    <row r="48" spans="1:4" ht="30" customHeight="1" x14ac:dyDescent="0.25">
      <c r="A48" s="34"/>
      <c r="B48" s="106"/>
      <c r="C48" s="106"/>
      <c r="D48" s="43"/>
    </row>
    <row r="49" spans="1:4" ht="30" customHeight="1" x14ac:dyDescent="0.25">
      <c r="A49" s="34"/>
      <c r="B49" s="106"/>
      <c r="C49" s="106"/>
      <c r="D49" s="43"/>
    </row>
    <row r="50" spans="1:4" ht="30" customHeight="1" x14ac:dyDescent="0.25">
      <c r="A50" s="34"/>
      <c r="B50" s="106"/>
      <c r="C50" s="106"/>
      <c r="D50" s="43"/>
    </row>
    <row r="51" spans="1:4" ht="30" customHeight="1" x14ac:dyDescent="0.25">
      <c r="A51" s="34"/>
      <c r="B51" s="106"/>
      <c r="C51" s="106"/>
      <c r="D51" s="43"/>
    </row>
    <row r="52" spans="1:4" ht="30" customHeight="1" x14ac:dyDescent="0.25">
      <c r="A52" s="34"/>
      <c r="B52" s="106"/>
      <c r="C52" s="106"/>
      <c r="D52" s="43"/>
    </row>
    <row r="53" spans="1:4" ht="30" customHeight="1" x14ac:dyDescent="0.25">
      <c r="A53" s="34"/>
      <c r="B53" s="106"/>
      <c r="C53" s="106"/>
      <c r="D53" s="43"/>
    </row>
    <row r="54" spans="1:4" ht="30" customHeight="1" x14ac:dyDescent="0.25">
      <c r="A54" s="34"/>
      <c r="B54" s="106"/>
      <c r="C54" s="106"/>
      <c r="D54" s="43"/>
    </row>
    <row r="55" spans="1:4" ht="30" customHeight="1" x14ac:dyDescent="0.25">
      <c r="A55" s="34"/>
      <c r="B55" s="106"/>
      <c r="C55" s="106"/>
      <c r="D55" s="43"/>
    </row>
    <row r="56" spans="1:4" ht="30" customHeight="1" x14ac:dyDescent="0.25">
      <c r="A56" s="34"/>
      <c r="B56" s="106"/>
      <c r="C56" s="106"/>
      <c r="D56" s="43"/>
    </row>
    <row r="57" spans="1:4" ht="30" customHeight="1" x14ac:dyDescent="0.25">
      <c r="A57" s="34"/>
      <c r="B57" s="106"/>
      <c r="C57" s="106"/>
      <c r="D57" s="43"/>
    </row>
    <row r="58" spans="1:4" ht="30" customHeight="1" x14ac:dyDescent="0.25">
      <c r="A58" s="34"/>
      <c r="B58" s="106"/>
      <c r="C58" s="106"/>
      <c r="D58" s="43"/>
    </row>
    <row r="59" spans="1:4" ht="30" customHeight="1" x14ac:dyDescent="0.25">
      <c r="A59" s="34"/>
      <c r="B59" s="106"/>
      <c r="C59" s="106"/>
      <c r="D59" s="43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F0"/>
  </sheetPr>
  <dimension ref="A1:K59"/>
  <sheetViews>
    <sheetView view="pageBreakPreview" topLeftCell="A4" zoomScale="85" zoomScaleSheetLayoutView="85" workbookViewId="0">
      <selection activeCell="A11" sqref="A1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512</v>
      </c>
      <c r="C2" s="41"/>
      <c r="D2" s="42"/>
    </row>
    <row r="3" spans="1:11" ht="20.100000000000001" customHeight="1" x14ac:dyDescent="0.25">
      <c r="A3" s="38" t="s">
        <v>110</v>
      </c>
      <c r="B3" s="36">
        <v>0.5339381029905278</v>
      </c>
      <c r="C3" s="38" t="s">
        <v>104</v>
      </c>
      <c r="D3" s="36">
        <v>0.51041666666666663</v>
      </c>
    </row>
    <row r="4" spans="1:11" ht="20.100000000000001" customHeight="1" x14ac:dyDescent="0.25">
      <c r="A4" s="38" t="s">
        <v>111</v>
      </c>
      <c r="B4" s="36">
        <v>0.57907699187941664</v>
      </c>
      <c r="C4" s="38" t="s">
        <v>105</v>
      </c>
      <c r="D4" s="36">
        <v>0.57916666666666672</v>
      </c>
    </row>
    <row r="5" spans="1:11" ht="46.5" x14ac:dyDescent="0.25">
      <c r="A5" s="564" t="s">
        <v>366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33">
        <v>0.52923611111111113</v>
      </c>
      <c r="C10" s="571"/>
      <c r="D10" s="572"/>
    </row>
    <row r="11" spans="1:11" ht="30" customHeight="1" x14ac:dyDescent="0.25">
      <c r="A11" s="34">
        <v>3</v>
      </c>
      <c r="B11" s="33">
        <v>0.54026620370370371</v>
      </c>
      <c r="C11" s="571"/>
      <c r="D11" s="572"/>
    </row>
    <row r="12" spans="1:11" ht="30" customHeight="1" x14ac:dyDescent="0.25">
      <c r="A12" s="34">
        <v>5</v>
      </c>
      <c r="B12" s="33">
        <v>0.54224537037037035</v>
      </c>
      <c r="C12" s="571"/>
      <c r="D12" s="572"/>
    </row>
    <row r="13" spans="1:11" ht="30" customHeight="1" x14ac:dyDescent="0.25">
      <c r="A13" s="34">
        <v>15</v>
      </c>
      <c r="B13" s="33">
        <v>0.54475694444444445</v>
      </c>
      <c r="C13" s="571"/>
      <c r="D13" s="572"/>
    </row>
    <row r="14" spans="1:11" ht="30" customHeight="1" x14ac:dyDescent="0.25">
      <c r="A14" s="34">
        <v>4</v>
      </c>
      <c r="B14" s="33">
        <v>0.54592592592592593</v>
      </c>
      <c r="C14" s="571"/>
      <c r="D14" s="572"/>
    </row>
    <row r="15" spans="1:11" ht="30" customHeight="1" x14ac:dyDescent="0.25">
      <c r="A15" s="34">
        <v>18</v>
      </c>
      <c r="B15" s="33">
        <v>0.54666666666666663</v>
      </c>
      <c r="C15" s="571"/>
      <c r="D15" s="572"/>
    </row>
    <row r="16" spans="1:11" ht="30" customHeight="1" x14ac:dyDescent="0.25">
      <c r="A16" s="34">
        <v>8</v>
      </c>
      <c r="B16" s="33">
        <v>0.54734953703703704</v>
      </c>
      <c r="C16" s="571"/>
      <c r="D16" s="572"/>
    </row>
    <row r="17" spans="1:4" ht="30" customHeight="1" x14ac:dyDescent="0.25">
      <c r="A17" s="34">
        <v>7</v>
      </c>
      <c r="B17" s="33">
        <v>0.54736111111111108</v>
      </c>
      <c r="C17" s="571"/>
      <c r="D17" s="572"/>
    </row>
    <row r="18" spans="1:4" ht="30" customHeight="1" x14ac:dyDescent="0.25">
      <c r="A18" s="34">
        <v>6</v>
      </c>
      <c r="B18" s="33">
        <v>0.54951388888888886</v>
      </c>
      <c r="C18" s="571"/>
      <c r="D18" s="572"/>
    </row>
    <row r="19" spans="1:4" ht="30" customHeight="1" x14ac:dyDescent="0.25">
      <c r="A19" s="34">
        <v>13</v>
      </c>
      <c r="B19" s="33">
        <v>0.55159722222222218</v>
      </c>
      <c r="C19" s="571"/>
      <c r="D19" s="572"/>
    </row>
    <row r="20" spans="1:4" ht="30" customHeight="1" x14ac:dyDescent="0.25">
      <c r="A20" s="34">
        <v>14</v>
      </c>
      <c r="B20" s="33">
        <v>0.55207175925925933</v>
      </c>
      <c r="C20" s="571"/>
      <c r="D20" s="572"/>
    </row>
    <row r="21" spans="1:4" ht="30" customHeight="1" x14ac:dyDescent="0.25">
      <c r="A21" s="34">
        <v>20</v>
      </c>
      <c r="B21" s="33">
        <v>0.55333333333333334</v>
      </c>
      <c r="C21" s="571"/>
      <c r="D21" s="572"/>
    </row>
    <row r="22" spans="1:4" ht="30" customHeight="1" x14ac:dyDescent="0.25">
      <c r="A22" s="34">
        <v>9</v>
      </c>
      <c r="B22" s="33">
        <v>0.55342592592592588</v>
      </c>
      <c r="C22" s="571"/>
      <c r="D22" s="572"/>
    </row>
    <row r="23" spans="1:4" ht="30" customHeight="1" x14ac:dyDescent="0.25">
      <c r="A23" s="34">
        <v>16</v>
      </c>
      <c r="B23" s="33">
        <v>0.5549074074074074</v>
      </c>
      <c r="C23" s="571"/>
      <c r="D23" s="572"/>
    </row>
    <row r="24" spans="1:4" ht="30" customHeight="1" x14ac:dyDescent="0.25">
      <c r="A24" s="34">
        <v>17</v>
      </c>
      <c r="B24" s="33">
        <v>0.55494212962962963</v>
      </c>
      <c r="C24" s="571"/>
      <c r="D24" s="572"/>
    </row>
    <row r="25" spans="1:4" ht="30" customHeight="1" x14ac:dyDescent="0.25">
      <c r="A25" s="34">
        <v>10</v>
      </c>
      <c r="B25" s="33">
        <v>0.55511574074074077</v>
      </c>
      <c r="C25" s="571"/>
      <c r="D25" s="572"/>
    </row>
    <row r="26" spans="1:4" ht="30" customHeight="1" x14ac:dyDescent="0.25">
      <c r="A26" s="34">
        <v>19</v>
      </c>
      <c r="B26" s="33">
        <v>0.55563657407407407</v>
      </c>
      <c r="C26" s="571"/>
      <c r="D26" s="572"/>
    </row>
    <row r="27" spans="1:4" ht="30" customHeight="1" x14ac:dyDescent="0.25">
      <c r="A27" s="34">
        <v>11</v>
      </c>
      <c r="B27" s="33">
        <v>0.55744212962962958</v>
      </c>
      <c r="C27" s="571"/>
      <c r="D27" s="572"/>
    </row>
    <row r="28" spans="1:4" ht="30" customHeight="1" x14ac:dyDescent="0.25">
      <c r="A28" s="34">
        <v>23</v>
      </c>
      <c r="B28" s="33">
        <v>0.55862268518518521</v>
      </c>
      <c r="C28" s="571"/>
      <c r="D28" s="572"/>
    </row>
    <row r="29" spans="1:4" ht="30" customHeight="1" x14ac:dyDescent="0.25">
      <c r="A29" s="34">
        <v>28</v>
      </c>
      <c r="B29" s="33">
        <v>0.55914351851851851</v>
      </c>
      <c r="C29" s="571" t="s">
        <v>694</v>
      </c>
      <c r="D29" s="572"/>
    </row>
    <row r="30" spans="1:4" ht="30" customHeight="1" x14ac:dyDescent="0.25">
      <c r="A30" s="34">
        <v>25</v>
      </c>
      <c r="B30" s="33">
        <v>0.55918981481481478</v>
      </c>
      <c r="C30" s="571" t="s">
        <v>695</v>
      </c>
      <c r="D30" s="572"/>
    </row>
    <row r="31" spans="1:4" ht="30" customHeight="1" x14ac:dyDescent="0.25">
      <c r="A31" s="34">
        <v>22</v>
      </c>
      <c r="B31" s="33">
        <v>0.56027777777777776</v>
      </c>
      <c r="C31" s="571"/>
      <c r="D31" s="572"/>
    </row>
    <row r="32" spans="1:4" ht="30" customHeight="1" x14ac:dyDescent="0.25">
      <c r="A32" s="34">
        <v>24</v>
      </c>
      <c r="B32" s="33">
        <v>0.5611342592592593</v>
      </c>
      <c r="C32" s="571"/>
      <c r="D32" s="572"/>
    </row>
    <row r="33" spans="1:4" ht="30" customHeight="1" x14ac:dyDescent="0.25">
      <c r="A33" s="34">
        <v>26</v>
      </c>
      <c r="B33" s="33">
        <v>0.56172453703703706</v>
      </c>
      <c r="C33" s="571"/>
      <c r="D33" s="572"/>
    </row>
    <row r="34" spans="1:4" ht="30" customHeight="1" x14ac:dyDescent="0.25">
      <c r="A34" s="34">
        <v>27</v>
      </c>
      <c r="B34" s="33">
        <v>0.56201388888888892</v>
      </c>
      <c r="C34" s="571"/>
      <c r="D34" s="572"/>
    </row>
    <row r="35" spans="1:4" ht="30" customHeight="1" x14ac:dyDescent="0.25">
      <c r="A35" s="34">
        <v>1</v>
      </c>
      <c r="B35" s="33">
        <v>0.56440972222222219</v>
      </c>
      <c r="C35" s="571"/>
      <c r="D35" s="572"/>
    </row>
    <row r="36" spans="1:4" ht="30" customHeight="1" x14ac:dyDescent="0.25">
      <c r="A36" s="34"/>
      <c r="B36" s="33"/>
      <c r="C36" s="571"/>
      <c r="D36" s="572"/>
    </row>
    <row r="37" spans="1:4" ht="30" customHeight="1" x14ac:dyDescent="0.25">
      <c r="A37" s="34"/>
      <c r="B37" s="33"/>
      <c r="C37" s="571"/>
      <c r="D37" s="572"/>
    </row>
    <row r="38" spans="1:4" ht="30" customHeight="1" x14ac:dyDescent="0.25">
      <c r="A38" s="34"/>
      <c r="B38" s="33"/>
      <c r="C38" s="571"/>
      <c r="D38" s="572"/>
    </row>
    <row r="39" spans="1:4" ht="30" customHeight="1" x14ac:dyDescent="0.25">
      <c r="A39" s="34"/>
      <c r="B39" s="33"/>
      <c r="C39" s="571"/>
      <c r="D39" s="572"/>
    </row>
    <row r="40" spans="1:4" ht="30" customHeight="1" x14ac:dyDescent="0.25">
      <c r="A40" s="34"/>
      <c r="B40" s="33"/>
      <c r="C40" s="571"/>
      <c r="D40" s="572"/>
    </row>
    <row r="41" spans="1:4" ht="30" customHeight="1" x14ac:dyDescent="0.25">
      <c r="A41" s="34"/>
      <c r="B41" s="33"/>
      <c r="C41" s="571"/>
      <c r="D41" s="572"/>
    </row>
    <row r="42" spans="1:4" ht="30" customHeight="1" x14ac:dyDescent="0.25">
      <c r="A42" s="34"/>
      <c r="B42" s="33"/>
      <c r="C42" s="571"/>
      <c r="D42" s="572"/>
    </row>
    <row r="43" spans="1:4" ht="30" customHeight="1" x14ac:dyDescent="0.25">
      <c r="A43" s="34"/>
      <c r="B43" s="33"/>
      <c r="C43" s="571"/>
      <c r="D43" s="572"/>
    </row>
    <row r="44" spans="1:4" ht="30" customHeight="1" x14ac:dyDescent="0.25">
      <c r="A44" s="34"/>
      <c r="B44" s="33"/>
      <c r="C44" s="571"/>
      <c r="D44" s="572"/>
    </row>
    <row r="45" spans="1:4" ht="30" customHeight="1" x14ac:dyDescent="0.25">
      <c r="A45" s="34"/>
      <c r="B45" s="33"/>
      <c r="C45" s="571"/>
      <c r="D45" s="572"/>
    </row>
    <row r="46" spans="1:4" ht="30" customHeight="1" x14ac:dyDescent="0.25">
      <c r="A46" s="34"/>
      <c r="B46" s="33"/>
      <c r="C46" s="571"/>
      <c r="D46" s="572"/>
    </row>
    <row r="47" spans="1:4" ht="30" customHeight="1" x14ac:dyDescent="0.25">
      <c r="A47" s="34"/>
      <c r="B47" s="33"/>
      <c r="C47" s="571"/>
      <c r="D47" s="572"/>
    </row>
    <row r="48" spans="1:4" ht="30" customHeight="1" x14ac:dyDescent="0.25">
      <c r="A48" s="34"/>
      <c r="B48" s="33"/>
      <c r="C48" s="571"/>
      <c r="D48" s="572"/>
    </row>
    <row r="49" spans="1:4" ht="30" customHeight="1" x14ac:dyDescent="0.25">
      <c r="A49" s="34"/>
      <c r="B49" s="33"/>
      <c r="C49" s="571"/>
      <c r="D49" s="572"/>
    </row>
    <row r="50" spans="1:4" ht="30" customHeight="1" x14ac:dyDescent="0.25">
      <c r="A50" s="34"/>
      <c r="B50" s="33"/>
      <c r="C50" s="571"/>
      <c r="D50" s="572"/>
    </row>
    <row r="51" spans="1:4" ht="30" customHeight="1" x14ac:dyDescent="0.25">
      <c r="A51" s="34"/>
      <c r="B51" s="33"/>
      <c r="C51" s="571"/>
      <c r="D51" s="572"/>
    </row>
    <row r="52" spans="1:4" ht="30" customHeight="1" x14ac:dyDescent="0.25">
      <c r="A52" s="34"/>
      <c r="B52" s="33"/>
      <c r="C52" s="571"/>
      <c r="D52" s="572"/>
    </row>
    <row r="53" spans="1:4" ht="30" customHeight="1" x14ac:dyDescent="0.25">
      <c r="A53" s="34"/>
      <c r="B53" s="33"/>
      <c r="C53" s="571"/>
      <c r="D53" s="572"/>
    </row>
    <row r="54" spans="1:4" ht="30" customHeight="1" x14ac:dyDescent="0.25">
      <c r="A54" s="34"/>
      <c r="B54" s="33"/>
      <c r="C54" s="571"/>
      <c r="D54" s="572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F0"/>
  </sheetPr>
  <dimension ref="A1:K59"/>
  <sheetViews>
    <sheetView view="pageBreakPreview" topLeftCell="A23" zoomScale="85" zoomScaleSheetLayoutView="85" workbookViewId="0">
      <selection activeCell="A32" sqref="A32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533</v>
      </c>
      <c r="C2" s="41"/>
      <c r="D2" s="42"/>
    </row>
    <row r="3" spans="1:11" ht="20.100000000000001" customHeight="1" x14ac:dyDescent="0.25">
      <c r="A3" s="38" t="s">
        <v>110</v>
      </c>
      <c r="B3" s="36">
        <v>0.53791002256206855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0.58304891145095739</v>
      </c>
      <c r="C4" s="38" t="s">
        <v>105</v>
      </c>
      <c r="D4" s="36"/>
    </row>
    <row r="5" spans="1:11" ht="46.5" x14ac:dyDescent="0.25">
      <c r="A5" s="564" t="s">
        <v>271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33">
        <v>0.53263888888888888</v>
      </c>
      <c r="C10" s="571"/>
      <c r="D10" s="572"/>
    </row>
    <row r="11" spans="1:11" ht="30" customHeight="1" x14ac:dyDescent="0.25">
      <c r="A11" s="34">
        <v>2</v>
      </c>
      <c r="B11" s="33">
        <v>0.54322916666666665</v>
      </c>
      <c r="C11" s="571"/>
      <c r="D11" s="572"/>
    </row>
    <row r="12" spans="1:11" ht="30" customHeight="1" x14ac:dyDescent="0.25">
      <c r="A12" s="34">
        <v>3</v>
      </c>
      <c r="B12" s="33">
        <v>0.54553240740740738</v>
      </c>
      <c r="C12" s="571"/>
      <c r="D12" s="572"/>
    </row>
    <row r="13" spans="1:11" ht="30" customHeight="1" x14ac:dyDescent="0.25">
      <c r="A13" s="34">
        <v>5</v>
      </c>
      <c r="B13" s="33">
        <v>0.54583333333333328</v>
      </c>
      <c r="C13" s="571"/>
      <c r="D13" s="572"/>
    </row>
    <row r="14" spans="1:11" ht="30" customHeight="1" x14ac:dyDescent="0.25">
      <c r="A14" s="34">
        <v>15</v>
      </c>
      <c r="B14" s="33">
        <v>0.54775462962962962</v>
      </c>
      <c r="C14" s="571"/>
      <c r="D14" s="572"/>
    </row>
    <row r="15" spans="1:11" ht="30" customHeight="1" x14ac:dyDescent="0.25">
      <c r="A15" s="34">
        <v>4</v>
      </c>
      <c r="B15" s="33">
        <v>0.54953703703703705</v>
      </c>
      <c r="C15" s="571"/>
      <c r="D15" s="572"/>
    </row>
    <row r="16" spans="1:11" ht="30" customHeight="1" x14ac:dyDescent="0.25">
      <c r="A16" s="34">
        <v>7</v>
      </c>
      <c r="B16" s="33">
        <v>0.55094907407407401</v>
      </c>
      <c r="C16" s="571"/>
      <c r="D16" s="572"/>
    </row>
    <row r="17" spans="1:4" ht="30" customHeight="1" x14ac:dyDescent="0.25">
      <c r="A17" s="34">
        <v>8</v>
      </c>
      <c r="B17" s="33">
        <v>0.55156250000000007</v>
      </c>
      <c r="C17" s="571"/>
      <c r="D17" s="572"/>
    </row>
    <row r="18" spans="1:4" ht="30" customHeight="1" x14ac:dyDescent="0.25">
      <c r="A18" s="34">
        <v>18</v>
      </c>
      <c r="B18" s="33">
        <v>0.5529398148148148</v>
      </c>
      <c r="C18" s="571"/>
      <c r="D18" s="572"/>
    </row>
    <row r="19" spans="1:4" ht="30" customHeight="1" x14ac:dyDescent="0.25">
      <c r="A19" s="34">
        <v>6</v>
      </c>
      <c r="B19" s="33">
        <v>0.55306712962962956</v>
      </c>
      <c r="C19" s="571"/>
      <c r="D19" s="572"/>
    </row>
    <row r="20" spans="1:4" ht="30" customHeight="1" x14ac:dyDescent="0.25">
      <c r="A20" s="34">
        <v>13</v>
      </c>
      <c r="B20" s="33">
        <v>0.55568287037037034</v>
      </c>
      <c r="C20" s="571"/>
      <c r="D20" s="572"/>
    </row>
    <row r="21" spans="1:4" ht="30" customHeight="1" x14ac:dyDescent="0.25">
      <c r="A21" s="34">
        <v>14</v>
      </c>
      <c r="B21" s="33">
        <v>0.55613425925925919</v>
      </c>
      <c r="C21" s="571"/>
      <c r="D21" s="572"/>
    </row>
    <row r="22" spans="1:4" ht="30" customHeight="1" x14ac:dyDescent="0.25">
      <c r="A22" s="34">
        <v>20</v>
      </c>
      <c r="B22" s="33">
        <v>0.55692129629629628</v>
      </c>
      <c r="C22" s="571"/>
      <c r="D22" s="572"/>
    </row>
    <row r="23" spans="1:4" ht="30" customHeight="1" x14ac:dyDescent="0.25">
      <c r="A23" s="34">
        <v>9</v>
      </c>
      <c r="B23" s="33">
        <v>0.55716435185185187</v>
      </c>
      <c r="C23" s="571"/>
      <c r="D23" s="572"/>
    </row>
    <row r="24" spans="1:4" ht="30" customHeight="1" x14ac:dyDescent="0.25">
      <c r="A24" s="34">
        <v>16</v>
      </c>
      <c r="B24" s="33">
        <v>0.55960648148148151</v>
      </c>
      <c r="C24" s="571" t="s">
        <v>696</v>
      </c>
      <c r="D24" s="572"/>
    </row>
    <row r="25" spans="1:4" ht="30" customHeight="1" x14ac:dyDescent="0.25">
      <c r="A25" s="34">
        <v>17</v>
      </c>
      <c r="B25" s="33">
        <v>0.55966435185185182</v>
      </c>
      <c r="C25" s="571"/>
      <c r="D25" s="572"/>
    </row>
    <row r="26" spans="1:4" ht="30" customHeight="1" x14ac:dyDescent="0.25">
      <c r="A26" s="34">
        <v>19</v>
      </c>
      <c r="B26" s="33">
        <v>0.56123842592592588</v>
      </c>
      <c r="C26" s="571"/>
      <c r="D26" s="572"/>
    </row>
    <row r="27" spans="1:4" ht="30" customHeight="1" x14ac:dyDescent="0.25">
      <c r="A27" s="34">
        <v>11</v>
      </c>
      <c r="B27" s="33">
        <v>0.56159722222222219</v>
      </c>
      <c r="C27" s="571"/>
      <c r="D27" s="572"/>
    </row>
    <row r="28" spans="1:4" ht="30" customHeight="1" x14ac:dyDescent="0.25">
      <c r="A28" s="34">
        <v>28</v>
      </c>
      <c r="B28" s="33">
        <v>0.56178240740740737</v>
      </c>
      <c r="C28" s="571"/>
      <c r="D28" s="572"/>
    </row>
    <row r="29" spans="1:4" ht="30" customHeight="1" x14ac:dyDescent="0.25">
      <c r="A29" s="34">
        <v>23</v>
      </c>
      <c r="B29" s="33">
        <v>0.56284722222222217</v>
      </c>
      <c r="C29" s="571"/>
      <c r="D29" s="572"/>
    </row>
    <row r="30" spans="1:4" ht="30" customHeight="1" x14ac:dyDescent="0.25">
      <c r="A30" s="34">
        <v>25</v>
      </c>
      <c r="B30" s="33">
        <v>0.56412037037037044</v>
      </c>
      <c r="C30" s="571" t="s">
        <v>696</v>
      </c>
      <c r="D30" s="572"/>
    </row>
    <row r="31" spans="1:4" ht="30" customHeight="1" x14ac:dyDescent="0.25">
      <c r="A31" s="34">
        <v>22</v>
      </c>
      <c r="B31" s="33">
        <v>0.56431712962962965</v>
      </c>
      <c r="C31" s="571"/>
      <c r="D31" s="572"/>
    </row>
    <row r="32" spans="1:4" ht="30" customHeight="1" x14ac:dyDescent="0.25">
      <c r="A32" s="34">
        <v>24</v>
      </c>
      <c r="B32" s="33">
        <v>0.56473379629629628</v>
      </c>
      <c r="C32" s="571"/>
      <c r="D32" s="572"/>
    </row>
    <row r="33" spans="1:4" ht="30" customHeight="1" x14ac:dyDescent="0.25">
      <c r="A33" s="34">
        <v>27</v>
      </c>
      <c r="B33" s="33">
        <v>0.5667592592592593</v>
      </c>
      <c r="C33" s="571"/>
      <c r="D33" s="572"/>
    </row>
    <row r="34" spans="1:4" ht="30" customHeight="1" x14ac:dyDescent="0.25">
      <c r="A34" s="34">
        <v>26</v>
      </c>
      <c r="B34" s="33">
        <v>0.56716435185185188</v>
      </c>
      <c r="C34" s="571"/>
      <c r="D34" s="572"/>
    </row>
    <row r="35" spans="1:4" ht="30" customHeight="1" x14ac:dyDescent="0.25">
      <c r="A35" s="34">
        <v>1</v>
      </c>
      <c r="B35" s="33">
        <v>0.5680439814814815</v>
      </c>
      <c r="C35" s="571"/>
      <c r="D35" s="572"/>
    </row>
    <row r="36" spans="1:4" ht="30" customHeight="1" x14ac:dyDescent="0.25">
      <c r="A36" s="34">
        <v>10</v>
      </c>
      <c r="B36" s="33">
        <v>0.57511574074074068</v>
      </c>
      <c r="C36" s="571" t="s">
        <v>697</v>
      </c>
      <c r="D36" s="572"/>
    </row>
    <row r="37" spans="1:4" ht="30" customHeight="1" x14ac:dyDescent="0.25">
      <c r="A37" s="34"/>
      <c r="B37" s="33"/>
      <c r="C37" s="571"/>
      <c r="D37" s="572"/>
    </row>
    <row r="38" spans="1:4" ht="30" customHeight="1" x14ac:dyDescent="0.25">
      <c r="A38" s="34"/>
      <c r="B38" s="33"/>
      <c r="C38" s="571"/>
      <c r="D38" s="572"/>
    </row>
    <row r="39" spans="1:4" ht="30" customHeight="1" x14ac:dyDescent="0.25">
      <c r="A39" s="34"/>
      <c r="B39" s="33"/>
      <c r="C39" s="571"/>
      <c r="D39" s="572"/>
    </row>
    <row r="40" spans="1:4" ht="30" customHeight="1" x14ac:dyDescent="0.25">
      <c r="A40" s="34"/>
      <c r="B40" s="33"/>
      <c r="C40" s="571"/>
      <c r="D40" s="572"/>
    </row>
    <row r="41" spans="1:4" ht="30" customHeight="1" x14ac:dyDescent="0.25">
      <c r="A41" s="34"/>
      <c r="B41" s="33"/>
      <c r="C41" s="571"/>
      <c r="D41" s="572"/>
    </row>
    <row r="42" spans="1:4" ht="30" customHeight="1" x14ac:dyDescent="0.25">
      <c r="A42" s="34"/>
      <c r="B42" s="33"/>
      <c r="C42" s="571"/>
      <c r="D42" s="572"/>
    </row>
    <row r="43" spans="1:4" ht="30" customHeight="1" x14ac:dyDescent="0.25">
      <c r="A43" s="34"/>
      <c r="B43" s="33"/>
      <c r="C43" s="571"/>
      <c r="D43" s="572"/>
    </row>
    <row r="44" spans="1:4" ht="30" customHeight="1" x14ac:dyDescent="0.25">
      <c r="A44" s="34"/>
      <c r="B44" s="33"/>
      <c r="C44" s="571"/>
      <c r="D44" s="572"/>
    </row>
    <row r="45" spans="1:4" ht="30" customHeight="1" x14ac:dyDescent="0.25">
      <c r="A45" s="34"/>
      <c r="B45" s="33"/>
      <c r="C45" s="571"/>
      <c r="D45" s="572"/>
    </row>
    <row r="46" spans="1:4" ht="30" customHeight="1" x14ac:dyDescent="0.25">
      <c r="A46" s="34"/>
      <c r="B46" s="33"/>
      <c r="C46" s="571"/>
      <c r="D46" s="572"/>
    </row>
    <row r="47" spans="1:4" ht="30" customHeight="1" x14ac:dyDescent="0.25">
      <c r="A47" s="34"/>
      <c r="B47" s="33"/>
      <c r="C47" s="571"/>
      <c r="D47" s="572"/>
    </row>
    <row r="48" spans="1:4" ht="30" customHeight="1" x14ac:dyDescent="0.25">
      <c r="A48" s="34"/>
      <c r="B48" s="33"/>
      <c r="C48" s="571"/>
      <c r="D48" s="572"/>
    </row>
    <row r="49" spans="1:4" ht="30" customHeight="1" x14ac:dyDescent="0.25">
      <c r="A49" s="34"/>
      <c r="B49" s="33"/>
      <c r="C49" s="571"/>
      <c r="D49" s="572"/>
    </row>
    <row r="50" spans="1:4" ht="30" customHeight="1" x14ac:dyDescent="0.25">
      <c r="A50" s="34"/>
      <c r="B50" s="33"/>
      <c r="C50" s="571"/>
      <c r="D50" s="572"/>
    </row>
    <row r="51" spans="1:4" ht="30" customHeight="1" x14ac:dyDescent="0.25">
      <c r="A51" s="34"/>
      <c r="B51" s="33"/>
      <c r="C51" s="571"/>
      <c r="D51" s="572"/>
    </row>
    <row r="52" spans="1:4" ht="30" customHeight="1" x14ac:dyDescent="0.25">
      <c r="A52" s="34"/>
      <c r="B52" s="33"/>
      <c r="C52" s="571"/>
      <c r="D52" s="572"/>
    </row>
    <row r="53" spans="1:4" ht="30" customHeight="1" x14ac:dyDescent="0.25">
      <c r="A53" s="34"/>
      <c r="B53" s="33"/>
      <c r="C53" s="571"/>
      <c r="D53" s="572"/>
    </row>
    <row r="54" spans="1:4" ht="30" customHeight="1" x14ac:dyDescent="0.25">
      <c r="A54" s="34"/>
      <c r="B54" s="33"/>
      <c r="C54" s="571"/>
      <c r="D54" s="572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F0"/>
  </sheetPr>
  <dimension ref="A1:K59"/>
  <sheetViews>
    <sheetView view="pageBreakPreview" topLeftCell="A22" zoomScale="85" zoomScaleSheetLayoutView="85" workbookViewId="0">
      <selection activeCell="A23" sqref="A23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514</v>
      </c>
      <c r="C2" s="41"/>
      <c r="D2" s="42"/>
    </row>
    <row r="3" spans="1:11" ht="20.100000000000001" customHeight="1" x14ac:dyDescent="0.25">
      <c r="A3" s="38" t="s">
        <v>110</v>
      </c>
      <c r="B3" s="36">
        <v>0.55484456337096311</v>
      </c>
      <c r="C3" s="38" t="s">
        <v>104</v>
      </c>
      <c r="D3" s="36">
        <v>0.5541666666666667</v>
      </c>
    </row>
    <row r="4" spans="1:11" ht="20.100000000000001" customHeight="1" x14ac:dyDescent="0.25">
      <c r="A4" s="38" t="s">
        <v>111</v>
      </c>
      <c r="B4" s="36">
        <v>0.59998345225985195</v>
      </c>
      <c r="C4" s="38" t="s">
        <v>105</v>
      </c>
      <c r="D4" s="36">
        <v>0.59930555555555554</v>
      </c>
    </row>
    <row r="5" spans="1:11" ht="46.5" x14ac:dyDescent="0.25">
      <c r="A5" s="564" t="s">
        <v>511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0.55486111111111114</v>
      </c>
      <c r="C10" s="565"/>
      <c r="D10" s="566"/>
    </row>
    <row r="11" spans="1:11" ht="30" customHeight="1" x14ac:dyDescent="0.25">
      <c r="A11" s="34">
        <v>5</v>
      </c>
      <c r="B11" s="106">
        <v>0.56736111111111109</v>
      </c>
      <c r="C11" s="565"/>
      <c r="D11" s="566"/>
    </row>
    <row r="12" spans="1:11" ht="30" customHeight="1" x14ac:dyDescent="0.25">
      <c r="A12" s="34">
        <v>3</v>
      </c>
      <c r="B12" s="106">
        <v>0.56874999999999998</v>
      </c>
      <c r="C12" s="565"/>
      <c r="D12" s="566"/>
    </row>
    <row r="13" spans="1:11" ht="30" customHeight="1" x14ac:dyDescent="0.25">
      <c r="A13" s="34">
        <v>8</v>
      </c>
      <c r="B13" s="106">
        <v>0.57222222222222219</v>
      </c>
      <c r="C13" s="565"/>
      <c r="D13" s="566"/>
    </row>
    <row r="14" spans="1:11" ht="30" customHeight="1" x14ac:dyDescent="0.25">
      <c r="A14" s="34">
        <v>4</v>
      </c>
      <c r="B14" s="106">
        <v>0.57222222222222219</v>
      </c>
      <c r="C14" s="565"/>
      <c r="D14" s="566"/>
    </row>
    <row r="15" spans="1:11" ht="30" customHeight="1" x14ac:dyDescent="0.25">
      <c r="A15" s="34">
        <v>7</v>
      </c>
      <c r="B15" s="106">
        <v>0.57430555555555551</v>
      </c>
      <c r="C15" s="565"/>
      <c r="D15" s="566"/>
    </row>
    <row r="16" spans="1:11" ht="30" customHeight="1" x14ac:dyDescent="0.25">
      <c r="A16" s="34">
        <v>6</v>
      </c>
      <c r="B16" s="106">
        <v>0.57430555555555551</v>
      </c>
      <c r="C16" s="565"/>
      <c r="D16" s="566"/>
    </row>
    <row r="17" spans="1:4" ht="30" customHeight="1" x14ac:dyDescent="0.25">
      <c r="A17" s="34">
        <v>14</v>
      </c>
      <c r="B17" s="106">
        <v>0.57638888888888895</v>
      </c>
      <c r="C17" s="565"/>
      <c r="D17" s="566"/>
    </row>
    <row r="18" spans="1:4" ht="30" customHeight="1" x14ac:dyDescent="0.25">
      <c r="A18" s="34">
        <v>20</v>
      </c>
      <c r="B18" s="106">
        <v>0.57708333333333328</v>
      </c>
      <c r="C18" s="565"/>
      <c r="D18" s="566"/>
    </row>
    <row r="19" spans="1:4" ht="30" customHeight="1" x14ac:dyDescent="0.25">
      <c r="A19" s="34">
        <v>9</v>
      </c>
      <c r="B19" s="106">
        <v>0.57847222222222217</v>
      </c>
      <c r="C19" s="565"/>
      <c r="D19" s="566"/>
    </row>
    <row r="20" spans="1:4" ht="30" customHeight="1" x14ac:dyDescent="0.25">
      <c r="A20" s="34">
        <v>19</v>
      </c>
      <c r="B20" s="106">
        <v>0.58124999999999993</v>
      </c>
      <c r="C20" s="565"/>
      <c r="D20" s="566"/>
    </row>
    <row r="21" spans="1:4" ht="30" customHeight="1" x14ac:dyDescent="0.25">
      <c r="A21" s="34">
        <v>18</v>
      </c>
      <c r="B21" s="106">
        <v>0.58194444444444449</v>
      </c>
      <c r="C21" s="565"/>
      <c r="D21" s="566"/>
    </row>
    <row r="22" spans="1:4" ht="30" customHeight="1" x14ac:dyDescent="0.25">
      <c r="A22" s="34">
        <v>11</v>
      </c>
      <c r="B22" s="106">
        <v>0.58194444444444449</v>
      </c>
      <c r="C22" s="565"/>
      <c r="D22" s="566"/>
    </row>
    <row r="23" spans="1:4" ht="30" customHeight="1" x14ac:dyDescent="0.25">
      <c r="A23" s="34">
        <v>28</v>
      </c>
      <c r="B23" s="106">
        <v>0.58263888888888882</v>
      </c>
      <c r="C23" s="565"/>
      <c r="D23" s="566"/>
    </row>
    <row r="24" spans="1:4" ht="30" customHeight="1" x14ac:dyDescent="0.25">
      <c r="A24" s="34">
        <v>13</v>
      </c>
      <c r="B24" s="106">
        <v>0.58263888888888882</v>
      </c>
      <c r="C24" s="565"/>
      <c r="D24" s="566"/>
    </row>
    <row r="25" spans="1:4" ht="30" customHeight="1" x14ac:dyDescent="0.25">
      <c r="A25" s="34">
        <v>25</v>
      </c>
      <c r="B25" s="106">
        <v>0.5854166666666667</v>
      </c>
      <c r="C25" s="565"/>
      <c r="D25" s="566"/>
    </row>
    <row r="26" spans="1:4" ht="30" customHeight="1" x14ac:dyDescent="0.25">
      <c r="A26" s="34">
        <v>22</v>
      </c>
      <c r="B26" s="106">
        <v>0.5854166666666667</v>
      </c>
      <c r="C26" s="565"/>
      <c r="D26" s="566"/>
    </row>
    <row r="27" spans="1:4" ht="30" customHeight="1" x14ac:dyDescent="0.25">
      <c r="A27" s="34">
        <v>23</v>
      </c>
      <c r="B27" s="106">
        <v>0.58611111111111114</v>
      </c>
      <c r="C27" s="565"/>
      <c r="D27" s="566"/>
    </row>
    <row r="28" spans="1:4" ht="30" customHeight="1" x14ac:dyDescent="0.25">
      <c r="A28" s="34">
        <v>24</v>
      </c>
      <c r="B28" s="106">
        <v>0.58680555555555558</v>
      </c>
      <c r="C28" s="565"/>
      <c r="D28" s="566"/>
    </row>
    <row r="29" spans="1:4" ht="30" customHeight="1" x14ac:dyDescent="0.25">
      <c r="A29" s="34">
        <v>16</v>
      </c>
      <c r="B29" s="106">
        <v>0.58819444444444446</v>
      </c>
      <c r="C29" s="565"/>
      <c r="D29" s="566"/>
    </row>
    <row r="30" spans="1:4" ht="30" customHeight="1" x14ac:dyDescent="0.25">
      <c r="A30" s="34">
        <v>27</v>
      </c>
      <c r="B30" s="106">
        <v>0.58819444444444446</v>
      </c>
      <c r="C30" s="565"/>
      <c r="D30" s="566"/>
    </row>
    <row r="31" spans="1:4" ht="30" customHeight="1" x14ac:dyDescent="0.25">
      <c r="A31" s="34">
        <v>17</v>
      </c>
      <c r="B31" s="106">
        <v>0.58819444444444446</v>
      </c>
      <c r="C31" s="565"/>
      <c r="D31" s="566"/>
    </row>
    <row r="32" spans="1:4" ht="30" customHeight="1" x14ac:dyDescent="0.25">
      <c r="A32" s="34">
        <v>26</v>
      </c>
      <c r="B32" s="106">
        <v>0.58888888888888891</v>
      </c>
      <c r="C32" s="565"/>
      <c r="D32" s="566"/>
    </row>
    <row r="33" spans="1:4" ht="30" customHeight="1" x14ac:dyDescent="0.25">
      <c r="A33" s="34">
        <v>1</v>
      </c>
      <c r="B33" s="106">
        <v>0.59166666666666667</v>
      </c>
      <c r="C33" s="565"/>
      <c r="D33" s="566"/>
    </row>
    <row r="34" spans="1:4" ht="30" customHeight="1" x14ac:dyDescent="0.25">
      <c r="A34" s="34"/>
      <c r="B34" s="106"/>
      <c r="C34" s="565"/>
      <c r="D34" s="566"/>
    </row>
    <row r="35" spans="1:4" ht="30" customHeight="1" x14ac:dyDescent="0.25">
      <c r="A35" s="34"/>
      <c r="B35" s="106"/>
      <c r="C35" s="565"/>
      <c r="D35" s="566"/>
    </row>
    <row r="36" spans="1:4" ht="30" customHeight="1" x14ac:dyDescent="0.25">
      <c r="A36" s="34"/>
      <c r="B36" s="106"/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F0"/>
  </sheetPr>
  <dimension ref="A1:K59"/>
  <sheetViews>
    <sheetView view="pageBreakPreview" zoomScale="85" zoomScaleSheetLayoutView="85" workbookViewId="0">
      <selection activeCell="B3" sqref="B3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515</v>
      </c>
      <c r="C2" s="41"/>
      <c r="D2" s="42"/>
    </row>
    <row r="3" spans="1:11" ht="20.100000000000001" customHeight="1" x14ac:dyDescent="0.25">
      <c r="A3" s="38" t="s">
        <v>110</v>
      </c>
      <c r="B3" s="36">
        <v>0.57217937514443151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0.61731826403332035</v>
      </c>
      <c r="C4" s="38" t="s">
        <v>105</v>
      </c>
      <c r="D4" s="36"/>
    </row>
    <row r="5" spans="1:11" ht="46.5" x14ac:dyDescent="0.25">
      <c r="A5" s="564" t="s">
        <v>377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0.56388888888888888</v>
      </c>
      <c r="C10" s="565"/>
      <c r="D10" s="566"/>
    </row>
    <row r="11" spans="1:11" ht="30" customHeight="1" x14ac:dyDescent="0.25">
      <c r="A11" s="34">
        <v>2</v>
      </c>
      <c r="B11" s="106">
        <v>0.5756944444444444</v>
      </c>
      <c r="C11" s="565"/>
      <c r="D11" s="566"/>
    </row>
    <row r="12" spans="1:11" ht="30" customHeight="1" x14ac:dyDescent="0.25">
      <c r="A12" s="34">
        <v>4</v>
      </c>
      <c r="B12" s="106">
        <v>0.57986111111111105</v>
      </c>
      <c r="C12" s="565"/>
      <c r="D12" s="566"/>
    </row>
    <row r="13" spans="1:11" ht="30" customHeight="1" x14ac:dyDescent="0.25">
      <c r="A13" s="34">
        <v>5</v>
      </c>
      <c r="B13" s="106">
        <v>0.57986111111111105</v>
      </c>
      <c r="C13" s="565"/>
      <c r="D13" s="566"/>
    </row>
    <row r="14" spans="1:11" ht="30" customHeight="1" x14ac:dyDescent="0.25">
      <c r="A14" s="34">
        <v>7</v>
      </c>
      <c r="B14" s="106">
        <v>0.58124999999999993</v>
      </c>
      <c r="C14" s="565"/>
      <c r="D14" s="566"/>
    </row>
    <row r="15" spans="1:11" ht="30" customHeight="1" x14ac:dyDescent="0.25">
      <c r="A15" s="34">
        <v>6</v>
      </c>
      <c r="B15" s="106">
        <v>0.58333333333333337</v>
      </c>
      <c r="C15" s="565"/>
      <c r="D15" s="566"/>
    </row>
    <row r="16" spans="1:11" ht="30" customHeight="1" x14ac:dyDescent="0.25">
      <c r="A16" s="34">
        <v>3</v>
      </c>
      <c r="B16" s="106">
        <v>0.58402777777777781</v>
      </c>
      <c r="C16" s="565"/>
      <c r="D16" s="566"/>
    </row>
    <row r="17" spans="1:4" ht="30" customHeight="1" x14ac:dyDescent="0.25">
      <c r="A17" s="34">
        <v>20</v>
      </c>
      <c r="B17" s="106">
        <v>0.5854166666666667</v>
      </c>
      <c r="C17" s="565"/>
      <c r="D17" s="566"/>
    </row>
    <row r="18" spans="1:4" ht="30" customHeight="1" x14ac:dyDescent="0.25">
      <c r="A18" s="34">
        <v>9</v>
      </c>
      <c r="B18" s="106">
        <v>0.58819444444444446</v>
      </c>
      <c r="C18" s="565"/>
      <c r="D18" s="566"/>
    </row>
    <row r="19" spans="1:4" ht="30" customHeight="1" x14ac:dyDescent="0.25">
      <c r="A19" s="34">
        <v>8</v>
      </c>
      <c r="B19" s="106">
        <v>0.58888888888888891</v>
      </c>
      <c r="C19" s="565"/>
      <c r="D19" s="566"/>
    </row>
    <row r="20" spans="1:4" ht="30" customHeight="1" x14ac:dyDescent="0.25">
      <c r="A20" s="34">
        <v>14</v>
      </c>
      <c r="B20" s="106">
        <v>0.58888888888888891</v>
      </c>
      <c r="C20" s="565"/>
      <c r="D20" s="566"/>
    </row>
    <row r="21" spans="1:4" ht="30" customHeight="1" x14ac:dyDescent="0.25">
      <c r="A21" s="34">
        <v>11</v>
      </c>
      <c r="B21" s="106">
        <v>0.59097222222222223</v>
      </c>
      <c r="C21" s="565"/>
      <c r="D21" s="566"/>
    </row>
    <row r="22" spans="1:4" ht="30" customHeight="1" x14ac:dyDescent="0.25">
      <c r="A22" s="34">
        <v>13</v>
      </c>
      <c r="B22" s="106">
        <v>0.59236111111111112</v>
      </c>
      <c r="C22" s="565"/>
      <c r="D22" s="566"/>
    </row>
    <row r="23" spans="1:4" ht="30" customHeight="1" x14ac:dyDescent="0.25">
      <c r="A23" s="34">
        <v>15</v>
      </c>
      <c r="B23" s="106">
        <v>0.59305555555555556</v>
      </c>
      <c r="C23" s="565" t="s">
        <v>698</v>
      </c>
      <c r="D23" s="566"/>
    </row>
    <row r="24" spans="1:4" ht="30" customHeight="1" x14ac:dyDescent="0.25">
      <c r="A24" s="34">
        <v>22</v>
      </c>
      <c r="B24" s="106">
        <v>0.59375</v>
      </c>
      <c r="C24" s="565"/>
      <c r="D24" s="566"/>
    </row>
    <row r="25" spans="1:4" ht="30" customHeight="1" x14ac:dyDescent="0.25">
      <c r="A25" s="34">
        <v>18</v>
      </c>
      <c r="B25" s="106">
        <v>0.59583333333333333</v>
      </c>
      <c r="C25" s="565"/>
      <c r="D25" s="566"/>
    </row>
    <row r="26" spans="1:4" ht="30" customHeight="1" x14ac:dyDescent="0.25">
      <c r="A26" s="34">
        <v>19</v>
      </c>
      <c r="B26" s="106">
        <v>0.59583333333333333</v>
      </c>
      <c r="C26" s="565"/>
      <c r="D26" s="566"/>
    </row>
    <row r="27" spans="1:4" ht="30" customHeight="1" x14ac:dyDescent="0.25">
      <c r="A27" s="34">
        <v>24</v>
      </c>
      <c r="B27" s="106">
        <v>0.59583333333333333</v>
      </c>
      <c r="C27" s="565"/>
      <c r="D27" s="566"/>
    </row>
    <row r="28" spans="1:4" ht="30" customHeight="1" x14ac:dyDescent="0.25">
      <c r="A28" s="34">
        <v>23</v>
      </c>
      <c r="B28" s="106">
        <v>0.59652777777777777</v>
      </c>
      <c r="C28" s="565"/>
      <c r="D28" s="566"/>
    </row>
    <row r="29" spans="1:4" ht="30" customHeight="1" x14ac:dyDescent="0.25">
      <c r="A29" s="34">
        <v>16</v>
      </c>
      <c r="B29" s="106">
        <v>0.59722222222222221</v>
      </c>
      <c r="C29" s="565"/>
      <c r="D29" s="566"/>
    </row>
    <row r="30" spans="1:4" ht="30" customHeight="1" x14ac:dyDescent="0.25">
      <c r="A30" s="34">
        <v>17</v>
      </c>
      <c r="B30" s="106">
        <v>0.59791666666666665</v>
      </c>
      <c r="C30" s="565"/>
      <c r="D30" s="566"/>
    </row>
    <row r="31" spans="1:4" ht="30" customHeight="1" x14ac:dyDescent="0.25">
      <c r="A31" s="34">
        <v>25</v>
      </c>
      <c r="B31" s="106">
        <v>0.6</v>
      </c>
      <c r="C31" s="565"/>
      <c r="D31" s="566"/>
    </row>
    <row r="32" spans="1:4" ht="30" customHeight="1" x14ac:dyDescent="0.25">
      <c r="A32" s="34">
        <v>27</v>
      </c>
      <c r="B32" s="106">
        <v>0.60069444444444442</v>
      </c>
      <c r="C32" s="565" t="s">
        <v>699</v>
      </c>
      <c r="D32" s="566"/>
    </row>
    <row r="33" spans="1:4" ht="30" customHeight="1" x14ac:dyDescent="0.25">
      <c r="A33" s="34">
        <v>26</v>
      </c>
      <c r="B33" s="106">
        <v>0.60138888888888886</v>
      </c>
      <c r="C33" s="565"/>
      <c r="D33" s="566"/>
    </row>
    <row r="34" spans="1:4" ht="30" customHeight="1" x14ac:dyDescent="0.25">
      <c r="A34" s="34">
        <v>28</v>
      </c>
      <c r="B34" s="106">
        <v>0.6020833333333333</v>
      </c>
      <c r="C34" s="565"/>
      <c r="D34" s="566"/>
    </row>
    <row r="35" spans="1:4" ht="30" customHeight="1" x14ac:dyDescent="0.25">
      <c r="A35" s="34">
        <v>1</v>
      </c>
      <c r="B35" s="106">
        <v>0.6020833333333333</v>
      </c>
      <c r="C35" s="565"/>
      <c r="D35" s="566"/>
    </row>
    <row r="36" spans="1:4" ht="30" customHeight="1" x14ac:dyDescent="0.25">
      <c r="A36" s="34">
        <v>10</v>
      </c>
      <c r="B36" s="106">
        <v>0.62361111111111112</v>
      </c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F0"/>
  </sheetPr>
  <dimension ref="A1:K59"/>
  <sheetViews>
    <sheetView view="pageBreakPreview" zoomScale="85" zoomScaleSheetLayoutView="85" workbookViewId="0">
      <selection activeCell="A11" sqref="A1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49</v>
      </c>
      <c r="C2" s="41"/>
      <c r="D2" s="42"/>
    </row>
    <row r="3" spans="1:11" ht="20.100000000000001" customHeight="1" x14ac:dyDescent="0.25">
      <c r="A3" s="38" t="s">
        <v>110</v>
      </c>
      <c r="B3" s="36">
        <v>0.57361111359463801</v>
      </c>
      <c r="C3" s="38" t="s">
        <v>104</v>
      </c>
      <c r="D3" s="36">
        <v>0.56944444444444442</v>
      </c>
    </row>
    <row r="4" spans="1:11" ht="20.100000000000001" customHeight="1" x14ac:dyDescent="0.25">
      <c r="A4" s="38" t="s">
        <v>111</v>
      </c>
      <c r="B4" s="36">
        <v>0.61875000248352685</v>
      </c>
      <c r="C4" s="38" t="s">
        <v>105</v>
      </c>
      <c r="D4" s="36">
        <v>0.62430555555555556</v>
      </c>
    </row>
    <row r="5" spans="1:11" ht="46.5" x14ac:dyDescent="0.25">
      <c r="A5" s="564" t="s">
        <v>481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0.57361111111111118</v>
      </c>
      <c r="C10" s="565"/>
      <c r="D10" s="566"/>
    </row>
    <row r="11" spans="1:11" ht="30" customHeight="1" x14ac:dyDescent="0.25">
      <c r="A11" s="34">
        <v>4</v>
      </c>
      <c r="B11" s="106">
        <v>0.58611111111111114</v>
      </c>
      <c r="C11" s="565"/>
      <c r="D11" s="566"/>
    </row>
    <row r="12" spans="1:11" ht="30" customHeight="1" x14ac:dyDescent="0.25">
      <c r="A12" s="34">
        <v>5</v>
      </c>
      <c r="B12" s="106">
        <v>0.58680555555555558</v>
      </c>
      <c r="C12" s="565"/>
      <c r="D12" s="566"/>
    </row>
    <row r="13" spans="1:11" ht="30" customHeight="1" x14ac:dyDescent="0.25">
      <c r="A13" s="34">
        <v>6</v>
      </c>
      <c r="B13" s="106">
        <v>0.58750000000000002</v>
      </c>
      <c r="C13" s="565"/>
      <c r="D13" s="566"/>
    </row>
    <row r="14" spans="1:11" ht="30" customHeight="1" x14ac:dyDescent="0.25">
      <c r="A14" s="34">
        <v>7</v>
      </c>
      <c r="B14" s="106">
        <v>0.58819444444444446</v>
      </c>
      <c r="C14" s="565"/>
      <c r="D14" s="566"/>
    </row>
    <row r="15" spans="1:11" ht="30" customHeight="1" x14ac:dyDescent="0.25">
      <c r="A15" s="34">
        <v>14</v>
      </c>
      <c r="B15" s="106">
        <v>0.59305555555555556</v>
      </c>
      <c r="C15" s="565"/>
      <c r="D15" s="566"/>
    </row>
    <row r="16" spans="1:11" ht="30" customHeight="1" x14ac:dyDescent="0.25">
      <c r="A16" s="34">
        <v>19</v>
      </c>
      <c r="B16" s="106">
        <v>0.59652777777777777</v>
      </c>
      <c r="C16" s="565"/>
      <c r="D16" s="566"/>
    </row>
    <row r="17" spans="1:4" ht="30" customHeight="1" x14ac:dyDescent="0.25">
      <c r="A17" s="34">
        <v>20</v>
      </c>
      <c r="B17" s="106">
        <v>0.59722222222222221</v>
      </c>
      <c r="C17" s="565"/>
      <c r="D17" s="566"/>
    </row>
    <row r="18" spans="1:4" ht="30" customHeight="1" x14ac:dyDescent="0.25">
      <c r="A18" s="34">
        <v>22</v>
      </c>
      <c r="B18" s="106">
        <v>0.59861111111111109</v>
      </c>
      <c r="C18" s="565"/>
      <c r="D18" s="566"/>
    </row>
    <row r="19" spans="1:4" ht="30" customHeight="1" x14ac:dyDescent="0.25">
      <c r="A19" s="34">
        <v>24</v>
      </c>
      <c r="B19" s="106">
        <v>0.6</v>
      </c>
      <c r="C19" s="565"/>
      <c r="D19" s="566"/>
    </row>
    <row r="20" spans="1:4" ht="30" customHeight="1" x14ac:dyDescent="0.25">
      <c r="A20" s="34">
        <v>25</v>
      </c>
      <c r="B20" s="106">
        <v>0.60138888888888886</v>
      </c>
      <c r="C20" s="565"/>
      <c r="D20" s="566"/>
    </row>
    <row r="21" spans="1:4" ht="30" customHeight="1" x14ac:dyDescent="0.25">
      <c r="A21" s="34">
        <v>27</v>
      </c>
      <c r="B21" s="106">
        <v>0.6020833333333333</v>
      </c>
      <c r="C21" s="565"/>
      <c r="D21" s="566"/>
    </row>
    <row r="22" spans="1:4" ht="30" customHeight="1" x14ac:dyDescent="0.25">
      <c r="A22" s="34">
        <v>26</v>
      </c>
      <c r="B22" s="106">
        <v>0.6020833333333333</v>
      </c>
      <c r="C22" s="565"/>
      <c r="D22" s="566"/>
    </row>
    <row r="23" spans="1:4" ht="30" customHeight="1" x14ac:dyDescent="0.25">
      <c r="A23" s="34">
        <v>28</v>
      </c>
      <c r="B23" s="106">
        <v>0.60277777777777775</v>
      </c>
      <c r="C23" s="565"/>
      <c r="D23" s="566"/>
    </row>
    <row r="24" spans="1:4" ht="30" customHeight="1" x14ac:dyDescent="0.25">
      <c r="A24" s="34">
        <v>1</v>
      </c>
      <c r="B24" s="106">
        <v>0.60347222222222219</v>
      </c>
      <c r="C24" s="565"/>
      <c r="D24" s="566"/>
    </row>
    <row r="25" spans="1:4" ht="30" customHeight="1" x14ac:dyDescent="0.25">
      <c r="A25" s="34">
        <v>10</v>
      </c>
      <c r="B25" s="106">
        <v>0.62430555555555556</v>
      </c>
      <c r="C25" s="565"/>
      <c r="D25" s="566"/>
    </row>
    <row r="26" spans="1:4" ht="30" customHeight="1" x14ac:dyDescent="0.25">
      <c r="A26" s="34"/>
      <c r="B26" s="106"/>
      <c r="C26" s="565"/>
      <c r="D26" s="566"/>
    </row>
    <row r="27" spans="1:4" ht="30" customHeight="1" x14ac:dyDescent="0.25">
      <c r="A27" s="34"/>
      <c r="B27" s="106"/>
      <c r="C27" s="565"/>
      <c r="D27" s="566"/>
    </row>
    <row r="28" spans="1:4" ht="30" customHeight="1" x14ac:dyDescent="0.25">
      <c r="A28" s="34"/>
      <c r="B28" s="106"/>
      <c r="C28" s="565"/>
      <c r="D28" s="566"/>
    </row>
    <row r="29" spans="1:4" ht="30" customHeight="1" x14ac:dyDescent="0.25">
      <c r="A29" s="34"/>
      <c r="B29" s="106"/>
      <c r="C29" s="565"/>
      <c r="D29" s="566"/>
    </row>
    <row r="30" spans="1:4" ht="30" customHeight="1" x14ac:dyDescent="0.25">
      <c r="A30" s="34"/>
      <c r="B30" s="106"/>
      <c r="C30" s="565"/>
      <c r="D30" s="566"/>
    </row>
    <row r="31" spans="1:4" ht="30" customHeight="1" x14ac:dyDescent="0.25">
      <c r="A31" s="34"/>
      <c r="B31" s="106"/>
      <c r="C31" s="565"/>
      <c r="D31" s="566"/>
    </row>
    <row r="32" spans="1:4" ht="30" customHeight="1" x14ac:dyDescent="0.25">
      <c r="A32" s="34"/>
      <c r="B32" s="106"/>
      <c r="C32" s="565"/>
      <c r="D32" s="566"/>
    </row>
    <row r="33" spans="1:4" ht="30" customHeight="1" x14ac:dyDescent="0.25">
      <c r="A33" s="34"/>
      <c r="B33" s="106"/>
      <c r="C33" s="565"/>
      <c r="D33" s="566"/>
    </row>
    <row r="34" spans="1:4" ht="30" customHeight="1" x14ac:dyDescent="0.25">
      <c r="A34" s="34"/>
      <c r="B34" s="106"/>
      <c r="C34" s="565"/>
      <c r="D34" s="566"/>
    </row>
    <row r="35" spans="1:4" ht="30" customHeight="1" x14ac:dyDescent="0.25">
      <c r="A35" s="34"/>
      <c r="B35" s="106"/>
      <c r="C35" s="565"/>
      <c r="D35" s="566"/>
    </row>
    <row r="36" spans="1:4" ht="30" customHeight="1" x14ac:dyDescent="0.25">
      <c r="A36" s="34"/>
      <c r="B36" s="106"/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F0"/>
  </sheetPr>
  <dimension ref="A1:Q59"/>
  <sheetViews>
    <sheetView view="pageBreakPreview" zoomScale="85" zoomScaleSheetLayoutView="85" workbookViewId="0">
      <selection activeCell="C11" sqref="C11"/>
    </sheetView>
  </sheetViews>
  <sheetFormatPr defaultRowHeight="15" x14ac:dyDescent="0.25"/>
  <cols>
    <col min="1" max="3" width="15.7109375" style="2" customWidth="1"/>
    <col min="4" max="4" width="25.7109375" style="2" customWidth="1"/>
    <col min="5" max="5" width="13.7109375" style="2" customWidth="1"/>
    <col min="6" max="7" width="11.7109375" style="2" customWidth="1"/>
    <col min="8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ht="21" x14ac:dyDescent="0.25">
      <c r="A1" s="87" t="s">
        <v>369</v>
      </c>
      <c r="B1" s="88"/>
      <c r="C1" s="88"/>
      <c r="D1" s="105" t="s">
        <v>463</v>
      </c>
      <c r="J1" s="2"/>
    </row>
    <row r="2" spans="1:17" x14ac:dyDescent="0.25">
      <c r="A2" s="38" t="s">
        <v>45</v>
      </c>
      <c r="B2" s="27" t="s">
        <v>534</v>
      </c>
      <c r="C2" s="41"/>
      <c r="D2" s="41"/>
      <c r="E2" s="96"/>
      <c r="F2" s="96"/>
      <c r="G2" s="96"/>
      <c r="H2" s="96"/>
      <c r="I2" s="97"/>
      <c r="J2" s="2"/>
    </row>
    <row r="3" spans="1:17" ht="20.100000000000001" customHeight="1" x14ac:dyDescent="0.25">
      <c r="A3" s="38" t="s">
        <v>110</v>
      </c>
      <c r="B3" s="36">
        <v>0.5845248195036481</v>
      </c>
      <c r="C3" s="38" t="s">
        <v>104</v>
      </c>
      <c r="D3" s="28">
        <v>0.57638888888888895</v>
      </c>
      <c r="E3" s="96"/>
      <c r="F3" s="96"/>
      <c r="G3" s="96"/>
      <c r="H3" s="96"/>
      <c r="I3" s="97"/>
      <c r="J3" s="2"/>
    </row>
    <row r="4" spans="1:17" ht="20.100000000000001" customHeight="1" x14ac:dyDescent="0.25">
      <c r="A4" s="38" t="s">
        <v>111</v>
      </c>
      <c r="B4" s="36">
        <v>0.62966370839253694</v>
      </c>
      <c r="C4" s="38" t="s">
        <v>105</v>
      </c>
      <c r="D4" s="28"/>
      <c r="E4" s="96"/>
      <c r="F4" s="96"/>
      <c r="G4" s="96"/>
      <c r="H4" s="96"/>
      <c r="I4" s="97"/>
      <c r="J4" s="2"/>
    </row>
    <row r="5" spans="1:17" ht="46.5" x14ac:dyDescent="0.25">
      <c r="A5" s="564" t="s">
        <v>464</v>
      </c>
      <c r="B5" s="564"/>
      <c r="C5" s="564"/>
      <c r="D5" s="564"/>
      <c r="E5" s="564"/>
      <c r="F5" s="564"/>
      <c r="G5" s="564"/>
      <c r="H5" s="564"/>
      <c r="I5" s="564"/>
      <c r="J5" s="2"/>
    </row>
    <row r="6" spans="1:17" ht="5.0999999999999996" customHeight="1" x14ac:dyDescent="0.25">
      <c r="A6" s="86"/>
      <c r="J6" s="2"/>
    </row>
    <row r="7" spans="1:17" ht="5.0999999999999996" customHeight="1" x14ac:dyDescent="0.25">
      <c r="A7" s="86"/>
      <c r="J7" s="2"/>
    </row>
    <row r="8" spans="1:17" s="29" customFormat="1" ht="21" customHeight="1" x14ac:dyDescent="0.25">
      <c r="A8" s="39"/>
      <c r="B8" s="92" t="s">
        <v>231</v>
      </c>
      <c r="C8" s="92" t="s">
        <v>231</v>
      </c>
      <c r="D8" s="40"/>
      <c r="E8" s="92" t="s">
        <v>236</v>
      </c>
      <c r="F8" s="92" t="s">
        <v>237</v>
      </c>
      <c r="G8" s="92" t="s">
        <v>237</v>
      </c>
      <c r="H8" s="92" t="s">
        <v>238</v>
      </c>
      <c r="I8" s="92" t="s">
        <v>238</v>
      </c>
    </row>
    <row r="9" spans="1:17" ht="37.5" x14ac:dyDescent="0.25">
      <c r="A9" s="89" t="s">
        <v>0</v>
      </c>
      <c r="B9" s="91" t="s">
        <v>108</v>
      </c>
      <c r="C9" s="90" t="s">
        <v>127</v>
      </c>
      <c r="D9" s="90" t="s">
        <v>106</v>
      </c>
      <c r="E9" s="91" t="s">
        <v>235</v>
      </c>
      <c r="F9" s="91" t="s">
        <v>128</v>
      </c>
      <c r="G9" s="332" t="s">
        <v>433</v>
      </c>
      <c r="H9" s="91" t="s">
        <v>153</v>
      </c>
      <c r="I9" s="91" t="s">
        <v>154</v>
      </c>
      <c r="P9" s="30"/>
      <c r="Q9" s="31"/>
    </row>
    <row r="10" spans="1:17" ht="24.95" customHeight="1" x14ac:dyDescent="0.25">
      <c r="A10" s="379">
        <v>2</v>
      </c>
      <c r="B10" s="106">
        <v>0.58680555555555558</v>
      </c>
      <c r="C10" s="106">
        <v>0.59722222222222221</v>
      </c>
      <c r="D10" s="32"/>
      <c r="E10" s="582">
        <v>17.96</v>
      </c>
      <c r="F10" s="35"/>
      <c r="G10" s="35">
        <v>3</v>
      </c>
      <c r="H10" s="34"/>
      <c r="I10" s="34"/>
    </row>
    <row r="11" spans="1:17" ht="24.95" customHeight="1" x14ac:dyDescent="0.25">
      <c r="A11" s="379" t="s">
        <v>629</v>
      </c>
      <c r="B11" s="106"/>
      <c r="C11" s="106">
        <v>0.58472222222222225</v>
      </c>
      <c r="D11" s="32"/>
      <c r="E11" s="582">
        <v>5.09</v>
      </c>
      <c r="F11" s="35"/>
      <c r="G11" s="35">
        <v>2</v>
      </c>
      <c r="H11" s="34"/>
      <c r="I11" s="34"/>
    </row>
    <row r="12" spans="1:17" ht="24.95" customHeight="1" x14ac:dyDescent="0.25">
      <c r="A12" s="34">
        <v>3</v>
      </c>
      <c r="B12" s="106"/>
      <c r="C12" s="106">
        <v>0.59930555555555554</v>
      </c>
      <c r="D12" s="32"/>
      <c r="E12" s="582">
        <v>31.6</v>
      </c>
      <c r="F12" s="35"/>
      <c r="G12" s="35">
        <v>2</v>
      </c>
      <c r="H12" s="34"/>
      <c r="I12" s="34"/>
    </row>
    <row r="13" spans="1:17" ht="24.95" customHeight="1" x14ac:dyDescent="0.25">
      <c r="A13" s="34">
        <v>4</v>
      </c>
      <c r="B13" s="106"/>
      <c r="C13" s="106">
        <v>0.60069444444444442</v>
      </c>
      <c r="D13" s="32"/>
      <c r="E13" s="582">
        <v>7.73</v>
      </c>
      <c r="F13" s="35"/>
      <c r="G13" s="35">
        <v>3</v>
      </c>
      <c r="H13" s="34"/>
      <c r="I13" s="34" t="s">
        <v>705</v>
      </c>
    </row>
    <row r="14" spans="1:17" ht="24.95" customHeight="1" x14ac:dyDescent="0.25">
      <c r="A14" s="34">
        <v>5</v>
      </c>
      <c r="B14" s="106"/>
      <c r="C14" s="106"/>
      <c r="D14" s="32"/>
      <c r="E14" s="582">
        <v>28.46</v>
      </c>
      <c r="F14" s="35"/>
      <c r="G14" s="35">
        <v>2</v>
      </c>
      <c r="H14" s="34"/>
      <c r="I14" s="34"/>
    </row>
    <row r="15" spans="1:17" ht="24.95" customHeight="1" x14ac:dyDescent="0.25">
      <c r="A15" s="34">
        <v>9</v>
      </c>
      <c r="B15" s="106"/>
      <c r="C15" s="106"/>
      <c r="D15" s="32"/>
      <c r="E15" s="582">
        <v>32.26</v>
      </c>
      <c r="F15" s="35"/>
      <c r="G15" s="35"/>
      <c r="H15" s="34"/>
      <c r="I15" s="34" t="s">
        <v>705</v>
      </c>
    </row>
    <row r="16" spans="1:17" ht="24.95" customHeight="1" x14ac:dyDescent="0.25">
      <c r="A16" s="34">
        <v>6</v>
      </c>
      <c r="B16" s="106"/>
      <c r="C16" s="106"/>
      <c r="D16" s="32"/>
      <c r="E16" s="582">
        <v>21.68</v>
      </c>
      <c r="F16" s="35"/>
      <c r="G16" s="35">
        <v>2</v>
      </c>
      <c r="H16" s="34"/>
      <c r="I16" s="34"/>
    </row>
    <row r="17" spans="1:9" ht="24.95" customHeight="1" x14ac:dyDescent="0.25">
      <c r="A17" s="34">
        <v>8</v>
      </c>
      <c r="B17" s="106"/>
      <c r="C17" s="106"/>
      <c r="D17" s="32"/>
      <c r="E17" s="582">
        <v>14.43</v>
      </c>
      <c r="F17" s="35"/>
      <c r="G17" s="35"/>
      <c r="H17" s="34"/>
      <c r="I17" s="34"/>
    </row>
    <row r="18" spans="1:9" ht="24.95" customHeight="1" x14ac:dyDescent="0.25">
      <c r="A18" s="34">
        <v>7</v>
      </c>
      <c r="B18" s="106"/>
      <c r="C18" s="106">
        <v>0.60833333333333328</v>
      </c>
      <c r="D18" s="32"/>
      <c r="E18" s="582">
        <v>30.06</v>
      </c>
      <c r="F18" s="35"/>
      <c r="G18" s="35"/>
      <c r="H18" s="34"/>
      <c r="I18" s="34" t="s">
        <v>705</v>
      </c>
    </row>
    <row r="19" spans="1:9" ht="24.95" customHeight="1" x14ac:dyDescent="0.25">
      <c r="A19" s="34">
        <v>11</v>
      </c>
      <c r="B19" s="106"/>
      <c r="C19" s="106"/>
      <c r="D19" s="32"/>
      <c r="E19" s="582">
        <v>24.26</v>
      </c>
      <c r="F19" s="35"/>
      <c r="G19" s="35">
        <v>2</v>
      </c>
      <c r="H19" s="34"/>
      <c r="I19" s="34"/>
    </row>
    <row r="20" spans="1:9" ht="24.95" customHeight="1" x14ac:dyDescent="0.25">
      <c r="A20" s="34">
        <v>15</v>
      </c>
      <c r="B20" s="106"/>
      <c r="C20" s="106"/>
      <c r="D20" s="32"/>
      <c r="E20" s="582">
        <v>19.190000000000001</v>
      </c>
      <c r="F20" s="35"/>
      <c r="G20" s="35">
        <v>1</v>
      </c>
      <c r="H20" s="34"/>
      <c r="I20" s="34"/>
    </row>
    <row r="21" spans="1:9" ht="24.95" customHeight="1" x14ac:dyDescent="0.25">
      <c r="A21" s="34">
        <v>13</v>
      </c>
      <c r="B21" s="106">
        <v>0.60486111111111118</v>
      </c>
      <c r="C21" s="106">
        <v>0.60902777777777783</v>
      </c>
      <c r="D21" s="32"/>
      <c r="E21" s="582">
        <v>26.07</v>
      </c>
      <c r="F21" s="35"/>
      <c r="G21" s="35">
        <v>1</v>
      </c>
      <c r="H21" s="34"/>
      <c r="I21" s="34"/>
    </row>
    <row r="22" spans="1:9" ht="24.95" customHeight="1" x14ac:dyDescent="0.25">
      <c r="A22" s="34">
        <v>18</v>
      </c>
      <c r="B22" s="106"/>
      <c r="C22" s="106"/>
      <c r="D22" s="32"/>
      <c r="E22" s="582">
        <v>51.33</v>
      </c>
      <c r="F22" s="35"/>
      <c r="G22" s="35"/>
      <c r="H22" s="34"/>
      <c r="I22" s="34"/>
    </row>
    <row r="23" spans="1:9" ht="24.95" customHeight="1" x14ac:dyDescent="0.25">
      <c r="A23" s="34">
        <v>14</v>
      </c>
      <c r="B23" s="106"/>
      <c r="C23" s="106"/>
      <c r="D23" s="32"/>
      <c r="E23" s="582">
        <v>28.52</v>
      </c>
      <c r="F23" s="35"/>
      <c r="G23" s="35">
        <v>2</v>
      </c>
      <c r="H23" s="34"/>
      <c r="I23" s="34"/>
    </row>
    <row r="24" spans="1:9" ht="24.95" customHeight="1" x14ac:dyDescent="0.25">
      <c r="A24" s="34">
        <v>20</v>
      </c>
      <c r="B24" s="106"/>
      <c r="C24" s="106"/>
      <c r="D24" s="32"/>
      <c r="E24" s="582">
        <v>24.32</v>
      </c>
      <c r="F24" s="35"/>
      <c r="G24" s="35">
        <v>2</v>
      </c>
      <c r="H24" s="34"/>
      <c r="I24" s="34" t="s">
        <v>705</v>
      </c>
    </row>
    <row r="25" spans="1:9" ht="24.95" customHeight="1" x14ac:dyDescent="0.25">
      <c r="A25" s="34">
        <v>22</v>
      </c>
      <c r="B25" s="106"/>
      <c r="C25" s="106"/>
      <c r="D25" s="32"/>
      <c r="E25" s="582">
        <v>56.12</v>
      </c>
      <c r="F25" s="35"/>
      <c r="G25" s="35"/>
      <c r="H25" s="34"/>
      <c r="I25" s="34"/>
    </row>
    <row r="26" spans="1:9" ht="24.95" customHeight="1" x14ac:dyDescent="0.25">
      <c r="A26" s="34">
        <v>16</v>
      </c>
      <c r="B26" s="106">
        <v>0.60416666666666663</v>
      </c>
      <c r="C26" s="106">
        <v>0.62569444444444444</v>
      </c>
      <c r="D26" s="32"/>
      <c r="E26" s="582">
        <v>102.66</v>
      </c>
      <c r="F26" s="35"/>
      <c r="G26" s="35"/>
      <c r="H26" s="34"/>
      <c r="I26" s="34"/>
    </row>
    <row r="27" spans="1:9" ht="24.95" customHeight="1" x14ac:dyDescent="0.25">
      <c r="A27" s="34">
        <v>17</v>
      </c>
      <c r="B27" s="106">
        <v>0.61111111111111105</v>
      </c>
      <c r="C27" s="106">
        <v>0.62708333333333333</v>
      </c>
      <c r="D27" s="32"/>
      <c r="E27" s="582">
        <v>67.040000000000006</v>
      </c>
      <c r="F27" s="35"/>
      <c r="G27" s="35"/>
      <c r="H27" s="34"/>
      <c r="I27" s="34"/>
    </row>
    <row r="28" spans="1:9" ht="24.95" customHeight="1" x14ac:dyDescent="0.25">
      <c r="A28" s="34">
        <v>19</v>
      </c>
      <c r="B28" s="106">
        <v>0.61111111111111105</v>
      </c>
      <c r="C28" s="106">
        <v>0.62847222222222221</v>
      </c>
      <c r="D28" s="32"/>
      <c r="E28" s="582">
        <v>30.27</v>
      </c>
      <c r="F28" s="35"/>
      <c r="G28" s="35"/>
      <c r="H28" s="34"/>
      <c r="I28" s="34"/>
    </row>
    <row r="29" spans="1:9" ht="24.95" customHeight="1" x14ac:dyDescent="0.25">
      <c r="A29" s="34">
        <v>23</v>
      </c>
      <c r="B29" s="106">
        <v>0.61388888888888882</v>
      </c>
      <c r="C29" s="106">
        <v>0.63055555555555554</v>
      </c>
      <c r="D29" s="32"/>
      <c r="E29" s="582">
        <v>45.16</v>
      </c>
      <c r="F29" s="35"/>
      <c r="G29" s="35"/>
      <c r="H29" s="34"/>
      <c r="I29" s="34"/>
    </row>
    <row r="30" spans="1:9" ht="24.95" customHeight="1" x14ac:dyDescent="0.25">
      <c r="A30" s="34">
        <v>24</v>
      </c>
      <c r="B30" s="106"/>
      <c r="C30" s="106"/>
      <c r="D30" s="32"/>
      <c r="E30" s="582">
        <v>23.32</v>
      </c>
      <c r="F30" s="35"/>
      <c r="G30" s="35">
        <v>1</v>
      </c>
      <c r="H30" s="34"/>
      <c r="I30" s="34"/>
    </row>
    <row r="31" spans="1:9" ht="24.95" customHeight="1" x14ac:dyDescent="0.25">
      <c r="A31" s="34">
        <v>27</v>
      </c>
      <c r="B31" s="106"/>
      <c r="C31" s="106"/>
      <c r="D31" s="32"/>
      <c r="E31" s="582">
        <v>36.159999999999997</v>
      </c>
      <c r="F31" s="35"/>
      <c r="G31" s="35"/>
      <c r="H31" s="34"/>
      <c r="I31" s="34" t="s">
        <v>705</v>
      </c>
    </row>
    <row r="32" spans="1:9" ht="24.95" customHeight="1" x14ac:dyDescent="0.25">
      <c r="A32" s="34">
        <v>25</v>
      </c>
      <c r="B32" s="106">
        <v>0.6166666666666667</v>
      </c>
      <c r="C32" s="106">
        <v>0.63402777777777775</v>
      </c>
      <c r="D32" s="32"/>
      <c r="E32" s="582">
        <v>36.72</v>
      </c>
      <c r="F32" s="35"/>
      <c r="G32" s="35">
        <v>1</v>
      </c>
      <c r="H32" s="34"/>
      <c r="I32" s="34"/>
    </row>
    <row r="33" spans="1:9" ht="24.95" customHeight="1" x14ac:dyDescent="0.25">
      <c r="A33" s="34">
        <v>28</v>
      </c>
      <c r="B33" s="106"/>
      <c r="C33" s="106"/>
      <c r="D33" s="32"/>
      <c r="E33" s="582">
        <v>9.5399999999999991</v>
      </c>
      <c r="F33" s="35"/>
      <c r="G33" s="35">
        <v>2</v>
      </c>
      <c r="H33" s="34"/>
      <c r="I33" s="34"/>
    </row>
    <row r="34" spans="1:9" ht="24.95" customHeight="1" x14ac:dyDescent="0.25">
      <c r="A34" s="34">
        <v>26</v>
      </c>
      <c r="B34" s="106"/>
      <c r="C34" s="106"/>
      <c r="D34" s="32"/>
      <c r="E34" s="582">
        <v>24.11</v>
      </c>
      <c r="F34" s="35"/>
      <c r="G34" s="35"/>
      <c r="H34" s="34"/>
      <c r="I34" s="34"/>
    </row>
    <row r="35" spans="1:9" ht="24.95" customHeight="1" x14ac:dyDescent="0.25">
      <c r="A35" s="34">
        <v>1</v>
      </c>
      <c r="B35" s="106">
        <v>0.62083333333333335</v>
      </c>
      <c r="C35" s="106">
        <v>0.6381944444444444</v>
      </c>
      <c r="D35" s="32"/>
      <c r="E35" s="582">
        <v>111.53</v>
      </c>
      <c r="F35" s="35"/>
      <c r="G35" s="35"/>
      <c r="H35" s="34"/>
      <c r="I35" s="34"/>
    </row>
    <row r="36" spans="1:9" ht="24.95" customHeight="1" x14ac:dyDescent="0.25">
      <c r="A36" s="34">
        <v>10</v>
      </c>
      <c r="B36" s="106"/>
      <c r="C36" s="106"/>
      <c r="D36" s="32"/>
      <c r="E36" s="582">
        <v>35.270000000000003</v>
      </c>
      <c r="F36" s="35"/>
      <c r="G36" s="35">
        <v>2</v>
      </c>
      <c r="H36" s="34"/>
      <c r="I36" s="34"/>
    </row>
    <row r="37" spans="1:9" ht="24.95" customHeight="1" x14ac:dyDescent="0.25">
      <c r="A37" s="34"/>
      <c r="B37" s="106"/>
      <c r="C37" s="106"/>
      <c r="D37" s="32"/>
      <c r="E37" s="32"/>
      <c r="F37" s="35"/>
      <c r="G37" s="35"/>
      <c r="H37" s="34"/>
      <c r="I37" s="34"/>
    </row>
    <row r="38" spans="1:9" ht="24.95" customHeight="1" x14ac:dyDescent="0.25">
      <c r="A38" s="34"/>
      <c r="B38" s="106"/>
      <c r="C38" s="106"/>
      <c r="D38" s="32"/>
      <c r="E38" s="32"/>
      <c r="F38" s="35"/>
      <c r="G38" s="35"/>
      <c r="H38" s="34"/>
      <c r="I38" s="34"/>
    </row>
    <row r="39" spans="1:9" ht="24.95" customHeight="1" x14ac:dyDescent="0.25">
      <c r="A39" s="34"/>
      <c r="B39" s="106"/>
      <c r="C39" s="106"/>
      <c r="D39" s="32"/>
      <c r="E39" s="32"/>
      <c r="F39" s="35"/>
      <c r="G39" s="35"/>
      <c r="H39" s="34"/>
      <c r="I39" s="34"/>
    </row>
    <row r="40" spans="1:9" ht="24.95" customHeight="1" x14ac:dyDescent="0.25">
      <c r="A40" s="34"/>
      <c r="B40" s="106"/>
      <c r="C40" s="106"/>
      <c r="D40" s="32"/>
      <c r="E40" s="32"/>
      <c r="F40" s="35"/>
      <c r="G40" s="35"/>
      <c r="H40" s="34"/>
      <c r="I40" s="34"/>
    </row>
    <row r="41" spans="1:9" ht="24.95" customHeight="1" x14ac:dyDescent="0.25">
      <c r="A41" s="34"/>
      <c r="B41" s="106"/>
      <c r="C41" s="106"/>
      <c r="D41" s="32"/>
      <c r="E41" s="32"/>
      <c r="F41" s="35"/>
      <c r="G41" s="35"/>
      <c r="H41" s="34"/>
      <c r="I41" s="34"/>
    </row>
    <row r="42" spans="1:9" ht="24.95" customHeight="1" x14ac:dyDescent="0.25">
      <c r="A42" s="34"/>
      <c r="B42" s="106"/>
      <c r="C42" s="106"/>
      <c r="D42" s="32"/>
      <c r="E42" s="32"/>
      <c r="F42" s="35"/>
      <c r="G42" s="35"/>
      <c r="H42" s="34"/>
      <c r="I42" s="34"/>
    </row>
    <row r="43" spans="1:9" ht="24.95" customHeight="1" x14ac:dyDescent="0.25">
      <c r="A43" s="34"/>
      <c r="B43" s="106"/>
      <c r="C43" s="106"/>
      <c r="D43" s="32"/>
      <c r="E43" s="32"/>
      <c r="F43" s="35"/>
      <c r="G43" s="35"/>
      <c r="H43" s="34"/>
      <c r="I43" s="34"/>
    </row>
    <row r="44" spans="1:9" ht="24.95" customHeight="1" x14ac:dyDescent="0.25">
      <c r="A44" s="34"/>
      <c r="B44" s="106"/>
      <c r="C44" s="106"/>
      <c r="D44" s="32"/>
      <c r="E44" s="32"/>
      <c r="F44" s="35"/>
      <c r="G44" s="35"/>
      <c r="H44" s="34"/>
      <c r="I44" s="34"/>
    </row>
    <row r="45" spans="1:9" ht="24.95" customHeight="1" x14ac:dyDescent="0.25">
      <c r="A45" s="34"/>
      <c r="B45" s="106"/>
      <c r="C45" s="106"/>
      <c r="D45" s="32"/>
      <c r="E45" s="32"/>
      <c r="F45" s="35"/>
      <c r="G45" s="35"/>
      <c r="H45" s="34"/>
      <c r="I45" s="34"/>
    </row>
    <row r="46" spans="1:9" ht="24.95" customHeight="1" x14ac:dyDescent="0.25">
      <c r="A46" s="34"/>
      <c r="B46" s="106"/>
      <c r="C46" s="106"/>
      <c r="D46" s="32"/>
      <c r="E46" s="32"/>
      <c r="F46" s="35"/>
      <c r="G46" s="35"/>
      <c r="H46" s="34"/>
      <c r="I46" s="34"/>
    </row>
    <row r="47" spans="1:9" ht="24.95" customHeight="1" x14ac:dyDescent="0.25">
      <c r="A47" s="34"/>
      <c r="B47" s="106"/>
      <c r="C47" s="106"/>
      <c r="D47" s="32"/>
      <c r="E47" s="32"/>
      <c r="F47" s="35"/>
      <c r="G47" s="35"/>
      <c r="H47" s="34"/>
      <c r="I47" s="34"/>
    </row>
    <row r="48" spans="1:9" ht="24.95" customHeight="1" x14ac:dyDescent="0.25">
      <c r="A48" s="34"/>
      <c r="B48" s="106"/>
      <c r="C48" s="106"/>
      <c r="D48" s="32"/>
      <c r="E48" s="32"/>
      <c r="F48" s="35"/>
      <c r="G48" s="35"/>
      <c r="H48" s="34"/>
      <c r="I48" s="34"/>
    </row>
    <row r="49" spans="1:9" ht="24.95" customHeight="1" x14ac:dyDescent="0.25">
      <c r="A49" s="34"/>
      <c r="B49" s="106"/>
      <c r="C49" s="106"/>
      <c r="D49" s="32"/>
      <c r="E49" s="32"/>
      <c r="F49" s="35"/>
      <c r="G49" s="35"/>
      <c r="H49" s="34"/>
      <c r="I49" s="34"/>
    </row>
    <row r="50" spans="1:9" ht="24.95" customHeight="1" x14ac:dyDescent="0.25">
      <c r="A50" s="34"/>
      <c r="B50" s="106"/>
      <c r="C50" s="106"/>
      <c r="D50" s="32"/>
      <c r="E50" s="32"/>
      <c r="F50" s="35"/>
      <c r="G50" s="35"/>
      <c r="H50" s="34"/>
      <c r="I50" s="34"/>
    </row>
    <row r="51" spans="1:9" ht="24.95" customHeight="1" x14ac:dyDescent="0.25">
      <c r="A51" s="34"/>
      <c r="B51" s="106"/>
      <c r="C51" s="106"/>
      <c r="D51" s="32"/>
      <c r="E51" s="32"/>
      <c r="F51" s="35"/>
      <c r="G51" s="35"/>
      <c r="H51" s="34"/>
      <c r="I51" s="34"/>
    </row>
    <row r="52" spans="1:9" ht="24.95" customHeight="1" x14ac:dyDescent="0.25">
      <c r="A52" s="34"/>
      <c r="B52" s="106"/>
      <c r="C52" s="106"/>
      <c r="D52" s="32"/>
      <c r="E52" s="32"/>
      <c r="F52" s="35"/>
      <c r="G52" s="35"/>
      <c r="H52" s="34"/>
      <c r="I52" s="34"/>
    </row>
    <row r="53" spans="1:9" ht="24.95" customHeight="1" x14ac:dyDescent="0.25">
      <c r="A53" s="34"/>
      <c r="B53" s="106"/>
      <c r="C53" s="106"/>
      <c r="D53" s="32"/>
      <c r="E53" s="32"/>
      <c r="F53" s="35"/>
      <c r="G53" s="35"/>
      <c r="H53" s="34"/>
      <c r="I53" s="34"/>
    </row>
    <row r="54" spans="1:9" ht="24.95" customHeight="1" x14ac:dyDescent="0.25">
      <c r="A54" s="34"/>
      <c r="B54" s="106"/>
      <c r="C54" s="106"/>
      <c r="D54" s="32"/>
      <c r="E54" s="32"/>
      <c r="F54" s="35"/>
      <c r="G54" s="35"/>
      <c r="H54" s="34"/>
      <c r="I54" s="34"/>
    </row>
    <row r="55" spans="1:9" ht="24.95" customHeight="1" x14ac:dyDescent="0.25">
      <c r="A55" s="34"/>
      <c r="B55" s="106"/>
      <c r="C55" s="106"/>
      <c r="D55" s="32"/>
      <c r="E55" s="32"/>
      <c r="F55" s="35"/>
      <c r="G55" s="35"/>
      <c r="H55" s="34"/>
      <c r="I55" s="34"/>
    </row>
    <row r="56" spans="1:9" ht="24.95" customHeight="1" x14ac:dyDescent="0.25">
      <c r="A56" s="34"/>
      <c r="B56" s="106"/>
      <c r="C56" s="106"/>
      <c r="D56" s="32"/>
      <c r="E56" s="32"/>
      <c r="F56" s="35"/>
      <c r="G56" s="35"/>
      <c r="H56" s="34"/>
      <c r="I56" s="34"/>
    </row>
    <row r="57" spans="1:9" ht="24.95" customHeight="1" x14ac:dyDescent="0.25">
      <c r="A57" s="34"/>
      <c r="B57" s="106"/>
      <c r="C57" s="106"/>
      <c r="D57" s="32"/>
      <c r="E57" s="32"/>
      <c r="F57" s="35"/>
      <c r="G57" s="35"/>
      <c r="H57" s="34"/>
      <c r="I57" s="34"/>
    </row>
    <row r="58" spans="1:9" ht="24.95" customHeight="1" x14ac:dyDescent="0.25">
      <c r="A58" s="34"/>
      <c r="B58" s="106"/>
      <c r="C58" s="106"/>
      <c r="D58" s="32"/>
      <c r="E58" s="32"/>
      <c r="F58" s="35"/>
      <c r="G58" s="35"/>
      <c r="H58" s="34"/>
      <c r="I58" s="34"/>
    </row>
    <row r="59" spans="1:9" ht="24.95" customHeight="1" x14ac:dyDescent="0.25">
      <c r="A59" s="34"/>
      <c r="B59" s="106"/>
      <c r="C59" s="106"/>
      <c r="D59" s="32"/>
      <c r="E59" s="32"/>
      <c r="F59" s="35"/>
      <c r="G59" s="35"/>
      <c r="H59" s="34"/>
      <c r="I59" s="34"/>
    </row>
  </sheetData>
  <mergeCells count="1">
    <mergeCell ref="A5:I5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15 строк&amp;RСтраница  &amp;P из 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B0F0"/>
  </sheetPr>
  <dimension ref="A1:K59"/>
  <sheetViews>
    <sheetView view="pageBreakPreview" topLeftCell="A25" zoomScale="85" zoomScaleSheetLayoutView="85" workbookViewId="0">
      <selection activeCell="C37" sqref="C37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102</v>
      </c>
    </row>
    <row r="2" spans="1:11" x14ac:dyDescent="0.25">
      <c r="A2" s="38" t="s">
        <v>45</v>
      </c>
      <c r="B2" s="27" t="s">
        <v>513</v>
      </c>
      <c r="C2" s="41"/>
      <c r="D2" s="42"/>
    </row>
    <row r="3" spans="1:11" ht="20.100000000000001" customHeight="1" x14ac:dyDescent="0.25">
      <c r="A3" s="38" t="s">
        <v>110</v>
      </c>
      <c r="B3" s="36">
        <v>0.58965383826902595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0.63479272715791479</v>
      </c>
      <c r="C4" s="38" t="s">
        <v>105</v>
      </c>
      <c r="D4" s="36"/>
    </row>
    <row r="5" spans="1:11" ht="46.5" x14ac:dyDescent="0.25">
      <c r="A5" s="564" t="s">
        <v>408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92" t="s">
        <v>231</v>
      </c>
      <c r="D8" s="40"/>
    </row>
    <row r="9" spans="1:11" ht="21" x14ac:dyDescent="0.25">
      <c r="A9" s="93" t="s">
        <v>0</v>
      </c>
      <c r="B9" s="94" t="s">
        <v>108</v>
      </c>
      <c r="C9" s="94" t="s">
        <v>127</v>
      </c>
      <c r="D9" s="94" t="s">
        <v>106</v>
      </c>
      <c r="J9" s="30"/>
      <c r="K9" s="31"/>
    </row>
    <row r="10" spans="1:11" ht="30" customHeight="1" x14ac:dyDescent="0.25">
      <c r="A10" s="379">
        <v>2</v>
      </c>
      <c r="B10" s="106">
        <v>0.60138888888888886</v>
      </c>
      <c r="C10" s="106">
        <v>0.60972222222222217</v>
      </c>
      <c r="D10" s="43"/>
    </row>
    <row r="11" spans="1:11" ht="30" customHeight="1" x14ac:dyDescent="0.25">
      <c r="A11" s="34">
        <v>3</v>
      </c>
      <c r="B11" s="106">
        <v>0.60416666666666663</v>
      </c>
      <c r="C11" s="106">
        <v>0.61041666666666672</v>
      </c>
      <c r="D11" s="43"/>
    </row>
    <row r="12" spans="1:11" ht="30" customHeight="1" x14ac:dyDescent="0.25">
      <c r="A12" s="34">
        <v>4</v>
      </c>
      <c r="B12" s="106">
        <v>0.60555555555555551</v>
      </c>
      <c r="C12" s="106">
        <v>0.61111111111111105</v>
      </c>
      <c r="D12" s="43"/>
    </row>
    <row r="13" spans="1:11" ht="30" customHeight="1" x14ac:dyDescent="0.25">
      <c r="A13" s="34">
        <v>5</v>
      </c>
      <c r="B13" s="106">
        <v>0.60763888888888895</v>
      </c>
      <c r="C13" s="106">
        <v>0.6118055555555556</v>
      </c>
      <c r="D13" s="43"/>
    </row>
    <row r="14" spans="1:11" ht="30" customHeight="1" x14ac:dyDescent="0.25">
      <c r="A14" s="34">
        <v>9</v>
      </c>
      <c r="B14" s="106">
        <v>0.6118055555555556</v>
      </c>
      <c r="C14" s="106">
        <v>0.61249999999999993</v>
      </c>
      <c r="D14" s="43"/>
    </row>
    <row r="15" spans="1:11" ht="30" customHeight="1" x14ac:dyDescent="0.25">
      <c r="A15" s="34">
        <v>6</v>
      </c>
      <c r="B15" s="106"/>
      <c r="C15" s="106">
        <v>0.61319444444444449</v>
      </c>
      <c r="D15" s="43"/>
    </row>
    <row r="16" spans="1:11" ht="30" customHeight="1" x14ac:dyDescent="0.25">
      <c r="A16" s="34">
        <v>8</v>
      </c>
      <c r="B16" s="106"/>
      <c r="C16" s="106">
        <v>0.61458333333333337</v>
      </c>
      <c r="D16" s="43"/>
    </row>
    <row r="17" spans="1:4" ht="30" customHeight="1" x14ac:dyDescent="0.25">
      <c r="A17" s="34">
        <v>7</v>
      </c>
      <c r="B17" s="106"/>
      <c r="C17" s="106">
        <v>0.61527777777777781</v>
      </c>
      <c r="D17" s="43" t="s">
        <v>701</v>
      </c>
    </row>
    <row r="18" spans="1:4" ht="30" customHeight="1" x14ac:dyDescent="0.25">
      <c r="A18" s="34">
        <v>11</v>
      </c>
      <c r="B18" s="106">
        <v>0.61597222222222225</v>
      </c>
      <c r="C18" s="106">
        <v>0.61736111111111114</v>
      </c>
      <c r="D18" s="43"/>
    </row>
    <row r="19" spans="1:4" ht="30" customHeight="1" x14ac:dyDescent="0.25">
      <c r="A19" s="34">
        <v>15</v>
      </c>
      <c r="B19" s="106"/>
      <c r="C19" s="106">
        <v>0.61875000000000002</v>
      </c>
      <c r="D19" s="43"/>
    </row>
    <row r="20" spans="1:4" ht="30" customHeight="1" x14ac:dyDescent="0.25">
      <c r="A20" s="34">
        <v>13</v>
      </c>
      <c r="B20" s="106"/>
      <c r="C20" s="106">
        <v>0.62291666666666667</v>
      </c>
      <c r="D20" s="43"/>
    </row>
    <row r="21" spans="1:4" ht="30" customHeight="1" x14ac:dyDescent="0.25">
      <c r="A21" s="34">
        <v>14</v>
      </c>
      <c r="B21" s="106"/>
      <c r="C21" s="106">
        <v>0.62569444444444444</v>
      </c>
      <c r="D21" s="43"/>
    </row>
    <row r="22" spans="1:4" ht="30" customHeight="1" x14ac:dyDescent="0.25">
      <c r="A22" s="34">
        <v>20</v>
      </c>
      <c r="B22" s="106"/>
      <c r="C22" s="106">
        <v>0.62638888888888888</v>
      </c>
      <c r="D22" s="43"/>
    </row>
    <row r="23" spans="1:4" ht="30" customHeight="1" x14ac:dyDescent="0.25">
      <c r="A23" s="34">
        <v>18</v>
      </c>
      <c r="B23" s="106">
        <v>0.62708333333333333</v>
      </c>
      <c r="C23" s="106">
        <v>0.62847222222222221</v>
      </c>
      <c r="D23" s="43"/>
    </row>
    <row r="24" spans="1:4" ht="30" customHeight="1" x14ac:dyDescent="0.25">
      <c r="A24" s="34">
        <v>22</v>
      </c>
      <c r="B24" s="106"/>
      <c r="C24" s="106">
        <v>0.62916666666666665</v>
      </c>
      <c r="D24" s="43"/>
    </row>
    <row r="25" spans="1:4" ht="30" customHeight="1" x14ac:dyDescent="0.25">
      <c r="A25" s="34">
        <v>16</v>
      </c>
      <c r="B25" s="106"/>
      <c r="C25" s="106">
        <v>0.63263888888888886</v>
      </c>
      <c r="D25" s="43" t="s">
        <v>692</v>
      </c>
    </row>
    <row r="26" spans="1:4" ht="30" customHeight="1" x14ac:dyDescent="0.25">
      <c r="A26" s="34">
        <v>17</v>
      </c>
      <c r="B26" s="106"/>
      <c r="C26" s="106">
        <v>0.6333333333333333</v>
      </c>
      <c r="D26" s="43"/>
    </row>
    <row r="27" spans="1:4" ht="30" customHeight="1" x14ac:dyDescent="0.25">
      <c r="A27" s="34">
        <v>19</v>
      </c>
      <c r="B27" s="106"/>
      <c r="C27" s="106">
        <v>0.63472222222222219</v>
      </c>
      <c r="D27" s="43"/>
    </row>
    <row r="28" spans="1:4" ht="30" customHeight="1" x14ac:dyDescent="0.25">
      <c r="A28" s="34">
        <v>23</v>
      </c>
      <c r="B28" s="106"/>
      <c r="C28" s="106">
        <v>0.63611111111111118</v>
      </c>
      <c r="D28" s="43"/>
    </row>
    <row r="29" spans="1:4" ht="30" customHeight="1" x14ac:dyDescent="0.25">
      <c r="A29" s="34">
        <v>24</v>
      </c>
      <c r="B29" s="106"/>
      <c r="C29" s="106">
        <v>0.63680555555555551</v>
      </c>
      <c r="D29" s="43"/>
    </row>
    <row r="30" spans="1:4" ht="30" customHeight="1" x14ac:dyDescent="0.25">
      <c r="A30" s="34">
        <v>27</v>
      </c>
      <c r="B30" s="106"/>
      <c r="C30" s="106">
        <v>0.6381944444444444</v>
      </c>
      <c r="D30" s="43"/>
    </row>
    <row r="31" spans="1:4" ht="30" customHeight="1" x14ac:dyDescent="0.25">
      <c r="A31" s="34">
        <v>25</v>
      </c>
      <c r="B31" s="106"/>
      <c r="C31" s="106">
        <v>0.63958333333333328</v>
      </c>
      <c r="D31" s="43"/>
    </row>
    <row r="32" spans="1:4" ht="30" customHeight="1" x14ac:dyDescent="0.25">
      <c r="A32" s="34">
        <v>28</v>
      </c>
      <c r="B32" s="106"/>
      <c r="C32" s="106">
        <v>0.64027777777777783</v>
      </c>
      <c r="D32" s="43"/>
    </row>
    <row r="33" spans="1:4" ht="30" customHeight="1" x14ac:dyDescent="0.25">
      <c r="A33" s="34">
        <v>26</v>
      </c>
      <c r="B33" s="106"/>
      <c r="C33" s="106">
        <v>0.64097222222222217</v>
      </c>
      <c r="D33" s="43"/>
    </row>
    <row r="34" spans="1:4" ht="30" customHeight="1" x14ac:dyDescent="0.25">
      <c r="A34" s="34">
        <v>1</v>
      </c>
      <c r="B34" s="106"/>
      <c r="C34" s="106">
        <v>0.64583333333333337</v>
      </c>
      <c r="D34" s="43"/>
    </row>
    <row r="35" spans="1:4" ht="30" customHeight="1" x14ac:dyDescent="0.25">
      <c r="A35" s="34">
        <v>10</v>
      </c>
      <c r="B35" s="106"/>
      <c r="C35" s="106">
        <v>0.65069444444444446</v>
      </c>
      <c r="D35" s="43"/>
    </row>
    <row r="36" spans="1:4" ht="30" customHeight="1" x14ac:dyDescent="0.25">
      <c r="A36" s="379" t="s">
        <v>629</v>
      </c>
      <c r="B36" s="106"/>
      <c r="C36" s="106">
        <v>0.6069444444444444</v>
      </c>
      <c r="D36" s="43"/>
    </row>
    <row r="37" spans="1:4" ht="30" customHeight="1" x14ac:dyDescent="0.25">
      <c r="A37" s="34"/>
      <c r="B37" s="106"/>
      <c r="C37" s="106"/>
      <c r="D37" s="43"/>
    </row>
    <row r="38" spans="1:4" ht="30" customHeight="1" x14ac:dyDescent="0.25">
      <c r="A38" s="34"/>
      <c r="B38" s="106"/>
      <c r="C38" s="106"/>
      <c r="D38" s="43"/>
    </row>
    <row r="39" spans="1:4" ht="30" customHeight="1" x14ac:dyDescent="0.25">
      <c r="A39" s="34"/>
      <c r="B39" s="106"/>
      <c r="C39" s="106"/>
      <c r="D39" s="43"/>
    </row>
    <row r="40" spans="1:4" ht="30" customHeight="1" x14ac:dyDescent="0.25">
      <c r="A40" s="34"/>
      <c r="B40" s="106"/>
      <c r="C40" s="106"/>
      <c r="D40" s="43"/>
    </row>
    <row r="41" spans="1:4" ht="30" customHeight="1" x14ac:dyDescent="0.25">
      <c r="A41" s="34"/>
      <c r="B41" s="106"/>
      <c r="C41" s="106"/>
      <c r="D41" s="43"/>
    </row>
    <row r="42" spans="1:4" ht="30" customHeight="1" x14ac:dyDescent="0.25">
      <c r="A42" s="34"/>
      <c r="B42" s="106"/>
      <c r="C42" s="106"/>
      <c r="D42" s="43"/>
    </row>
    <row r="43" spans="1:4" ht="30" customHeight="1" x14ac:dyDescent="0.25">
      <c r="A43" s="34"/>
      <c r="B43" s="106"/>
      <c r="C43" s="106"/>
      <c r="D43" s="43"/>
    </row>
    <row r="44" spans="1:4" ht="30" customHeight="1" x14ac:dyDescent="0.25">
      <c r="A44" s="34"/>
      <c r="B44" s="106"/>
      <c r="C44" s="106"/>
      <c r="D44" s="43"/>
    </row>
    <row r="45" spans="1:4" ht="30" customHeight="1" x14ac:dyDescent="0.25">
      <c r="A45" s="34"/>
      <c r="B45" s="106"/>
      <c r="C45" s="106"/>
      <c r="D45" s="43"/>
    </row>
    <row r="46" spans="1:4" ht="30" customHeight="1" x14ac:dyDescent="0.25">
      <c r="A46" s="34"/>
      <c r="B46" s="106"/>
      <c r="C46" s="106"/>
      <c r="D46" s="43"/>
    </row>
    <row r="47" spans="1:4" ht="30" customHeight="1" x14ac:dyDescent="0.25">
      <c r="A47" s="34"/>
      <c r="B47" s="106"/>
      <c r="C47" s="106"/>
      <c r="D47" s="43"/>
    </row>
    <row r="48" spans="1:4" ht="30" customHeight="1" x14ac:dyDescent="0.25">
      <c r="A48" s="34"/>
      <c r="B48" s="106"/>
      <c r="C48" s="106"/>
      <c r="D48" s="43"/>
    </row>
    <row r="49" spans="1:4" ht="30" customHeight="1" x14ac:dyDescent="0.25">
      <c r="A49" s="34"/>
      <c r="B49" s="106"/>
      <c r="C49" s="106"/>
      <c r="D49" s="43"/>
    </row>
    <row r="50" spans="1:4" ht="30" customHeight="1" x14ac:dyDescent="0.25">
      <c r="A50" s="34"/>
      <c r="B50" s="106"/>
      <c r="C50" s="106"/>
      <c r="D50" s="43"/>
    </row>
    <row r="51" spans="1:4" ht="30" customHeight="1" x14ac:dyDescent="0.25">
      <c r="A51" s="34"/>
      <c r="B51" s="106"/>
      <c r="C51" s="106"/>
      <c r="D51" s="43"/>
    </row>
    <row r="52" spans="1:4" ht="30" customHeight="1" x14ac:dyDescent="0.25">
      <c r="A52" s="34"/>
      <c r="B52" s="106"/>
      <c r="C52" s="106"/>
      <c r="D52" s="43"/>
    </row>
    <row r="53" spans="1:4" ht="30" customHeight="1" x14ac:dyDescent="0.25">
      <c r="A53" s="34"/>
      <c r="B53" s="106"/>
      <c r="C53" s="106"/>
      <c r="D53" s="43"/>
    </row>
    <row r="54" spans="1:4" ht="30" customHeight="1" x14ac:dyDescent="0.25">
      <c r="A54" s="34"/>
      <c r="B54" s="106"/>
      <c r="C54" s="106"/>
      <c r="D54" s="43"/>
    </row>
    <row r="55" spans="1:4" ht="30" customHeight="1" x14ac:dyDescent="0.25">
      <c r="A55" s="34"/>
      <c r="B55" s="106"/>
      <c r="C55" s="106"/>
      <c r="D55" s="43"/>
    </row>
    <row r="56" spans="1:4" ht="30" customHeight="1" x14ac:dyDescent="0.25">
      <c r="A56" s="34"/>
      <c r="B56" s="106"/>
      <c r="C56" s="106"/>
      <c r="D56" s="43"/>
    </row>
    <row r="57" spans="1:4" ht="30" customHeight="1" x14ac:dyDescent="0.25">
      <c r="A57" s="34"/>
      <c r="B57" s="106"/>
      <c r="C57" s="106"/>
      <c r="D57" s="43"/>
    </row>
    <row r="58" spans="1:4" ht="30" customHeight="1" x14ac:dyDescent="0.25">
      <c r="A58" s="34"/>
      <c r="B58" s="106"/>
      <c r="C58" s="106"/>
      <c r="D58" s="43"/>
    </row>
    <row r="59" spans="1:4" ht="30" customHeight="1" x14ac:dyDescent="0.25">
      <c r="A59" s="34"/>
      <c r="B59" s="106"/>
      <c r="C59" s="106"/>
      <c r="D59" s="43"/>
    </row>
  </sheetData>
  <sheetProtection sheet="1" objects="1" scenarios="1"/>
  <mergeCells count="1">
    <mergeCell ref="A5:D5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154"/>
  <sheetViews>
    <sheetView view="pageBreakPreview" zoomScaleNormal="100" zoomScaleSheetLayoutView="100" workbookViewId="0"/>
  </sheetViews>
  <sheetFormatPr defaultRowHeight="15" x14ac:dyDescent="0.25"/>
  <cols>
    <col min="1" max="2" width="6.7109375" style="1" customWidth="1"/>
    <col min="3" max="5" width="22.7109375" style="1" customWidth="1"/>
    <col min="6" max="6" width="6.7109375" style="1" customWidth="1"/>
    <col min="7" max="164" width="9.140625" style="1"/>
    <col min="165" max="165" width="18.7109375" style="1" customWidth="1"/>
    <col min="166" max="166" width="18.140625" style="1" customWidth="1"/>
    <col min="167" max="167" width="8.7109375" style="1" customWidth="1"/>
    <col min="168" max="168" width="9.140625" style="1"/>
    <col min="169" max="169" width="9.140625" style="1" customWidth="1"/>
    <col min="170" max="170" width="27.28515625" style="1" customWidth="1"/>
    <col min="171" max="206" width="9.140625" style="1" customWidth="1"/>
    <col min="207" max="420" width="9.140625" style="1"/>
    <col min="421" max="421" width="18.7109375" style="1" customWidth="1"/>
    <col min="422" max="422" width="18.140625" style="1" customWidth="1"/>
    <col min="423" max="423" width="8.7109375" style="1" customWidth="1"/>
    <col min="424" max="424" width="9.140625" style="1"/>
    <col min="425" max="425" width="9.140625" style="1" customWidth="1"/>
    <col min="426" max="426" width="27.28515625" style="1" customWidth="1"/>
    <col min="427" max="462" width="9.140625" style="1" customWidth="1"/>
    <col min="463" max="676" width="9.140625" style="1"/>
    <col min="677" max="677" width="18.7109375" style="1" customWidth="1"/>
    <col min="678" max="678" width="18.140625" style="1" customWidth="1"/>
    <col min="679" max="679" width="8.7109375" style="1" customWidth="1"/>
    <col min="680" max="680" width="9.140625" style="1"/>
    <col min="681" max="681" width="9.140625" style="1" customWidth="1"/>
    <col min="682" max="682" width="27.28515625" style="1" customWidth="1"/>
    <col min="683" max="718" width="9.140625" style="1" customWidth="1"/>
    <col min="719" max="932" width="9.140625" style="1"/>
    <col min="933" max="933" width="18.7109375" style="1" customWidth="1"/>
    <col min="934" max="934" width="18.140625" style="1" customWidth="1"/>
    <col min="935" max="935" width="8.7109375" style="1" customWidth="1"/>
    <col min="936" max="936" width="9.140625" style="1"/>
    <col min="937" max="937" width="9.140625" style="1" customWidth="1"/>
    <col min="938" max="938" width="27.28515625" style="1" customWidth="1"/>
    <col min="939" max="974" width="9.140625" style="1" customWidth="1"/>
    <col min="975" max="1188" width="9.140625" style="1"/>
    <col min="1189" max="1189" width="18.7109375" style="1" customWidth="1"/>
    <col min="1190" max="1190" width="18.140625" style="1" customWidth="1"/>
    <col min="1191" max="1191" width="8.7109375" style="1" customWidth="1"/>
    <col min="1192" max="1192" width="9.140625" style="1"/>
    <col min="1193" max="1193" width="9.140625" style="1" customWidth="1"/>
    <col min="1194" max="1194" width="27.28515625" style="1" customWidth="1"/>
    <col min="1195" max="1230" width="9.140625" style="1" customWidth="1"/>
    <col min="1231" max="1444" width="9.140625" style="1"/>
    <col min="1445" max="1445" width="18.7109375" style="1" customWidth="1"/>
    <col min="1446" max="1446" width="18.140625" style="1" customWidth="1"/>
    <col min="1447" max="1447" width="8.7109375" style="1" customWidth="1"/>
    <col min="1448" max="1448" width="9.140625" style="1"/>
    <col min="1449" max="1449" width="9.140625" style="1" customWidth="1"/>
    <col min="1450" max="1450" width="27.28515625" style="1" customWidth="1"/>
    <col min="1451" max="1486" width="9.140625" style="1" customWidth="1"/>
    <col min="1487" max="1700" width="9.140625" style="1"/>
    <col min="1701" max="1701" width="18.7109375" style="1" customWidth="1"/>
    <col min="1702" max="1702" width="18.140625" style="1" customWidth="1"/>
    <col min="1703" max="1703" width="8.7109375" style="1" customWidth="1"/>
    <col min="1704" max="1704" width="9.140625" style="1"/>
    <col min="1705" max="1705" width="9.140625" style="1" customWidth="1"/>
    <col min="1706" max="1706" width="27.28515625" style="1" customWidth="1"/>
    <col min="1707" max="1742" width="9.140625" style="1" customWidth="1"/>
    <col min="1743" max="1956" width="9.140625" style="1"/>
    <col min="1957" max="1957" width="18.7109375" style="1" customWidth="1"/>
    <col min="1958" max="1958" width="18.140625" style="1" customWidth="1"/>
    <col min="1959" max="1959" width="8.7109375" style="1" customWidth="1"/>
    <col min="1960" max="1960" width="9.140625" style="1"/>
    <col min="1961" max="1961" width="9.140625" style="1" customWidth="1"/>
    <col min="1962" max="1962" width="27.28515625" style="1" customWidth="1"/>
    <col min="1963" max="1998" width="9.140625" style="1" customWidth="1"/>
    <col min="1999" max="2212" width="9.140625" style="1"/>
    <col min="2213" max="2213" width="18.7109375" style="1" customWidth="1"/>
    <col min="2214" max="2214" width="18.140625" style="1" customWidth="1"/>
    <col min="2215" max="2215" width="8.7109375" style="1" customWidth="1"/>
    <col min="2216" max="2216" width="9.140625" style="1"/>
    <col min="2217" max="2217" width="9.140625" style="1" customWidth="1"/>
    <col min="2218" max="2218" width="27.28515625" style="1" customWidth="1"/>
    <col min="2219" max="2254" width="9.140625" style="1" customWidth="1"/>
    <col min="2255" max="2468" width="9.140625" style="1"/>
    <col min="2469" max="2469" width="18.7109375" style="1" customWidth="1"/>
    <col min="2470" max="2470" width="18.140625" style="1" customWidth="1"/>
    <col min="2471" max="2471" width="8.7109375" style="1" customWidth="1"/>
    <col min="2472" max="2472" width="9.140625" style="1"/>
    <col min="2473" max="2473" width="9.140625" style="1" customWidth="1"/>
    <col min="2474" max="2474" width="27.28515625" style="1" customWidth="1"/>
    <col min="2475" max="2510" width="9.140625" style="1" customWidth="1"/>
    <col min="2511" max="2724" width="9.140625" style="1"/>
    <col min="2725" max="2725" width="18.7109375" style="1" customWidth="1"/>
    <col min="2726" max="2726" width="18.140625" style="1" customWidth="1"/>
    <col min="2727" max="2727" width="8.7109375" style="1" customWidth="1"/>
    <col min="2728" max="2728" width="9.140625" style="1"/>
    <col min="2729" max="2729" width="9.140625" style="1" customWidth="1"/>
    <col min="2730" max="2730" width="27.28515625" style="1" customWidth="1"/>
    <col min="2731" max="2766" width="9.140625" style="1" customWidth="1"/>
    <col min="2767" max="2980" width="9.140625" style="1"/>
    <col min="2981" max="2981" width="18.7109375" style="1" customWidth="1"/>
    <col min="2982" max="2982" width="18.140625" style="1" customWidth="1"/>
    <col min="2983" max="2983" width="8.7109375" style="1" customWidth="1"/>
    <col min="2984" max="2984" width="9.140625" style="1"/>
    <col min="2985" max="2985" width="9.140625" style="1" customWidth="1"/>
    <col min="2986" max="2986" width="27.28515625" style="1" customWidth="1"/>
    <col min="2987" max="3022" width="9.140625" style="1" customWidth="1"/>
    <col min="3023" max="3236" width="9.140625" style="1"/>
    <col min="3237" max="3237" width="18.7109375" style="1" customWidth="1"/>
    <col min="3238" max="3238" width="18.140625" style="1" customWidth="1"/>
    <col min="3239" max="3239" width="8.7109375" style="1" customWidth="1"/>
    <col min="3240" max="3240" width="9.140625" style="1"/>
    <col min="3241" max="3241" width="9.140625" style="1" customWidth="1"/>
    <col min="3242" max="3242" width="27.28515625" style="1" customWidth="1"/>
    <col min="3243" max="3278" width="9.140625" style="1" customWidth="1"/>
    <col min="3279" max="3492" width="9.140625" style="1"/>
    <col min="3493" max="3493" width="18.7109375" style="1" customWidth="1"/>
    <col min="3494" max="3494" width="18.140625" style="1" customWidth="1"/>
    <col min="3495" max="3495" width="8.7109375" style="1" customWidth="1"/>
    <col min="3496" max="3496" width="9.140625" style="1"/>
    <col min="3497" max="3497" width="9.140625" style="1" customWidth="1"/>
    <col min="3498" max="3498" width="27.28515625" style="1" customWidth="1"/>
    <col min="3499" max="3534" width="9.140625" style="1" customWidth="1"/>
    <col min="3535" max="3748" width="9.140625" style="1"/>
    <col min="3749" max="3749" width="18.7109375" style="1" customWidth="1"/>
    <col min="3750" max="3750" width="18.140625" style="1" customWidth="1"/>
    <col min="3751" max="3751" width="8.7109375" style="1" customWidth="1"/>
    <col min="3752" max="3752" width="9.140625" style="1"/>
    <col min="3753" max="3753" width="9.140625" style="1" customWidth="1"/>
    <col min="3754" max="3754" width="27.28515625" style="1" customWidth="1"/>
    <col min="3755" max="3790" width="9.140625" style="1" customWidth="1"/>
    <col min="3791" max="4004" width="9.140625" style="1"/>
    <col min="4005" max="4005" width="18.7109375" style="1" customWidth="1"/>
    <col min="4006" max="4006" width="18.140625" style="1" customWidth="1"/>
    <col min="4007" max="4007" width="8.7109375" style="1" customWidth="1"/>
    <col min="4008" max="4008" width="9.140625" style="1"/>
    <col min="4009" max="4009" width="9.140625" style="1" customWidth="1"/>
    <col min="4010" max="4010" width="27.28515625" style="1" customWidth="1"/>
    <col min="4011" max="4046" width="9.140625" style="1" customWidth="1"/>
    <col min="4047" max="4260" width="9.140625" style="1"/>
    <col min="4261" max="4261" width="18.7109375" style="1" customWidth="1"/>
    <col min="4262" max="4262" width="18.140625" style="1" customWidth="1"/>
    <col min="4263" max="4263" width="8.7109375" style="1" customWidth="1"/>
    <col min="4264" max="4264" width="9.140625" style="1"/>
    <col min="4265" max="4265" width="9.140625" style="1" customWidth="1"/>
    <col min="4266" max="4266" width="27.28515625" style="1" customWidth="1"/>
    <col min="4267" max="4302" width="9.140625" style="1" customWidth="1"/>
    <col min="4303" max="4516" width="9.140625" style="1"/>
    <col min="4517" max="4517" width="18.7109375" style="1" customWidth="1"/>
    <col min="4518" max="4518" width="18.140625" style="1" customWidth="1"/>
    <col min="4519" max="4519" width="8.7109375" style="1" customWidth="1"/>
    <col min="4520" max="4520" width="9.140625" style="1"/>
    <col min="4521" max="4521" width="9.140625" style="1" customWidth="1"/>
    <col min="4522" max="4522" width="27.28515625" style="1" customWidth="1"/>
    <col min="4523" max="4558" width="9.140625" style="1" customWidth="1"/>
    <col min="4559" max="4772" width="9.140625" style="1"/>
    <col min="4773" max="4773" width="18.7109375" style="1" customWidth="1"/>
    <col min="4774" max="4774" width="18.140625" style="1" customWidth="1"/>
    <col min="4775" max="4775" width="8.7109375" style="1" customWidth="1"/>
    <col min="4776" max="4776" width="9.140625" style="1"/>
    <col min="4777" max="4777" width="9.140625" style="1" customWidth="1"/>
    <col min="4778" max="4778" width="27.28515625" style="1" customWidth="1"/>
    <col min="4779" max="4814" width="9.140625" style="1" customWidth="1"/>
    <col min="4815" max="5028" width="9.140625" style="1"/>
    <col min="5029" max="5029" width="18.7109375" style="1" customWidth="1"/>
    <col min="5030" max="5030" width="18.140625" style="1" customWidth="1"/>
    <col min="5031" max="5031" width="8.7109375" style="1" customWidth="1"/>
    <col min="5032" max="5032" width="9.140625" style="1"/>
    <col min="5033" max="5033" width="9.140625" style="1" customWidth="1"/>
    <col min="5034" max="5034" width="27.28515625" style="1" customWidth="1"/>
    <col min="5035" max="5070" width="9.140625" style="1" customWidth="1"/>
    <col min="5071" max="5284" width="9.140625" style="1"/>
    <col min="5285" max="5285" width="18.7109375" style="1" customWidth="1"/>
    <col min="5286" max="5286" width="18.140625" style="1" customWidth="1"/>
    <col min="5287" max="5287" width="8.7109375" style="1" customWidth="1"/>
    <col min="5288" max="5288" width="9.140625" style="1"/>
    <col min="5289" max="5289" width="9.140625" style="1" customWidth="1"/>
    <col min="5290" max="5290" width="27.28515625" style="1" customWidth="1"/>
    <col min="5291" max="5326" width="9.140625" style="1" customWidth="1"/>
    <col min="5327" max="5540" width="9.140625" style="1"/>
    <col min="5541" max="5541" width="18.7109375" style="1" customWidth="1"/>
    <col min="5542" max="5542" width="18.140625" style="1" customWidth="1"/>
    <col min="5543" max="5543" width="8.7109375" style="1" customWidth="1"/>
    <col min="5544" max="5544" width="9.140625" style="1"/>
    <col min="5545" max="5545" width="9.140625" style="1" customWidth="1"/>
    <col min="5546" max="5546" width="27.28515625" style="1" customWidth="1"/>
    <col min="5547" max="5582" width="9.140625" style="1" customWidth="1"/>
    <col min="5583" max="5796" width="9.140625" style="1"/>
    <col min="5797" max="5797" width="18.7109375" style="1" customWidth="1"/>
    <col min="5798" max="5798" width="18.140625" style="1" customWidth="1"/>
    <col min="5799" max="5799" width="8.7109375" style="1" customWidth="1"/>
    <col min="5800" max="5800" width="9.140625" style="1"/>
    <col min="5801" max="5801" width="9.140625" style="1" customWidth="1"/>
    <col min="5802" max="5802" width="27.28515625" style="1" customWidth="1"/>
    <col min="5803" max="5838" width="9.140625" style="1" customWidth="1"/>
    <col min="5839" max="6052" width="9.140625" style="1"/>
    <col min="6053" max="6053" width="18.7109375" style="1" customWidth="1"/>
    <col min="6054" max="6054" width="18.140625" style="1" customWidth="1"/>
    <col min="6055" max="6055" width="8.7109375" style="1" customWidth="1"/>
    <col min="6056" max="6056" width="9.140625" style="1"/>
    <col min="6057" max="6057" width="9.140625" style="1" customWidth="1"/>
    <col min="6058" max="6058" width="27.28515625" style="1" customWidth="1"/>
    <col min="6059" max="6094" width="9.140625" style="1" customWidth="1"/>
    <col min="6095" max="6308" width="9.140625" style="1"/>
    <col min="6309" max="6309" width="18.7109375" style="1" customWidth="1"/>
    <col min="6310" max="6310" width="18.140625" style="1" customWidth="1"/>
    <col min="6311" max="6311" width="8.7109375" style="1" customWidth="1"/>
    <col min="6312" max="6312" width="9.140625" style="1"/>
    <col min="6313" max="6313" width="9.140625" style="1" customWidth="1"/>
    <col min="6314" max="6314" width="27.28515625" style="1" customWidth="1"/>
    <col min="6315" max="6350" width="9.140625" style="1" customWidth="1"/>
    <col min="6351" max="6564" width="9.140625" style="1"/>
    <col min="6565" max="6565" width="18.7109375" style="1" customWidth="1"/>
    <col min="6566" max="6566" width="18.140625" style="1" customWidth="1"/>
    <col min="6567" max="6567" width="8.7109375" style="1" customWidth="1"/>
    <col min="6568" max="6568" width="9.140625" style="1"/>
    <col min="6569" max="6569" width="9.140625" style="1" customWidth="1"/>
    <col min="6570" max="6570" width="27.28515625" style="1" customWidth="1"/>
    <col min="6571" max="6606" width="9.140625" style="1" customWidth="1"/>
    <col min="6607" max="6820" width="9.140625" style="1"/>
    <col min="6821" max="6821" width="18.7109375" style="1" customWidth="1"/>
    <col min="6822" max="6822" width="18.140625" style="1" customWidth="1"/>
    <col min="6823" max="6823" width="8.7109375" style="1" customWidth="1"/>
    <col min="6824" max="6824" width="9.140625" style="1"/>
    <col min="6825" max="6825" width="9.140625" style="1" customWidth="1"/>
    <col min="6826" max="6826" width="27.28515625" style="1" customWidth="1"/>
    <col min="6827" max="6862" width="9.140625" style="1" customWidth="1"/>
    <col min="6863" max="7076" width="9.140625" style="1"/>
    <col min="7077" max="7077" width="18.7109375" style="1" customWidth="1"/>
    <col min="7078" max="7078" width="18.140625" style="1" customWidth="1"/>
    <col min="7079" max="7079" width="8.7109375" style="1" customWidth="1"/>
    <col min="7080" max="7080" width="9.140625" style="1"/>
    <col min="7081" max="7081" width="9.140625" style="1" customWidth="1"/>
    <col min="7082" max="7082" width="27.28515625" style="1" customWidth="1"/>
    <col min="7083" max="7118" width="9.140625" style="1" customWidth="1"/>
    <col min="7119" max="7332" width="9.140625" style="1"/>
    <col min="7333" max="7333" width="18.7109375" style="1" customWidth="1"/>
    <col min="7334" max="7334" width="18.140625" style="1" customWidth="1"/>
    <col min="7335" max="7335" width="8.7109375" style="1" customWidth="1"/>
    <col min="7336" max="7336" width="9.140625" style="1"/>
    <col min="7337" max="7337" width="9.140625" style="1" customWidth="1"/>
    <col min="7338" max="7338" width="27.28515625" style="1" customWidth="1"/>
    <col min="7339" max="7374" width="9.140625" style="1" customWidth="1"/>
    <col min="7375" max="7588" width="9.140625" style="1"/>
    <col min="7589" max="7589" width="18.7109375" style="1" customWidth="1"/>
    <col min="7590" max="7590" width="18.140625" style="1" customWidth="1"/>
    <col min="7591" max="7591" width="8.7109375" style="1" customWidth="1"/>
    <col min="7592" max="7592" width="9.140625" style="1"/>
    <col min="7593" max="7593" width="9.140625" style="1" customWidth="1"/>
    <col min="7594" max="7594" width="27.28515625" style="1" customWidth="1"/>
    <col min="7595" max="7630" width="9.140625" style="1" customWidth="1"/>
    <col min="7631" max="7844" width="9.140625" style="1"/>
    <col min="7845" max="7845" width="18.7109375" style="1" customWidth="1"/>
    <col min="7846" max="7846" width="18.140625" style="1" customWidth="1"/>
    <col min="7847" max="7847" width="8.7109375" style="1" customWidth="1"/>
    <col min="7848" max="7848" width="9.140625" style="1"/>
    <col min="7849" max="7849" width="9.140625" style="1" customWidth="1"/>
    <col min="7850" max="7850" width="27.28515625" style="1" customWidth="1"/>
    <col min="7851" max="7886" width="9.140625" style="1" customWidth="1"/>
    <col min="7887" max="8100" width="9.140625" style="1"/>
    <col min="8101" max="8101" width="18.7109375" style="1" customWidth="1"/>
    <col min="8102" max="8102" width="18.140625" style="1" customWidth="1"/>
    <col min="8103" max="8103" width="8.7109375" style="1" customWidth="1"/>
    <col min="8104" max="8104" width="9.140625" style="1"/>
    <col min="8105" max="8105" width="9.140625" style="1" customWidth="1"/>
    <col min="8106" max="8106" width="27.28515625" style="1" customWidth="1"/>
    <col min="8107" max="8142" width="9.140625" style="1" customWidth="1"/>
    <col min="8143" max="8356" width="9.140625" style="1"/>
    <col min="8357" max="8357" width="18.7109375" style="1" customWidth="1"/>
    <col min="8358" max="8358" width="18.140625" style="1" customWidth="1"/>
    <col min="8359" max="8359" width="8.7109375" style="1" customWidth="1"/>
    <col min="8360" max="8360" width="9.140625" style="1"/>
    <col min="8361" max="8361" width="9.140625" style="1" customWidth="1"/>
    <col min="8362" max="8362" width="27.28515625" style="1" customWidth="1"/>
    <col min="8363" max="8398" width="9.140625" style="1" customWidth="1"/>
    <col min="8399" max="8612" width="9.140625" style="1"/>
    <col min="8613" max="8613" width="18.7109375" style="1" customWidth="1"/>
    <col min="8614" max="8614" width="18.140625" style="1" customWidth="1"/>
    <col min="8615" max="8615" width="8.7109375" style="1" customWidth="1"/>
    <col min="8616" max="8616" width="9.140625" style="1"/>
    <col min="8617" max="8617" width="9.140625" style="1" customWidth="1"/>
    <col min="8618" max="8618" width="27.28515625" style="1" customWidth="1"/>
    <col min="8619" max="8654" width="9.140625" style="1" customWidth="1"/>
    <col min="8655" max="8868" width="9.140625" style="1"/>
    <col min="8869" max="8869" width="18.7109375" style="1" customWidth="1"/>
    <col min="8870" max="8870" width="18.140625" style="1" customWidth="1"/>
    <col min="8871" max="8871" width="8.7109375" style="1" customWidth="1"/>
    <col min="8872" max="8872" width="9.140625" style="1"/>
    <col min="8873" max="8873" width="9.140625" style="1" customWidth="1"/>
    <col min="8874" max="8874" width="27.28515625" style="1" customWidth="1"/>
    <col min="8875" max="8910" width="9.140625" style="1" customWidth="1"/>
    <col min="8911" max="9124" width="9.140625" style="1"/>
    <col min="9125" max="9125" width="18.7109375" style="1" customWidth="1"/>
    <col min="9126" max="9126" width="18.140625" style="1" customWidth="1"/>
    <col min="9127" max="9127" width="8.7109375" style="1" customWidth="1"/>
    <col min="9128" max="9128" width="9.140625" style="1"/>
    <col min="9129" max="9129" width="9.140625" style="1" customWidth="1"/>
    <col min="9130" max="9130" width="27.28515625" style="1" customWidth="1"/>
    <col min="9131" max="9166" width="9.140625" style="1" customWidth="1"/>
    <col min="9167" max="9380" width="9.140625" style="1"/>
    <col min="9381" max="9381" width="18.7109375" style="1" customWidth="1"/>
    <col min="9382" max="9382" width="18.140625" style="1" customWidth="1"/>
    <col min="9383" max="9383" width="8.7109375" style="1" customWidth="1"/>
    <col min="9384" max="9384" width="9.140625" style="1"/>
    <col min="9385" max="9385" width="9.140625" style="1" customWidth="1"/>
    <col min="9386" max="9386" width="27.28515625" style="1" customWidth="1"/>
    <col min="9387" max="9422" width="9.140625" style="1" customWidth="1"/>
    <col min="9423" max="9636" width="9.140625" style="1"/>
    <col min="9637" max="9637" width="18.7109375" style="1" customWidth="1"/>
    <col min="9638" max="9638" width="18.140625" style="1" customWidth="1"/>
    <col min="9639" max="9639" width="8.7109375" style="1" customWidth="1"/>
    <col min="9640" max="9640" width="9.140625" style="1"/>
    <col min="9641" max="9641" width="9.140625" style="1" customWidth="1"/>
    <col min="9642" max="9642" width="27.28515625" style="1" customWidth="1"/>
    <col min="9643" max="9678" width="9.140625" style="1" customWidth="1"/>
    <col min="9679" max="9892" width="9.140625" style="1"/>
    <col min="9893" max="9893" width="18.7109375" style="1" customWidth="1"/>
    <col min="9894" max="9894" width="18.140625" style="1" customWidth="1"/>
    <col min="9895" max="9895" width="8.7109375" style="1" customWidth="1"/>
    <col min="9896" max="9896" width="9.140625" style="1"/>
    <col min="9897" max="9897" width="9.140625" style="1" customWidth="1"/>
    <col min="9898" max="9898" width="27.28515625" style="1" customWidth="1"/>
    <col min="9899" max="9934" width="9.140625" style="1" customWidth="1"/>
    <col min="9935" max="10148" width="9.140625" style="1"/>
    <col min="10149" max="10149" width="18.7109375" style="1" customWidth="1"/>
    <col min="10150" max="10150" width="18.140625" style="1" customWidth="1"/>
    <col min="10151" max="10151" width="8.7109375" style="1" customWidth="1"/>
    <col min="10152" max="10152" width="9.140625" style="1"/>
    <col min="10153" max="10153" width="9.140625" style="1" customWidth="1"/>
    <col min="10154" max="10154" width="27.28515625" style="1" customWidth="1"/>
    <col min="10155" max="10190" width="9.140625" style="1" customWidth="1"/>
    <col min="10191" max="10404" width="9.140625" style="1"/>
    <col min="10405" max="10405" width="18.7109375" style="1" customWidth="1"/>
    <col min="10406" max="10406" width="18.140625" style="1" customWidth="1"/>
    <col min="10407" max="10407" width="8.7109375" style="1" customWidth="1"/>
    <col min="10408" max="10408" width="9.140625" style="1"/>
    <col min="10409" max="10409" width="9.140625" style="1" customWidth="1"/>
    <col min="10410" max="10410" width="27.28515625" style="1" customWidth="1"/>
    <col min="10411" max="10446" width="9.140625" style="1" customWidth="1"/>
    <col min="10447" max="10660" width="9.140625" style="1"/>
    <col min="10661" max="10661" width="18.7109375" style="1" customWidth="1"/>
    <col min="10662" max="10662" width="18.140625" style="1" customWidth="1"/>
    <col min="10663" max="10663" width="8.7109375" style="1" customWidth="1"/>
    <col min="10664" max="10664" width="9.140625" style="1"/>
    <col min="10665" max="10665" width="9.140625" style="1" customWidth="1"/>
    <col min="10666" max="10666" width="27.28515625" style="1" customWidth="1"/>
    <col min="10667" max="10702" width="9.140625" style="1" customWidth="1"/>
    <col min="10703" max="10916" width="9.140625" style="1"/>
    <col min="10917" max="10917" width="18.7109375" style="1" customWidth="1"/>
    <col min="10918" max="10918" width="18.140625" style="1" customWidth="1"/>
    <col min="10919" max="10919" width="8.7109375" style="1" customWidth="1"/>
    <col min="10920" max="10920" width="9.140625" style="1"/>
    <col min="10921" max="10921" width="9.140625" style="1" customWidth="1"/>
    <col min="10922" max="10922" width="27.28515625" style="1" customWidth="1"/>
    <col min="10923" max="10958" width="9.140625" style="1" customWidth="1"/>
    <col min="10959" max="11172" width="9.140625" style="1"/>
    <col min="11173" max="11173" width="18.7109375" style="1" customWidth="1"/>
    <col min="11174" max="11174" width="18.140625" style="1" customWidth="1"/>
    <col min="11175" max="11175" width="8.7109375" style="1" customWidth="1"/>
    <col min="11176" max="11176" width="9.140625" style="1"/>
    <col min="11177" max="11177" width="9.140625" style="1" customWidth="1"/>
    <col min="11178" max="11178" width="27.28515625" style="1" customWidth="1"/>
    <col min="11179" max="11214" width="9.140625" style="1" customWidth="1"/>
    <col min="11215" max="11428" width="9.140625" style="1"/>
    <col min="11429" max="11429" width="18.7109375" style="1" customWidth="1"/>
    <col min="11430" max="11430" width="18.140625" style="1" customWidth="1"/>
    <col min="11431" max="11431" width="8.7109375" style="1" customWidth="1"/>
    <col min="11432" max="11432" width="9.140625" style="1"/>
    <col min="11433" max="11433" width="9.140625" style="1" customWidth="1"/>
    <col min="11434" max="11434" width="27.28515625" style="1" customWidth="1"/>
    <col min="11435" max="11470" width="9.140625" style="1" customWidth="1"/>
    <col min="11471" max="11684" width="9.140625" style="1"/>
    <col min="11685" max="11685" width="18.7109375" style="1" customWidth="1"/>
    <col min="11686" max="11686" width="18.140625" style="1" customWidth="1"/>
    <col min="11687" max="11687" width="8.7109375" style="1" customWidth="1"/>
    <col min="11688" max="11688" width="9.140625" style="1"/>
    <col min="11689" max="11689" width="9.140625" style="1" customWidth="1"/>
    <col min="11690" max="11690" width="27.28515625" style="1" customWidth="1"/>
    <col min="11691" max="11726" width="9.140625" style="1" customWidth="1"/>
    <col min="11727" max="11940" width="9.140625" style="1"/>
    <col min="11941" max="11941" width="18.7109375" style="1" customWidth="1"/>
    <col min="11942" max="11942" width="18.140625" style="1" customWidth="1"/>
    <col min="11943" max="11943" width="8.7109375" style="1" customWidth="1"/>
    <col min="11944" max="11944" width="9.140625" style="1"/>
    <col min="11945" max="11945" width="9.140625" style="1" customWidth="1"/>
    <col min="11946" max="11946" width="27.28515625" style="1" customWidth="1"/>
    <col min="11947" max="11982" width="9.140625" style="1" customWidth="1"/>
    <col min="11983" max="12196" width="9.140625" style="1"/>
    <col min="12197" max="12197" width="18.7109375" style="1" customWidth="1"/>
    <col min="12198" max="12198" width="18.140625" style="1" customWidth="1"/>
    <col min="12199" max="12199" width="8.7109375" style="1" customWidth="1"/>
    <col min="12200" max="12200" width="9.140625" style="1"/>
    <col min="12201" max="12201" width="9.140625" style="1" customWidth="1"/>
    <col min="12202" max="12202" width="27.28515625" style="1" customWidth="1"/>
    <col min="12203" max="12238" width="9.140625" style="1" customWidth="1"/>
    <col min="12239" max="12452" width="9.140625" style="1"/>
    <col min="12453" max="12453" width="18.7109375" style="1" customWidth="1"/>
    <col min="12454" max="12454" width="18.140625" style="1" customWidth="1"/>
    <col min="12455" max="12455" width="8.7109375" style="1" customWidth="1"/>
    <col min="12456" max="12456" width="9.140625" style="1"/>
    <col min="12457" max="12457" width="9.140625" style="1" customWidth="1"/>
    <col min="12458" max="12458" width="27.28515625" style="1" customWidth="1"/>
    <col min="12459" max="12494" width="9.140625" style="1" customWidth="1"/>
    <col min="12495" max="12708" width="9.140625" style="1"/>
    <col min="12709" max="12709" width="18.7109375" style="1" customWidth="1"/>
    <col min="12710" max="12710" width="18.140625" style="1" customWidth="1"/>
    <col min="12711" max="12711" width="8.7109375" style="1" customWidth="1"/>
    <col min="12712" max="12712" width="9.140625" style="1"/>
    <col min="12713" max="12713" width="9.140625" style="1" customWidth="1"/>
    <col min="12714" max="12714" width="27.28515625" style="1" customWidth="1"/>
    <col min="12715" max="12750" width="9.140625" style="1" customWidth="1"/>
    <col min="12751" max="12964" width="9.140625" style="1"/>
    <col min="12965" max="12965" width="18.7109375" style="1" customWidth="1"/>
    <col min="12966" max="12966" width="18.140625" style="1" customWidth="1"/>
    <col min="12967" max="12967" width="8.7109375" style="1" customWidth="1"/>
    <col min="12968" max="12968" width="9.140625" style="1"/>
    <col min="12969" max="12969" width="9.140625" style="1" customWidth="1"/>
    <col min="12970" max="12970" width="27.28515625" style="1" customWidth="1"/>
    <col min="12971" max="13006" width="9.140625" style="1" customWidth="1"/>
    <col min="13007" max="13220" width="9.140625" style="1"/>
    <col min="13221" max="13221" width="18.7109375" style="1" customWidth="1"/>
    <col min="13222" max="13222" width="18.140625" style="1" customWidth="1"/>
    <col min="13223" max="13223" width="8.7109375" style="1" customWidth="1"/>
    <col min="13224" max="13224" width="9.140625" style="1"/>
    <col min="13225" max="13225" width="9.140625" style="1" customWidth="1"/>
    <col min="13226" max="13226" width="27.28515625" style="1" customWidth="1"/>
    <col min="13227" max="13262" width="9.140625" style="1" customWidth="1"/>
    <col min="13263" max="13476" width="9.140625" style="1"/>
    <col min="13477" max="13477" width="18.7109375" style="1" customWidth="1"/>
    <col min="13478" max="13478" width="18.140625" style="1" customWidth="1"/>
    <col min="13479" max="13479" width="8.7109375" style="1" customWidth="1"/>
    <col min="13480" max="13480" width="9.140625" style="1"/>
    <col min="13481" max="13481" width="9.140625" style="1" customWidth="1"/>
    <col min="13482" max="13482" width="27.28515625" style="1" customWidth="1"/>
    <col min="13483" max="13518" width="9.140625" style="1" customWidth="1"/>
    <col min="13519" max="13732" width="9.140625" style="1"/>
    <col min="13733" max="13733" width="18.7109375" style="1" customWidth="1"/>
    <col min="13734" max="13734" width="18.140625" style="1" customWidth="1"/>
    <col min="13735" max="13735" width="8.7109375" style="1" customWidth="1"/>
    <col min="13736" max="13736" width="9.140625" style="1"/>
    <col min="13737" max="13737" width="9.140625" style="1" customWidth="1"/>
    <col min="13738" max="13738" width="27.28515625" style="1" customWidth="1"/>
    <col min="13739" max="13774" width="9.140625" style="1" customWidth="1"/>
    <col min="13775" max="13988" width="9.140625" style="1"/>
    <col min="13989" max="13989" width="18.7109375" style="1" customWidth="1"/>
    <col min="13990" max="13990" width="18.140625" style="1" customWidth="1"/>
    <col min="13991" max="13991" width="8.7109375" style="1" customWidth="1"/>
    <col min="13992" max="13992" width="9.140625" style="1"/>
    <col min="13993" max="13993" width="9.140625" style="1" customWidth="1"/>
    <col min="13994" max="13994" width="27.28515625" style="1" customWidth="1"/>
    <col min="13995" max="14030" width="9.140625" style="1" customWidth="1"/>
    <col min="14031" max="14244" width="9.140625" style="1"/>
    <col min="14245" max="14245" width="18.7109375" style="1" customWidth="1"/>
    <col min="14246" max="14246" width="18.140625" style="1" customWidth="1"/>
    <col min="14247" max="14247" width="8.7109375" style="1" customWidth="1"/>
    <col min="14248" max="14248" width="9.140625" style="1"/>
    <col min="14249" max="14249" width="9.140625" style="1" customWidth="1"/>
    <col min="14250" max="14250" width="27.28515625" style="1" customWidth="1"/>
    <col min="14251" max="14286" width="9.140625" style="1" customWidth="1"/>
    <col min="14287" max="14500" width="9.140625" style="1"/>
    <col min="14501" max="14501" width="18.7109375" style="1" customWidth="1"/>
    <col min="14502" max="14502" width="18.140625" style="1" customWidth="1"/>
    <col min="14503" max="14503" width="8.7109375" style="1" customWidth="1"/>
    <col min="14504" max="14504" width="9.140625" style="1"/>
    <col min="14505" max="14505" width="9.140625" style="1" customWidth="1"/>
    <col min="14506" max="14506" width="27.28515625" style="1" customWidth="1"/>
    <col min="14507" max="14542" width="9.140625" style="1" customWidth="1"/>
    <col min="14543" max="14756" width="9.140625" style="1"/>
    <col min="14757" max="14757" width="18.7109375" style="1" customWidth="1"/>
    <col min="14758" max="14758" width="18.140625" style="1" customWidth="1"/>
    <col min="14759" max="14759" width="8.7109375" style="1" customWidth="1"/>
    <col min="14760" max="14760" width="9.140625" style="1"/>
    <col min="14761" max="14761" width="9.140625" style="1" customWidth="1"/>
    <col min="14762" max="14762" width="27.28515625" style="1" customWidth="1"/>
    <col min="14763" max="14798" width="9.140625" style="1" customWidth="1"/>
    <col min="14799" max="15012" width="9.140625" style="1"/>
    <col min="15013" max="15013" width="18.7109375" style="1" customWidth="1"/>
    <col min="15014" max="15014" width="18.140625" style="1" customWidth="1"/>
    <col min="15015" max="15015" width="8.7109375" style="1" customWidth="1"/>
    <col min="15016" max="15016" width="9.140625" style="1"/>
    <col min="15017" max="15017" width="9.140625" style="1" customWidth="1"/>
    <col min="15018" max="15018" width="27.28515625" style="1" customWidth="1"/>
    <col min="15019" max="15054" width="9.140625" style="1" customWidth="1"/>
    <col min="15055" max="15268" width="9.140625" style="1"/>
    <col min="15269" max="15269" width="18.7109375" style="1" customWidth="1"/>
    <col min="15270" max="15270" width="18.140625" style="1" customWidth="1"/>
    <col min="15271" max="15271" width="8.7109375" style="1" customWidth="1"/>
    <col min="15272" max="15272" width="9.140625" style="1"/>
    <col min="15273" max="15273" width="9.140625" style="1" customWidth="1"/>
    <col min="15274" max="15274" width="27.28515625" style="1" customWidth="1"/>
    <col min="15275" max="15310" width="9.140625" style="1" customWidth="1"/>
    <col min="15311" max="15524" width="9.140625" style="1"/>
    <col min="15525" max="15525" width="18.7109375" style="1" customWidth="1"/>
    <col min="15526" max="15526" width="18.140625" style="1" customWidth="1"/>
    <col min="15527" max="15527" width="8.7109375" style="1" customWidth="1"/>
    <col min="15528" max="15528" width="9.140625" style="1"/>
    <col min="15529" max="15529" width="9.140625" style="1" customWidth="1"/>
    <col min="15530" max="15530" width="27.28515625" style="1" customWidth="1"/>
    <col min="15531" max="15566" width="9.140625" style="1" customWidth="1"/>
    <col min="15567" max="15780" width="9.140625" style="1"/>
    <col min="15781" max="15781" width="18.7109375" style="1" customWidth="1"/>
    <col min="15782" max="15782" width="18.140625" style="1" customWidth="1"/>
    <col min="15783" max="15783" width="8.7109375" style="1" customWidth="1"/>
    <col min="15784" max="15784" width="9.140625" style="1"/>
    <col min="15785" max="15785" width="9.140625" style="1" customWidth="1"/>
    <col min="15786" max="15786" width="27.28515625" style="1" customWidth="1"/>
    <col min="15787" max="15822" width="9.140625" style="1" customWidth="1"/>
    <col min="15823" max="16036" width="9.140625" style="1"/>
    <col min="16037" max="16037" width="18.7109375" style="1" customWidth="1"/>
    <col min="16038" max="16038" width="18.140625" style="1" customWidth="1"/>
    <col min="16039" max="16039" width="8.7109375" style="1" customWidth="1"/>
    <col min="16040" max="16040" width="9.140625" style="1"/>
    <col min="16041" max="16041" width="9.140625" style="1" customWidth="1"/>
    <col min="16042" max="16042" width="27.28515625" style="1" customWidth="1"/>
    <col min="16043" max="16078" width="9.140625" style="1" customWidth="1"/>
    <col min="16079" max="16384" width="9.140625" style="1"/>
  </cols>
  <sheetData>
    <row r="1" spans="1:8" s="2" customFormat="1" ht="21" x14ac:dyDescent="0.25">
      <c r="A1" s="17" t="str">
        <f>"Итоговая классификация "&amp;название</f>
        <v>Итоговая классификация Ралли "Смоленск - 2019"</v>
      </c>
      <c r="B1" s="16"/>
      <c r="C1" s="15"/>
      <c r="D1" s="15"/>
      <c r="E1" s="15"/>
      <c r="F1" s="15"/>
    </row>
    <row r="2" spans="1:8" s="2" customFormat="1" ht="21" x14ac:dyDescent="0.25">
      <c r="A2" s="309" t="str">
        <f>датаРалли</f>
        <v>21 сентября 2019 г.</v>
      </c>
      <c r="B2" s="16"/>
      <c r="C2" s="15"/>
      <c r="D2" s="15"/>
      <c r="E2" s="15"/>
      <c r="F2" s="15"/>
    </row>
    <row r="3" spans="1:8" s="2" customFormat="1" ht="3" customHeight="1" x14ac:dyDescent="0.25"/>
    <row r="4" spans="1:8" ht="15.75" x14ac:dyDescent="0.25">
      <c r="A4" s="310" t="str">
        <f>"Зачет Лайт, стартовало " &amp; итоговыеЛайт[[#Totals],[Старт. номер]] &amp; ", финишировало " &amp; итоговыеЛайт[[#Totals],[Старт. номер]]-итоговыеЛайт[[#Totals],[Пенализация, итого]]</f>
        <v>Зачет Лайт, стартовало 0, финишировало 0</v>
      </c>
    </row>
    <row r="5" spans="1:8" s="2" customFormat="1" ht="3" customHeight="1" x14ac:dyDescent="0.25"/>
    <row r="6" spans="1:8" hidden="1" x14ac:dyDescent="0.25"/>
    <row r="7" spans="1:8" hidden="1" x14ac:dyDescent="0.25"/>
    <row r="8" spans="1:8" hidden="1" x14ac:dyDescent="0.25"/>
    <row r="9" spans="1:8" ht="38.25" x14ac:dyDescent="0.25">
      <c r="A9" s="174" t="s">
        <v>347</v>
      </c>
      <c r="B9" s="175" t="s">
        <v>9</v>
      </c>
      <c r="C9" s="175" t="s">
        <v>125</v>
      </c>
      <c r="D9" s="175" t="s">
        <v>126</v>
      </c>
      <c r="E9" s="175" t="s">
        <v>37</v>
      </c>
      <c r="F9" s="175" t="s">
        <v>346</v>
      </c>
    </row>
    <row r="10" spans="1:8" x14ac:dyDescent="0.25">
      <c r="A10" s="177">
        <v>1</v>
      </c>
      <c r="B10" s="178"/>
      <c r="C10" s="179"/>
      <c r="D10" s="179"/>
      <c r="E10" s="179"/>
      <c r="F10" s="315"/>
    </row>
    <row r="11" spans="1:8" x14ac:dyDescent="0.25">
      <c r="A11" s="177">
        <f>1+A10</f>
        <v>2</v>
      </c>
      <c r="B11" s="178"/>
      <c r="C11" s="179"/>
      <c r="D11" s="179"/>
      <c r="E11" s="179"/>
      <c r="F11" s="315"/>
      <c r="H11" s="1" t="s">
        <v>349</v>
      </c>
    </row>
    <row r="12" spans="1:8" x14ac:dyDescent="0.25">
      <c r="A12" s="177">
        <f t="shared" ref="A12:A69" si="0">1+A11</f>
        <v>3</v>
      </c>
      <c r="B12" s="178"/>
      <c r="C12" s="179"/>
      <c r="D12" s="179"/>
      <c r="E12" s="179"/>
      <c r="F12" s="315"/>
    </row>
    <row r="13" spans="1:8" x14ac:dyDescent="0.25">
      <c r="A13" s="177">
        <f t="shared" si="0"/>
        <v>4</v>
      </c>
      <c r="B13" s="178"/>
      <c r="C13" s="179"/>
      <c r="D13" s="179"/>
      <c r="E13" s="179"/>
      <c r="F13" s="315"/>
    </row>
    <row r="14" spans="1:8" x14ac:dyDescent="0.25">
      <c r="A14" s="177">
        <f t="shared" si="0"/>
        <v>5</v>
      </c>
      <c r="B14" s="178"/>
      <c r="C14" s="179"/>
      <c r="D14" s="179"/>
      <c r="E14" s="179"/>
      <c r="F14" s="315"/>
    </row>
    <row r="15" spans="1:8" x14ac:dyDescent="0.25">
      <c r="A15" s="177">
        <f t="shared" si="0"/>
        <v>6</v>
      </c>
      <c r="B15" s="178"/>
      <c r="C15" s="179"/>
      <c r="D15" s="179"/>
      <c r="E15" s="179"/>
      <c r="F15" s="315"/>
    </row>
    <row r="16" spans="1:8" x14ac:dyDescent="0.25">
      <c r="A16" s="177">
        <f t="shared" si="0"/>
        <v>7</v>
      </c>
      <c r="B16" s="178"/>
      <c r="C16" s="179"/>
      <c r="D16" s="179"/>
      <c r="E16" s="179"/>
      <c r="F16" s="315"/>
    </row>
    <row r="17" spans="1:6" x14ac:dyDescent="0.25">
      <c r="A17" s="177">
        <f t="shared" si="0"/>
        <v>8</v>
      </c>
      <c r="B17" s="178"/>
      <c r="C17" s="179"/>
      <c r="D17" s="179"/>
      <c r="E17" s="179"/>
      <c r="F17" s="315"/>
    </row>
    <row r="18" spans="1:6" x14ac:dyDescent="0.25">
      <c r="A18" s="177">
        <f t="shared" si="0"/>
        <v>9</v>
      </c>
      <c r="B18" s="178"/>
      <c r="C18" s="179"/>
      <c r="D18" s="179"/>
      <c r="E18" s="179"/>
      <c r="F18" s="315"/>
    </row>
    <row r="19" spans="1:6" x14ac:dyDescent="0.25">
      <c r="A19" s="177">
        <f t="shared" si="0"/>
        <v>10</v>
      </c>
      <c r="B19" s="178"/>
      <c r="C19" s="179"/>
      <c r="D19" s="179"/>
      <c r="E19" s="179"/>
      <c r="F19" s="315"/>
    </row>
    <row r="20" spans="1:6" x14ac:dyDescent="0.25">
      <c r="A20" s="177">
        <f t="shared" si="0"/>
        <v>11</v>
      </c>
      <c r="B20" s="178"/>
      <c r="C20" s="179"/>
      <c r="D20" s="179"/>
      <c r="E20" s="179"/>
      <c r="F20" s="315"/>
    </row>
    <row r="21" spans="1:6" x14ac:dyDescent="0.25">
      <c r="A21" s="177">
        <f t="shared" si="0"/>
        <v>12</v>
      </c>
      <c r="B21" s="178"/>
      <c r="C21" s="179"/>
      <c r="D21" s="179"/>
      <c r="E21" s="179"/>
      <c r="F21" s="315"/>
    </row>
    <row r="22" spans="1:6" x14ac:dyDescent="0.25">
      <c r="A22" s="177">
        <f t="shared" si="0"/>
        <v>13</v>
      </c>
      <c r="B22" s="178"/>
      <c r="C22" s="179"/>
      <c r="D22" s="179"/>
      <c r="E22" s="179"/>
      <c r="F22" s="315"/>
    </row>
    <row r="23" spans="1:6" x14ac:dyDescent="0.25">
      <c r="A23" s="177">
        <f t="shared" si="0"/>
        <v>14</v>
      </c>
      <c r="B23" s="178"/>
      <c r="C23" s="179"/>
      <c r="D23" s="179"/>
      <c r="E23" s="179"/>
      <c r="F23" s="315"/>
    </row>
    <row r="24" spans="1:6" x14ac:dyDescent="0.25">
      <c r="A24" s="177">
        <f t="shared" si="0"/>
        <v>15</v>
      </c>
      <c r="B24" s="178"/>
      <c r="C24" s="179"/>
      <c r="D24" s="179"/>
      <c r="E24" s="179"/>
      <c r="F24" s="315"/>
    </row>
    <row r="25" spans="1:6" x14ac:dyDescent="0.25">
      <c r="A25" s="177">
        <f t="shared" si="0"/>
        <v>16</v>
      </c>
      <c r="B25" s="178"/>
      <c r="C25" s="179"/>
      <c r="D25" s="179"/>
      <c r="E25" s="179"/>
      <c r="F25" s="315"/>
    </row>
    <row r="26" spans="1:6" x14ac:dyDescent="0.25">
      <c r="A26" s="177">
        <f t="shared" si="0"/>
        <v>17</v>
      </c>
      <c r="B26" s="178"/>
      <c r="C26" s="179"/>
      <c r="D26" s="179"/>
      <c r="E26" s="179"/>
      <c r="F26" s="315"/>
    </row>
    <row r="27" spans="1:6" x14ac:dyDescent="0.25">
      <c r="A27" s="177">
        <f t="shared" si="0"/>
        <v>18</v>
      </c>
      <c r="B27" s="178"/>
      <c r="C27" s="179"/>
      <c r="D27" s="179"/>
      <c r="E27" s="179"/>
      <c r="F27" s="315"/>
    </row>
    <row r="28" spans="1:6" x14ac:dyDescent="0.25">
      <c r="A28" s="177">
        <f t="shared" si="0"/>
        <v>19</v>
      </c>
      <c r="B28" s="178"/>
      <c r="C28" s="179"/>
      <c r="D28" s="179"/>
      <c r="E28" s="179"/>
      <c r="F28" s="315"/>
    </row>
    <row r="29" spans="1:6" x14ac:dyDescent="0.25">
      <c r="A29" s="177">
        <f t="shared" si="0"/>
        <v>20</v>
      </c>
      <c r="B29" s="178"/>
      <c r="C29" s="179"/>
      <c r="D29" s="179"/>
      <c r="E29" s="179"/>
      <c r="F29" s="315"/>
    </row>
    <row r="30" spans="1:6" x14ac:dyDescent="0.25">
      <c r="A30" s="177">
        <f t="shared" si="0"/>
        <v>21</v>
      </c>
      <c r="B30" s="178"/>
      <c r="C30" s="179"/>
      <c r="D30" s="179"/>
      <c r="E30" s="179"/>
      <c r="F30" s="315"/>
    </row>
    <row r="31" spans="1:6" x14ac:dyDescent="0.25">
      <c r="A31" s="177">
        <f t="shared" si="0"/>
        <v>22</v>
      </c>
      <c r="B31" s="178"/>
      <c r="C31" s="179"/>
      <c r="D31" s="179"/>
      <c r="E31" s="179"/>
      <c r="F31" s="315"/>
    </row>
    <row r="32" spans="1:6" x14ac:dyDescent="0.25">
      <c r="A32" s="177">
        <f t="shared" si="0"/>
        <v>23</v>
      </c>
      <c r="B32" s="178"/>
      <c r="C32" s="179"/>
      <c r="D32" s="179"/>
      <c r="E32" s="179"/>
      <c r="F32" s="315"/>
    </row>
    <row r="33" spans="1:6" x14ac:dyDescent="0.25">
      <c r="A33" s="177">
        <f t="shared" si="0"/>
        <v>24</v>
      </c>
      <c r="B33" s="178"/>
      <c r="C33" s="179"/>
      <c r="D33" s="179"/>
      <c r="E33" s="179"/>
      <c r="F33" s="315"/>
    </row>
    <row r="34" spans="1:6" x14ac:dyDescent="0.25">
      <c r="A34" s="177">
        <f t="shared" si="0"/>
        <v>25</v>
      </c>
      <c r="B34" s="178"/>
      <c r="C34" s="179"/>
      <c r="D34" s="179"/>
      <c r="E34" s="179"/>
      <c r="F34" s="315"/>
    </row>
    <row r="35" spans="1:6" x14ac:dyDescent="0.25">
      <c r="A35" s="177">
        <f t="shared" si="0"/>
        <v>26</v>
      </c>
      <c r="B35" s="178"/>
      <c r="C35" s="179"/>
      <c r="D35" s="179"/>
      <c r="E35" s="179"/>
      <c r="F35" s="315"/>
    </row>
    <row r="36" spans="1:6" x14ac:dyDescent="0.25">
      <c r="A36" s="177">
        <f t="shared" si="0"/>
        <v>27</v>
      </c>
      <c r="B36" s="178"/>
      <c r="C36" s="179"/>
      <c r="D36" s="179"/>
      <c r="E36" s="179"/>
      <c r="F36" s="315"/>
    </row>
    <row r="37" spans="1:6" x14ac:dyDescent="0.25">
      <c r="A37" s="177">
        <f t="shared" si="0"/>
        <v>28</v>
      </c>
      <c r="B37" s="178"/>
      <c r="C37" s="179"/>
      <c r="D37" s="179"/>
      <c r="E37" s="179"/>
      <c r="F37" s="315"/>
    </row>
    <row r="38" spans="1:6" x14ac:dyDescent="0.25">
      <c r="A38" s="177">
        <f t="shared" si="0"/>
        <v>29</v>
      </c>
      <c r="B38" s="178"/>
      <c r="C38" s="179"/>
      <c r="D38" s="179"/>
      <c r="E38" s="179"/>
      <c r="F38" s="315"/>
    </row>
    <row r="39" spans="1:6" x14ac:dyDescent="0.25">
      <c r="A39" s="177">
        <f t="shared" si="0"/>
        <v>30</v>
      </c>
      <c r="B39" s="178"/>
      <c r="C39" s="179"/>
      <c r="D39" s="179"/>
      <c r="E39" s="179"/>
      <c r="F39" s="315"/>
    </row>
    <row r="40" spans="1:6" x14ac:dyDescent="0.25">
      <c r="A40" s="177">
        <f t="shared" si="0"/>
        <v>31</v>
      </c>
      <c r="B40" s="178"/>
      <c r="C40" s="179"/>
      <c r="D40" s="179"/>
      <c r="E40" s="179"/>
      <c r="F40" s="315"/>
    </row>
    <row r="41" spans="1:6" x14ac:dyDescent="0.25">
      <c r="A41" s="177">
        <f t="shared" si="0"/>
        <v>32</v>
      </c>
      <c r="B41" s="178"/>
      <c r="C41" s="179"/>
      <c r="D41" s="179"/>
      <c r="E41" s="179"/>
      <c r="F41" s="315"/>
    </row>
    <row r="42" spans="1:6" x14ac:dyDescent="0.25">
      <c r="A42" s="177">
        <f t="shared" si="0"/>
        <v>33</v>
      </c>
      <c r="B42" s="178"/>
      <c r="C42" s="179"/>
      <c r="D42" s="179"/>
      <c r="E42" s="179"/>
      <c r="F42" s="315"/>
    </row>
    <row r="43" spans="1:6" x14ac:dyDescent="0.25">
      <c r="A43" s="177">
        <f t="shared" si="0"/>
        <v>34</v>
      </c>
      <c r="B43" s="178"/>
      <c r="C43" s="179"/>
      <c r="D43" s="179"/>
      <c r="E43" s="179"/>
      <c r="F43" s="315"/>
    </row>
    <row r="44" spans="1:6" x14ac:dyDescent="0.25">
      <c r="A44" s="177">
        <f t="shared" si="0"/>
        <v>35</v>
      </c>
      <c r="B44" s="178"/>
      <c r="C44" s="179"/>
      <c r="D44" s="179"/>
      <c r="E44" s="179"/>
      <c r="F44" s="315"/>
    </row>
    <row r="45" spans="1:6" x14ac:dyDescent="0.25">
      <c r="A45" s="177">
        <f t="shared" si="0"/>
        <v>36</v>
      </c>
      <c r="B45" s="178"/>
      <c r="C45" s="179"/>
      <c r="D45" s="179"/>
      <c r="E45" s="179"/>
      <c r="F45" s="315"/>
    </row>
    <row r="46" spans="1:6" x14ac:dyDescent="0.25">
      <c r="A46" s="177">
        <f t="shared" si="0"/>
        <v>37</v>
      </c>
      <c r="B46" s="178"/>
      <c r="C46" s="179"/>
      <c r="D46" s="179"/>
      <c r="E46" s="179"/>
      <c r="F46" s="315"/>
    </row>
    <row r="47" spans="1:6" x14ac:dyDescent="0.25">
      <c r="A47" s="177">
        <f t="shared" si="0"/>
        <v>38</v>
      </c>
      <c r="B47" s="178"/>
      <c r="C47" s="179"/>
      <c r="D47" s="179"/>
      <c r="E47" s="179"/>
      <c r="F47" s="315"/>
    </row>
    <row r="48" spans="1:6" x14ac:dyDescent="0.25">
      <c r="A48" s="177">
        <f t="shared" si="0"/>
        <v>39</v>
      </c>
      <c r="B48" s="178"/>
      <c r="C48" s="179"/>
      <c r="D48" s="179"/>
      <c r="E48" s="179"/>
      <c r="F48" s="315"/>
    </row>
    <row r="49" spans="1:6" x14ac:dyDescent="0.25">
      <c r="A49" s="177">
        <f t="shared" si="0"/>
        <v>40</v>
      </c>
      <c r="B49" s="178"/>
      <c r="C49" s="179"/>
      <c r="D49" s="179"/>
      <c r="E49" s="179"/>
      <c r="F49" s="315"/>
    </row>
    <row r="50" spans="1:6" x14ac:dyDescent="0.25">
      <c r="A50" s="177">
        <f t="shared" si="0"/>
        <v>41</v>
      </c>
      <c r="B50" s="178"/>
      <c r="C50" s="179"/>
      <c r="D50" s="179"/>
      <c r="E50" s="179"/>
      <c r="F50" s="315"/>
    </row>
    <row r="51" spans="1:6" x14ac:dyDescent="0.25">
      <c r="A51" s="177">
        <f t="shared" si="0"/>
        <v>42</v>
      </c>
      <c r="B51" s="178"/>
      <c r="C51" s="179"/>
      <c r="D51" s="179"/>
      <c r="E51" s="179"/>
      <c r="F51" s="315"/>
    </row>
    <row r="52" spans="1:6" x14ac:dyDescent="0.25">
      <c r="A52" s="177">
        <f t="shared" si="0"/>
        <v>43</v>
      </c>
      <c r="B52" s="178"/>
      <c r="C52" s="179"/>
      <c r="D52" s="179"/>
      <c r="E52" s="179"/>
      <c r="F52" s="315"/>
    </row>
    <row r="53" spans="1:6" x14ac:dyDescent="0.25">
      <c r="A53" s="177">
        <f t="shared" si="0"/>
        <v>44</v>
      </c>
      <c r="B53" s="178"/>
      <c r="C53" s="179"/>
      <c r="D53" s="179"/>
      <c r="E53" s="179"/>
      <c r="F53" s="315"/>
    </row>
    <row r="54" spans="1:6" x14ac:dyDescent="0.25">
      <c r="A54" s="177">
        <f t="shared" si="0"/>
        <v>45</v>
      </c>
      <c r="B54" s="178"/>
      <c r="C54" s="179"/>
      <c r="D54" s="179"/>
      <c r="E54" s="179"/>
      <c r="F54" s="315"/>
    </row>
    <row r="55" spans="1:6" x14ac:dyDescent="0.25">
      <c r="A55" s="177">
        <f t="shared" si="0"/>
        <v>46</v>
      </c>
      <c r="B55" s="178"/>
      <c r="C55" s="179"/>
      <c r="D55" s="179"/>
      <c r="E55" s="179"/>
      <c r="F55" s="315"/>
    </row>
    <row r="56" spans="1:6" x14ac:dyDescent="0.25">
      <c r="A56" s="177">
        <f t="shared" si="0"/>
        <v>47</v>
      </c>
      <c r="B56" s="178"/>
      <c r="C56" s="179"/>
      <c r="D56" s="179"/>
      <c r="E56" s="179"/>
      <c r="F56" s="315"/>
    </row>
    <row r="57" spans="1:6" x14ac:dyDescent="0.25">
      <c r="A57" s="177">
        <f t="shared" si="0"/>
        <v>48</v>
      </c>
      <c r="B57" s="178"/>
      <c r="C57" s="179"/>
      <c r="D57" s="179"/>
      <c r="E57" s="179"/>
      <c r="F57" s="315"/>
    </row>
    <row r="58" spans="1:6" x14ac:dyDescent="0.25">
      <c r="A58" s="177">
        <f t="shared" si="0"/>
        <v>49</v>
      </c>
      <c r="B58" s="178"/>
      <c r="C58" s="179"/>
      <c r="D58" s="179"/>
      <c r="E58" s="179"/>
      <c r="F58" s="315"/>
    </row>
    <row r="59" spans="1:6" x14ac:dyDescent="0.25">
      <c r="A59" s="177">
        <f t="shared" si="0"/>
        <v>50</v>
      </c>
      <c r="B59" s="178"/>
      <c r="C59" s="179"/>
      <c r="D59" s="179"/>
      <c r="E59" s="179"/>
      <c r="F59" s="315"/>
    </row>
    <row r="60" spans="1:6" x14ac:dyDescent="0.25">
      <c r="A60" s="177">
        <f t="shared" si="0"/>
        <v>51</v>
      </c>
      <c r="B60" s="178"/>
      <c r="C60" s="179"/>
      <c r="D60" s="179"/>
      <c r="E60" s="179"/>
      <c r="F60" s="315"/>
    </row>
    <row r="61" spans="1:6" x14ac:dyDescent="0.25">
      <c r="A61" s="177">
        <f t="shared" si="0"/>
        <v>52</v>
      </c>
      <c r="B61" s="178"/>
      <c r="C61" s="179"/>
      <c r="D61" s="179"/>
      <c r="E61" s="179"/>
      <c r="F61" s="315"/>
    </row>
    <row r="62" spans="1:6" x14ac:dyDescent="0.25">
      <c r="A62" s="177">
        <f t="shared" si="0"/>
        <v>53</v>
      </c>
      <c r="B62" s="178"/>
      <c r="C62" s="179"/>
      <c r="D62" s="179"/>
      <c r="E62" s="179"/>
      <c r="F62" s="315"/>
    </row>
    <row r="63" spans="1:6" x14ac:dyDescent="0.25">
      <c r="A63" s="177">
        <f t="shared" si="0"/>
        <v>54</v>
      </c>
      <c r="B63" s="178"/>
      <c r="C63" s="179"/>
      <c r="D63" s="179"/>
      <c r="E63" s="179"/>
      <c r="F63" s="315"/>
    </row>
    <row r="64" spans="1:6" x14ac:dyDescent="0.25">
      <c r="A64" s="177">
        <f t="shared" si="0"/>
        <v>55</v>
      </c>
      <c r="B64" s="311"/>
      <c r="C64" s="179"/>
      <c r="D64" s="179"/>
      <c r="E64" s="179"/>
      <c r="F64" s="315"/>
    </row>
    <row r="65" spans="1:7" x14ac:dyDescent="0.25">
      <c r="A65" s="177">
        <f t="shared" si="0"/>
        <v>56</v>
      </c>
      <c r="B65" s="311"/>
      <c r="C65" s="179"/>
      <c r="D65" s="179"/>
      <c r="E65" s="179"/>
      <c r="F65" s="315"/>
    </row>
    <row r="66" spans="1:7" x14ac:dyDescent="0.25">
      <c r="A66" s="177">
        <f t="shared" si="0"/>
        <v>57</v>
      </c>
      <c r="B66" s="178"/>
      <c r="C66" s="179"/>
      <c r="D66" s="179"/>
      <c r="E66" s="179"/>
      <c r="F66" s="315"/>
    </row>
    <row r="67" spans="1:7" x14ac:dyDescent="0.25">
      <c r="A67" s="177">
        <f t="shared" si="0"/>
        <v>58</v>
      </c>
      <c r="B67" s="178"/>
      <c r="C67" s="179"/>
      <c r="D67" s="179"/>
      <c r="E67" s="179"/>
      <c r="F67" s="315"/>
    </row>
    <row r="68" spans="1:7" x14ac:dyDescent="0.25">
      <c r="A68" s="177">
        <f t="shared" si="0"/>
        <v>59</v>
      </c>
      <c r="B68" s="178"/>
      <c r="C68" s="179"/>
      <c r="D68" s="179"/>
      <c r="E68" s="179"/>
      <c r="F68" s="315"/>
    </row>
    <row r="69" spans="1:7" x14ac:dyDescent="0.25">
      <c r="A69" s="177">
        <f t="shared" si="0"/>
        <v>60</v>
      </c>
      <c r="B69" s="178"/>
      <c r="C69" s="179"/>
      <c r="D69" s="179"/>
      <c r="E69" s="179"/>
      <c r="F69" s="315"/>
    </row>
    <row r="70" spans="1:7" hidden="1" x14ac:dyDescent="0.25">
      <c r="A70" s="313"/>
      <c r="B70" s="180">
        <f>SUBTOTAL(103,итоговыеЛайт[Старт. номер])</f>
        <v>0</v>
      </c>
      <c r="C70" s="314" t="s">
        <v>350</v>
      </c>
      <c r="D70" s="179"/>
      <c r="E70" s="312" t="s">
        <v>348</v>
      </c>
      <c r="F70" s="180">
        <f>COUNTIF(итоговыеЛайт[Пенализация, итого],"DNF")</f>
        <v>0</v>
      </c>
    </row>
    <row r="72" spans="1:7" ht="15.75" x14ac:dyDescent="0.25">
      <c r="B72" s="316" t="s">
        <v>301</v>
      </c>
      <c r="C72" s="2"/>
      <c r="D72" s="2" t="s">
        <v>298</v>
      </c>
      <c r="E72" s="2" t="s">
        <v>298</v>
      </c>
      <c r="F72" s="2"/>
      <c r="G72" s="2"/>
    </row>
    <row r="73" spans="1:7" x14ac:dyDescent="0.25">
      <c r="B73" s="44"/>
      <c r="C73" s="2"/>
      <c r="D73" s="187" t="s">
        <v>299</v>
      </c>
      <c r="E73" s="187" t="s">
        <v>300</v>
      </c>
      <c r="F73" s="2"/>
      <c r="G73" s="2"/>
    </row>
    <row r="74" spans="1:7" ht="15.75" x14ac:dyDescent="0.25">
      <c r="B74" s="316" t="s">
        <v>302</v>
      </c>
      <c r="C74" s="2"/>
      <c r="D74" s="2" t="s">
        <v>298</v>
      </c>
      <c r="E74" s="2" t="s">
        <v>298</v>
      </c>
      <c r="F74" s="2"/>
      <c r="G74" s="2"/>
    </row>
    <row r="75" spans="1:7" x14ac:dyDescent="0.25">
      <c r="B75" s="44"/>
      <c r="C75" s="2"/>
      <c r="D75" s="187" t="s">
        <v>299</v>
      </c>
      <c r="E75" s="187" t="s">
        <v>300</v>
      </c>
      <c r="F75" s="2"/>
      <c r="G75" s="2"/>
    </row>
    <row r="76" spans="1:7" ht="15.75" x14ac:dyDescent="0.25">
      <c r="B76" s="316" t="s">
        <v>303</v>
      </c>
      <c r="C76" s="2"/>
      <c r="D76" s="2" t="s">
        <v>298</v>
      </c>
      <c r="E76" s="2" t="s">
        <v>298</v>
      </c>
      <c r="F76" s="2"/>
      <c r="G76" s="2"/>
    </row>
    <row r="77" spans="1:7" x14ac:dyDescent="0.25">
      <c r="B77" s="44"/>
      <c r="C77" s="2"/>
      <c r="D77" s="187" t="s">
        <v>299</v>
      </c>
      <c r="E77" s="187" t="s">
        <v>300</v>
      </c>
      <c r="F77" s="2"/>
      <c r="G77" s="2"/>
    </row>
    <row r="78" spans="1:7" s="2" customFormat="1" ht="21" x14ac:dyDescent="0.25">
      <c r="A78" s="17" t="str">
        <f>"Итоговая классификация "&amp;название</f>
        <v>Итоговая классификация Ралли "Смоленск - 2019"</v>
      </c>
      <c r="B78" s="16"/>
      <c r="C78" s="15"/>
      <c r="D78" s="15"/>
      <c r="E78" s="15"/>
      <c r="F78" s="15"/>
    </row>
    <row r="79" spans="1:7" s="2" customFormat="1" ht="21" x14ac:dyDescent="0.25">
      <c r="A79" s="309" t="str">
        <f>датаРалли</f>
        <v>21 сентября 2019 г.</v>
      </c>
      <c r="B79" s="16"/>
      <c r="C79" s="15"/>
      <c r="D79" s="15"/>
      <c r="E79" s="15"/>
      <c r="F79" s="15"/>
    </row>
    <row r="80" spans="1:7" s="2" customFormat="1" ht="3" customHeight="1" x14ac:dyDescent="0.25"/>
    <row r="81" spans="1:6" ht="15.75" x14ac:dyDescent="0.25">
      <c r="A81" s="310" t="str">
        <f>"Зачет Про, стартовало " &amp; итоговыеПро[[#Totals],[Старт. номер]] &amp; ", финишировало " &amp; итоговыеПро[[#Totals],[Старт. номер]]-итоговыеПро[[#Totals],[Пенализация, итого]]</f>
        <v>Зачет Про, стартовало 0, финишировало 0</v>
      </c>
    </row>
    <row r="82" spans="1:6" s="2" customFormat="1" ht="3" customHeight="1" x14ac:dyDescent="0.25"/>
    <row r="83" spans="1:6" hidden="1" x14ac:dyDescent="0.25"/>
    <row r="84" spans="1:6" hidden="1" x14ac:dyDescent="0.25"/>
    <row r="85" spans="1:6" hidden="1" x14ac:dyDescent="0.25"/>
    <row r="86" spans="1:6" ht="38.25" x14ac:dyDescent="0.25">
      <c r="A86" s="174" t="s">
        <v>347</v>
      </c>
      <c r="B86" s="175" t="s">
        <v>9</v>
      </c>
      <c r="C86" s="175" t="s">
        <v>125</v>
      </c>
      <c r="D86" s="175" t="s">
        <v>126</v>
      </c>
      <c r="E86" s="175" t="s">
        <v>37</v>
      </c>
      <c r="F86" s="175" t="s">
        <v>346</v>
      </c>
    </row>
    <row r="87" spans="1:6" x14ac:dyDescent="0.25">
      <c r="A87" s="177">
        <v>1</v>
      </c>
      <c r="B87" s="178"/>
      <c r="C87" s="179"/>
      <c r="D87" s="179"/>
      <c r="E87" s="179"/>
      <c r="F87" s="315"/>
    </row>
    <row r="88" spans="1:6" x14ac:dyDescent="0.25">
      <c r="A88" s="177">
        <f>1+A87</f>
        <v>2</v>
      </c>
      <c r="B88" s="178"/>
      <c r="C88" s="179"/>
      <c r="D88" s="179"/>
      <c r="E88" s="179"/>
      <c r="F88" s="315"/>
    </row>
    <row r="89" spans="1:6" x14ac:dyDescent="0.25">
      <c r="A89" s="177">
        <f t="shared" ref="A89:A146" si="1">1+A88</f>
        <v>3</v>
      </c>
      <c r="B89" s="178"/>
      <c r="C89" s="179"/>
      <c r="D89" s="179"/>
      <c r="E89" s="179"/>
      <c r="F89" s="315"/>
    </row>
    <row r="90" spans="1:6" x14ac:dyDescent="0.25">
      <c r="A90" s="177">
        <f t="shared" si="1"/>
        <v>4</v>
      </c>
      <c r="B90" s="178"/>
      <c r="C90" s="179"/>
      <c r="D90" s="179"/>
      <c r="E90" s="179"/>
      <c r="F90" s="315"/>
    </row>
    <row r="91" spans="1:6" x14ac:dyDescent="0.25">
      <c r="A91" s="177">
        <f t="shared" si="1"/>
        <v>5</v>
      </c>
      <c r="B91" s="178"/>
      <c r="C91" s="179"/>
      <c r="D91" s="179"/>
      <c r="E91" s="179"/>
      <c r="F91" s="315"/>
    </row>
    <row r="92" spans="1:6" x14ac:dyDescent="0.25">
      <c r="A92" s="177">
        <f t="shared" si="1"/>
        <v>6</v>
      </c>
      <c r="B92" s="178"/>
      <c r="C92" s="179"/>
      <c r="D92" s="179"/>
      <c r="E92" s="179"/>
      <c r="F92" s="315"/>
    </row>
    <row r="93" spans="1:6" x14ac:dyDescent="0.25">
      <c r="A93" s="177">
        <f t="shared" si="1"/>
        <v>7</v>
      </c>
      <c r="B93" s="178"/>
      <c r="C93" s="179"/>
      <c r="D93" s="179"/>
      <c r="E93" s="179"/>
      <c r="F93" s="315"/>
    </row>
    <row r="94" spans="1:6" x14ac:dyDescent="0.25">
      <c r="A94" s="177">
        <f t="shared" si="1"/>
        <v>8</v>
      </c>
      <c r="B94" s="178"/>
      <c r="C94" s="179"/>
      <c r="D94" s="179"/>
      <c r="E94" s="179"/>
      <c r="F94" s="315"/>
    </row>
    <row r="95" spans="1:6" x14ac:dyDescent="0.25">
      <c r="A95" s="177">
        <f t="shared" si="1"/>
        <v>9</v>
      </c>
      <c r="B95" s="178"/>
      <c r="C95" s="179"/>
      <c r="D95" s="179"/>
      <c r="E95" s="179"/>
      <c r="F95" s="315"/>
    </row>
    <row r="96" spans="1:6" x14ac:dyDescent="0.25">
      <c r="A96" s="177">
        <f t="shared" si="1"/>
        <v>10</v>
      </c>
      <c r="B96" s="178"/>
      <c r="C96" s="179"/>
      <c r="D96" s="179"/>
      <c r="E96" s="179"/>
      <c r="F96" s="315"/>
    </row>
    <row r="97" spans="1:6" x14ac:dyDescent="0.25">
      <c r="A97" s="177">
        <f t="shared" si="1"/>
        <v>11</v>
      </c>
      <c r="B97" s="178"/>
      <c r="C97" s="179"/>
      <c r="D97" s="179"/>
      <c r="E97" s="179"/>
      <c r="F97" s="315"/>
    </row>
    <row r="98" spans="1:6" x14ac:dyDescent="0.25">
      <c r="A98" s="177">
        <f t="shared" si="1"/>
        <v>12</v>
      </c>
      <c r="B98" s="178"/>
      <c r="C98" s="179"/>
      <c r="D98" s="179"/>
      <c r="E98" s="179"/>
      <c r="F98" s="315"/>
    </row>
    <row r="99" spans="1:6" x14ac:dyDescent="0.25">
      <c r="A99" s="177">
        <f t="shared" si="1"/>
        <v>13</v>
      </c>
      <c r="B99" s="178"/>
      <c r="C99" s="179"/>
      <c r="D99" s="179"/>
      <c r="E99" s="179"/>
      <c r="F99" s="315"/>
    </row>
    <row r="100" spans="1:6" x14ac:dyDescent="0.25">
      <c r="A100" s="177">
        <f t="shared" si="1"/>
        <v>14</v>
      </c>
      <c r="B100" s="178"/>
      <c r="C100" s="179"/>
      <c r="D100" s="179"/>
      <c r="E100" s="179"/>
      <c r="F100" s="315"/>
    </row>
    <row r="101" spans="1:6" x14ac:dyDescent="0.25">
      <c r="A101" s="177">
        <f t="shared" si="1"/>
        <v>15</v>
      </c>
      <c r="B101" s="178"/>
      <c r="C101" s="179"/>
      <c r="D101" s="179"/>
      <c r="E101" s="179"/>
      <c r="F101" s="315"/>
    </row>
    <row r="102" spans="1:6" x14ac:dyDescent="0.25">
      <c r="A102" s="177">
        <f t="shared" si="1"/>
        <v>16</v>
      </c>
      <c r="B102" s="178"/>
      <c r="C102" s="179"/>
      <c r="D102" s="179"/>
      <c r="E102" s="179"/>
      <c r="F102" s="315"/>
    </row>
    <row r="103" spans="1:6" x14ac:dyDescent="0.25">
      <c r="A103" s="177">
        <f t="shared" si="1"/>
        <v>17</v>
      </c>
      <c r="B103" s="178"/>
      <c r="C103" s="179"/>
      <c r="D103" s="179"/>
      <c r="E103" s="179"/>
      <c r="F103" s="315"/>
    </row>
    <row r="104" spans="1:6" x14ac:dyDescent="0.25">
      <c r="A104" s="177">
        <f t="shared" si="1"/>
        <v>18</v>
      </c>
      <c r="B104" s="178"/>
      <c r="C104" s="179"/>
      <c r="D104" s="179"/>
      <c r="E104" s="179"/>
      <c r="F104" s="315"/>
    </row>
    <row r="105" spans="1:6" x14ac:dyDescent="0.25">
      <c r="A105" s="177">
        <f t="shared" si="1"/>
        <v>19</v>
      </c>
      <c r="B105" s="178"/>
      <c r="C105" s="179"/>
      <c r="D105" s="179"/>
      <c r="E105" s="179"/>
      <c r="F105" s="315"/>
    </row>
    <row r="106" spans="1:6" x14ac:dyDescent="0.25">
      <c r="A106" s="177">
        <f t="shared" si="1"/>
        <v>20</v>
      </c>
      <c r="B106" s="178"/>
      <c r="C106" s="179"/>
      <c r="D106" s="179"/>
      <c r="E106" s="179"/>
      <c r="F106" s="315"/>
    </row>
    <row r="107" spans="1:6" x14ac:dyDescent="0.25">
      <c r="A107" s="177">
        <f t="shared" si="1"/>
        <v>21</v>
      </c>
      <c r="B107" s="178"/>
      <c r="C107" s="179"/>
      <c r="D107" s="179"/>
      <c r="E107" s="179"/>
      <c r="F107" s="315"/>
    </row>
    <row r="108" spans="1:6" x14ac:dyDescent="0.25">
      <c r="A108" s="177">
        <f t="shared" si="1"/>
        <v>22</v>
      </c>
      <c r="B108" s="178"/>
      <c r="C108" s="179"/>
      <c r="D108" s="179"/>
      <c r="E108" s="179"/>
      <c r="F108" s="315"/>
    </row>
    <row r="109" spans="1:6" x14ac:dyDescent="0.25">
      <c r="A109" s="177">
        <f t="shared" si="1"/>
        <v>23</v>
      </c>
      <c r="B109" s="178"/>
      <c r="C109" s="179"/>
      <c r="D109" s="179"/>
      <c r="E109" s="179"/>
      <c r="F109" s="315"/>
    </row>
    <row r="110" spans="1:6" x14ac:dyDescent="0.25">
      <c r="A110" s="177">
        <f t="shared" si="1"/>
        <v>24</v>
      </c>
      <c r="B110" s="178"/>
      <c r="C110" s="179"/>
      <c r="D110" s="179"/>
      <c r="E110" s="179"/>
      <c r="F110" s="315"/>
    </row>
    <row r="111" spans="1:6" x14ac:dyDescent="0.25">
      <c r="A111" s="177">
        <f t="shared" si="1"/>
        <v>25</v>
      </c>
      <c r="B111" s="178"/>
      <c r="C111" s="179"/>
      <c r="D111" s="179"/>
      <c r="E111" s="179"/>
      <c r="F111" s="315"/>
    </row>
    <row r="112" spans="1:6" x14ac:dyDescent="0.25">
      <c r="A112" s="177">
        <f t="shared" si="1"/>
        <v>26</v>
      </c>
      <c r="B112" s="178"/>
      <c r="C112" s="179"/>
      <c r="D112" s="179"/>
      <c r="E112" s="179"/>
      <c r="F112" s="315"/>
    </row>
    <row r="113" spans="1:6" x14ac:dyDescent="0.25">
      <c r="A113" s="177">
        <f t="shared" si="1"/>
        <v>27</v>
      </c>
      <c r="B113" s="178"/>
      <c r="C113" s="179"/>
      <c r="D113" s="179"/>
      <c r="E113" s="179"/>
      <c r="F113" s="315"/>
    </row>
    <row r="114" spans="1:6" x14ac:dyDescent="0.25">
      <c r="A114" s="177">
        <f t="shared" si="1"/>
        <v>28</v>
      </c>
      <c r="B114" s="178"/>
      <c r="C114" s="179"/>
      <c r="D114" s="179"/>
      <c r="E114" s="179"/>
      <c r="F114" s="315"/>
    </row>
    <row r="115" spans="1:6" x14ac:dyDescent="0.25">
      <c r="A115" s="177">
        <f t="shared" si="1"/>
        <v>29</v>
      </c>
      <c r="B115" s="178"/>
      <c r="C115" s="179"/>
      <c r="D115" s="179"/>
      <c r="E115" s="179"/>
      <c r="F115" s="315"/>
    </row>
    <row r="116" spans="1:6" x14ac:dyDescent="0.25">
      <c r="A116" s="177">
        <f t="shared" si="1"/>
        <v>30</v>
      </c>
      <c r="B116" s="178"/>
      <c r="C116" s="179"/>
      <c r="D116" s="179"/>
      <c r="E116" s="179"/>
      <c r="F116" s="315"/>
    </row>
    <row r="117" spans="1:6" x14ac:dyDescent="0.25">
      <c r="A117" s="177">
        <f t="shared" si="1"/>
        <v>31</v>
      </c>
      <c r="B117" s="178"/>
      <c r="C117" s="179"/>
      <c r="D117" s="179"/>
      <c r="E117" s="179"/>
      <c r="F117" s="315"/>
    </row>
    <row r="118" spans="1:6" x14ac:dyDescent="0.25">
      <c r="A118" s="177">
        <f t="shared" si="1"/>
        <v>32</v>
      </c>
      <c r="B118" s="178"/>
      <c r="C118" s="179"/>
      <c r="D118" s="179"/>
      <c r="E118" s="179"/>
      <c r="F118" s="315"/>
    </row>
    <row r="119" spans="1:6" x14ac:dyDescent="0.25">
      <c r="A119" s="177">
        <f t="shared" si="1"/>
        <v>33</v>
      </c>
      <c r="B119" s="178"/>
      <c r="C119" s="179"/>
      <c r="D119" s="179"/>
      <c r="E119" s="179"/>
      <c r="F119" s="315"/>
    </row>
    <row r="120" spans="1:6" x14ac:dyDescent="0.25">
      <c r="A120" s="177">
        <f t="shared" si="1"/>
        <v>34</v>
      </c>
      <c r="B120" s="178"/>
      <c r="C120" s="179"/>
      <c r="D120" s="179"/>
      <c r="E120" s="179"/>
      <c r="F120" s="315"/>
    </row>
    <row r="121" spans="1:6" x14ac:dyDescent="0.25">
      <c r="A121" s="177">
        <f t="shared" si="1"/>
        <v>35</v>
      </c>
      <c r="B121" s="178"/>
      <c r="C121" s="179"/>
      <c r="D121" s="179"/>
      <c r="E121" s="179"/>
      <c r="F121" s="315"/>
    </row>
    <row r="122" spans="1:6" x14ac:dyDescent="0.25">
      <c r="A122" s="177">
        <f t="shared" si="1"/>
        <v>36</v>
      </c>
      <c r="B122" s="178"/>
      <c r="C122" s="179"/>
      <c r="D122" s="179"/>
      <c r="E122" s="179"/>
      <c r="F122" s="315"/>
    </row>
    <row r="123" spans="1:6" x14ac:dyDescent="0.25">
      <c r="A123" s="177">
        <f t="shared" si="1"/>
        <v>37</v>
      </c>
      <c r="B123" s="178"/>
      <c r="C123" s="179"/>
      <c r="D123" s="179"/>
      <c r="E123" s="179"/>
      <c r="F123" s="315"/>
    </row>
    <row r="124" spans="1:6" x14ac:dyDescent="0.25">
      <c r="A124" s="177">
        <f t="shared" si="1"/>
        <v>38</v>
      </c>
      <c r="B124" s="178"/>
      <c r="C124" s="179"/>
      <c r="D124" s="179"/>
      <c r="E124" s="179"/>
      <c r="F124" s="315"/>
    </row>
    <row r="125" spans="1:6" x14ac:dyDescent="0.25">
      <c r="A125" s="177">
        <f t="shared" si="1"/>
        <v>39</v>
      </c>
      <c r="B125" s="178"/>
      <c r="C125" s="179"/>
      <c r="D125" s="179"/>
      <c r="E125" s="179"/>
      <c r="F125" s="315"/>
    </row>
    <row r="126" spans="1:6" x14ac:dyDescent="0.25">
      <c r="A126" s="177">
        <f t="shared" si="1"/>
        <v>40</v>
      </c>
      <c r="B126" s="178"/>
      <c r="C126" s="179"/>
      <c r="D126" s="179"/>
      <c r="E126" s="179"/>
      <c r="F126" s="315"/>
    </row>
    <row r="127" spans="1:6" x14ac:dyDescent="0.25">
      <c r="A127" s="177">
        <f t="shared" si="1"/>
        <v>41</v>
      </c>
      <c r="B127" s="178"/>
      <c r="C127" s="179"/>
      <c r="D127" s="179"/>
      <c r="E127" s="179"/>
      <c r="F127" s="315"/>
    </row>
    <row r="128" spans="1:6" x14ac:dyDescent="0.25">
      <c r="A128" s="177">
        <f t="shared" si="1"/>
        <v>42</v>
      </c>
      <c r="B128" s="178"/>
      <c r="C128" s="179"/>
      <c r="D128" s="179"/>
      <c r="E128" s="179"/>
      <c r="F128" s="315"/>
    </row>
    <row r="129" spans="1:6" x14ac:dyDescent="0.25">
      <c r="A129" s="177">
        <f t="shared" si="1"/>
        <v>43</v>
      </c>
      <c r="B129" s="178"/>
      <c r="C129" s="179"/>
      <c r="D129" s="179"/>
      <c r="E129" s="179"/>
      <c r="F129" s="315"/>
    </row>
    <row r="130" spans="1:6" x14ac:dyDescent="0.25">
      <c r="A130" s="177">
        <f t="shared" si="1"/>
        <v>44</v>
      </c>
      <c r="B130" s="178"/>
      <c r="C130" s="179"/>
      <c r="D130" s="179"/>
      <c r="E130" s="179"/>
      <c r="F130" s="315"/>
    </row>
    <row r="131" spans="1:6" x14ac:dyDescent="0.25">
      <c r="A131" s="177">
        <f t="shared" si="1"/>
        <v>45</v>
      </c>
      <c r="B131" s="178"/>
      <c r="C131" s="179"/>
      <c r="D131" s="179"/>
      <c r="E131" s="179"/>
      <c r="F131" s="315"/>
    </row>
    <row r="132" spans="1:6" x14ac:dyDescent="0.25">
      <c r="A132" s="177">
        <f t="shared" si="1"/>
        <v>46</v>
      </c>
      <c r="B132" s="178"/>
      <c r="C132" s="179"/>
      <c r="D132" s="179"/>
      <c r="E132" s="179"/>
      <c r="F132" s="315"/>
    </row>
    <row r="133" spans="1:6" x14ac:dyDescent="0.25">
      <c r="A133" s="177">
        <f t="shared" si="1"/>
        <v>47</v>
      </c>
      <c r="B133" s="178"/>
      <c r="C133" s="179"/>
      <c r="D133" s="179"/>
      <c r="E133" s="179"/>
      <c r="F133" s="315"/>
    </row>
    <row r="134" spans="1:6" x14ac:dyDescent="0.25">
      <c r="A134" s="177">
        <f t="shared" si="1"/>
        <v>48</v>
      </c>
      <c r="B134" s="178"/>
      <c r="C134" s="179"/>
      <c r="D134" s="179"/>
      <c r="E134" s="179"/>
      <c r="F134" s="315"/>
    </row>
    <row r="135" spans="1:6" x14ac:dyDescent="0.25">
      <c r="A135" s="177">
        <f t="shared" si="1"/>
        <v>49</v>
      </c>
      <c r="B135" s="178"/>
      <c r="C135" s="179"/>
      <c r="D135" s="179"/>
      <c r="E135" s="179"/>
      <c r="F135" s="315"/>
    </row>
    <row r="136" spans="1:6" x14ac:dyDescent="0.25">
      <c r="A136" s="177">
        <f t="shared" si="1"/>
        <v>50</v>
      </c>
      <c r="B136" s="178"/>
      <c r="C136" s="179"/>
      <c r="D136" s="179"/>
      <c r="E136" s="179"/>
      <c r="F136" s="315"/>
    </row>
    <row r="137" spans="1:6" x14ac:dyDescent="0.25">
      <c r="A137" s="177">
        <f t="shared" si="1"/>
        <v>51</v>
      </c>
      <c r="B137" s="178"/>
      <c r="C137" s="179"/>
      <c r="D137" s="179"/>
      <c r="E137" s="179"/>
      <c r="F137" s="315"/>
    </row>
    <row r="138" spans="1:6" x14ac:dyDescent="0.25">
      <c r="A138" s="177">
        <f t="shared" si="1"/>
        <v>52</v>
      </c>
      <c r="B138" s="178"/>
      <c r="C138" s="179"/>
      <c r="D138" s="179"/>
      <c r="E138" s="179"/>
      <c r="F138" s="315"/>
    </row>
    <row r="139" spans="1:6" x14ac:dyDescent="0.25">
      <c r="A139" s="177">
        <f t="shared" si="1"/>
        <v>53</v>
      </c>
      <c r="B139" s="178"/>
      <c r="C139" s="179"/>
      <c r="D139" s="179"/>
      <c r="E139" s="179"/>
      <c r="F139" s="315"/>
    </row>
    <row r="140" spans="1:6" x14ac:dyDescent="0.25">
      <c r="A140" s="177">
        <f t="shared" si="1"/>
        <v>54</v>
      </c>
      <c r="B140" s="178"/>
      <c r="C140" s="179"/>
      <c r="D140" s="179"/>
      <c r="E140" s="179"/>
      <c r="F140" s="315"/>
    </row>
    <row r="141" spans="1:6" x14ac:dyDescent="0.25">
      <c r="A141" s="177">
        <f t="shared" si="1"/>
        <v>55</v>
      </c>
      <c r="B141" s="311"/>
      <c r="C141" s="179"/>
      <c r="D141" s="179"/>
      <c r="E141" s="179"/>
      <c r="F141" s="315"/>
    </row>
    <row r="142" spans="1:6" x14ac:dyDescent="0.25">
      <c r="A142" s="177">
        <f t="shared" si="1"/>
        <v>56</v>
      </c>
      <c r="B142" s="311"/>
      <c r="C142" s="179"/>
      <c r="D142" s="179"/>
      <c r="E142" s="179"/>
      <c r="F142" s="315"/>
    </row>
    <row r="143" spans="1:6" x14ac:dyDescent="0.25">
      <c r="A143" s="177">
        <f t="shared" si="1"/>
        <v>57</v>
      </c>
      <c r="B143" s="178"/>
      <c r="C143" s="179"/>
      <c r="D143" s="179"/>
      <c r="E143" s="179"/>
      <c r="F143" s="315"/>
    </row>
    <row r="144" spans="1:6" x14ac:dyDescent="0.25">
      <c r="A144" s="177">
        <f t="shared" si="1"/>
        <v>58</v>
      </c>
      <c r="B144" s="178"/>
      <c r="C144" s="179"/>
      <c r="D144" s="179"/>
      <c r="E144" s="179"/>
      <c r="F144" s="315"/>
    </row>
    <row r="145" spans="1:7" x14ac:dyDescent="0.25">
      <c r="A145" s="177">
        <f t="shared" si="1"/>
        <v>59</v>
      </c>
      <c r="B145" s="178"/>
      <c r="C145" s="179"/>
      <c r="D145" s="179"/>
      <c r="E145" s="179"/>
      <c r="F145" s="315"/>
    </row>
    <row r="146" spans="1:7" x14ac:dyDescent="0.25">
      <c r="A146" s="177">
        <f t="shared" si="1"/>
        <v>60</v>
      </c>
      <c r="B146" s="178"/>
      <c r="C146" s="179"/>
      <c r="D146" s="179"/>
      <c r="E146" s="179"/>
      <c r="F146" s="315"/>
    </row>
    <row r="147" spans="1:7" hidden="1" x14ac:dyDescent="0.25">
      <c r="A147" s="313"/>
      <c r="B147" s="180">
        <f>SUBTOTAL(103,итоговыеПро[Старт. номер])</f>
        <v>0</v>
      </c>
      <c r="C147" s="314" t="s">
        <v>350</v>
      </c>
      <c r="D147" s="179"/>
      <c r="E147" s="312" t="s">
        <v>348</v>
      </c>
      <c r="F147" s="180">
        <f>COUNTIF(итоговыеПро[Пенализация, итого],"DNF")</f>
        <v>0</v>
      </c>
    </row>
    <row r="149" spans="1:7" ht="15.75" x14ac:dyDescent="0.25">
      <c r="B149" s="316" t="s">
        <v>301</v>
      </c>
      <c r="C149" s="2"/>
      <c r="D149" s="2" t="s">
        <v>298</v>
      </c>
      <c r="E149" s="2" t="s">
        <v>298</v>
      </c>
      <c r="F149" s="2"/>
      <c r="G149" s="2"/>
    </row>
    <row r="150" spans="1:7" x14ac:dyDescent="0.25">
      <c r="B150" s="44"/>
      <c r="C150" s="2"/>
      <c r="D150" s="187" t="s">
        <v>299</v>
      </c>
      <c r="E150" s="187" t="s">
        <v>300</v>
      </c>
      <c r="F150" s="2"/>
      <c r="G150" s="2"/>
    </row>
    <row r="151" spans="1:7" ht="15.75" x14ac:dyDescent="0.25">
      <c r="B151" s="316" t="s">
        <v>302</v>
      </c>
      <c r="C151" s="2"/>
      <c r="D151" s="2" t="s">
        <v>298</v>
      </c>
      <c r="E151" s="2" t="s">
        <v>298</v>
      </c>
      <c r="F151" s="2"/>
      <c r="G151" s="2"/>
    </row>
    <row r="152" spans="1:7" x14ac:dyDescent="0.25">
      <c r="B152" s="44"/>
      <c r="C152" s="2"/>
      <c r="D152" s="187" t="s">
        <v>299</v>
      </c>
      <c r="E152" s="187" t="s">
        <v>300</v>
      </c>
      <c r="F152" s="2"/>
      <c r="G152" s="2"/>
    </row>
    <row r="153" spans="1:7" ht="15.75" x14ac:dyDescent="0.25">
      <c r="B153" s="316" t="s">
        <v>303</v>
      </c>
      <c r="C153" s="2"/>
      <c r="D153" s="2" t="s">
        <v>298</v>
      </c>
      <c r="E153" s="2" t="s">
        <v>298</v>
      </c>
      <c r="F153" s="2"/>
      <c r="G153" s="2"/>
    </row>
    <row r="154" spans="1:7" x14ac:dyDescent="0.25">
      <c r="B154" s="44"/>
      <c r="C154" s="2"/>
      <c r="D154" s="187" t="s">
        <v>299</v>
      </c>
      <c r="E154" s="187" t="s">
        <v>300</v>
      </c>
      <c r="F154" s="2"/>
      <c r="G154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tableParts count="2">
    <tablePart r:id="rId2"/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F0"/>
  </sheetPr>
  <dimension ref="A1:K59"/>
  <sheetViews>
    <sheetView view="pageBreakPreview" topLeftCell="A4" zoomScale="85" zoomScaleSheetLayoutView="85" workbookViewId="0">
      <selection activeCell="A15" sqref="A15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512</v>
      </c>
      <c r="C2" s="41"/>
      <c r="D2" s="42"/>
    </row>
    <row r="3" spans="1:11" ht="20.100000000000001" customHeight="1" x14ac:dyDescent="0.25">
      <c r="A3" s="38" t="s">
        <v>110</v>
      </c>
      <c r="B3" s="36">
        <v>0.60258742579491686</v>
      </c>
      <c r="C3" s="38" t="s">
        <v>104</v>
      </c>
      <c r="D3" s="36">
        <v>0.59166666666666667</v>
      </c>
    </row>
    <row r="4" spans="1:11" ht="20.100000000000001" customHeight="1" x14ac:dyDescent="0.25">
      <c r="A4" s="38" t="s">
        <v>111</v>
      </c>
      <c r="B4" s="36">
        <v>0.6477263146838057</v>
      </c>
      <c r="C4" s="38" t="s">
        <v>105</v>
      </c>
      <c r="D4" s="36">
        <v>0.66527777777777775</v>
      </c>
    </row>
    <row r="5" spans="1:11" ht="46.5" x14ac:dyDescent="0.25">
      <c r="A5" s="564" t="s">
        <v>423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33">
        <v>0.6149189814814815</v>
      </c>
      <c r="C10" s="576" t="s">
        <v>700</v>
      </c>
      <c r="D10" s="577"/>
    </row>
    <row r="11" spans="1:11" ht="30" customHeight="1" x14ac:dyDescent="0.25">
      <c r="A11" s="34">
        <v>1</v>
      </c>
      <c r="B11" s="33">
        <v>0.65487268518518515</v>
      </c>
      <c r="C11" s="576"/>
      <c r="D11" s="577"/>
    </row>
    <row r="12" spans="1:11" ht="30" customHeight="1" x14ac:dyDescent="0.25">
      <c r="A12" s="34">
        <v>2</v>
      </c>
      <c r="B12" s="33">
        <v>0.62910879629629635</v>
      </c>
      <c r="C12" s="576"/>
      <c r="D12" s="577"/>
    </row>
    <row r="13" spans="1:11" ht="30" customHeight="1" x14ac:dyDescent="0.25">
      <c r="A13" s="34">
        <v>3</v>
      </c>
      <c r="B13" s="33">
        <v>0.61908564814814815</v>
      </c>
      <c r="C13" s="576"/>
      <c r="D13" s="577"/>
    </row>
    <row r="14" spans="1:11" ht="30" customHeight="1" x14ac:dyDescent="0.25">
      <c r="A14" s="34">
        <v>4</v>
      </c>
      <c r="B14" s="33">
        <v>0.62883101851851853</v>
      </c>
      <c r="C14" s="576"/>
      <c r="D14" s="577"/>
    </row>
    <row r="15" spans="1:11" ht="30" customHeight="1" x14ac:dyDescent="0.25">
      <c r="A15" s="34">
        <v>5</v>
      </c>
      <c r="B15" s="33">
        <v>0.62040509259259258</v>
      </c>
      <c r="C15" s="576"/>
      <c r="D15" s="577"/>
    </row>
    <row r="16" spans="1:11" ht="30" customHeight="1" x14ac:dyDescent="0.25">
      <c r="A16" s="34">
        <v>6</v>
      </c>
      <c r="B16" s="33">
        <v>0.63062499999999999</v>
      </c>
      <c r="C16" s="576"/>
      <c r="D16" s="577"/>
    </row>
    <row r="17" spans="1:4" ht="30" customHeight="1" x14ac:dyDescent="0.25">
      <c r="A17" s="34">
        <v>7</v>
      </c>
      <c r="B17" s="33">
        <v>0.62988425925925928</v>
      </c>
      <c r="C17" s="576"/>
      <c r="D17" s="577"/>
    </row>
    <row r="18" spans="1:4" ht="30" customHeight="1" x14ac:dyDescent="0.25">
      <c r="A18" s="34">
        <v>8</v>
      </c>
      <c r="B18" s="33">
        <v>0.62391203703703701</v>
      </c>
      <c r="C18" s="576"/>
      <c r="D18" s="577"/>
    </row>
    <row r="19" spans="1:4" ht="30" customHeight="1" x14ac:dyDescent="0.25">
      <c r="A19" s="34">
        <v>9</v>
      </c>
      <c r="B19" s="33">
        <v>0.62108796296296298</v>
      </c>
      <c r="C19" s="576"/>
      <c r="D19" s="577"/>
    </row>
    <row r="20" spans="1:4" ht="30" customHeight="1" x14ac:dyDescent="0.25">
      <c r="A20" s="34">
        <v>10</v>
      </c>
      <c r="B20" s="33">
        <v>0.66901620370370374</v>
      </c>
      <c r="C20" s="576"/>
      <c r="D20" s="577"/>
    </row>
    <row r="21" spans="1:4" ht="30" customHeight="1" x14ac:dyDescent="0.25">
      <c r="A21" s="34">
        <v>11</v>
      </c>
      <c r="B21" s="33">
        <v>0.635625</v>
      </c>
      <c r="C21" s="576"/>
      <c r="D21" s="577"/>
    </row>
    <row r="22" spans="1:4" ht="30" customHeight="1" x14ac:dyDescent="0.25">
      <c r="A22" s="34">
        <v>13</v>
      </c>
      <c r="B22" s="33">
        <v>0.63879629629629631</v>
      </c>
      <c r="C22" s="576"/>
      <c r="D22" s="577"/>
    </row>
    <row r="23" spans="1:4" ht="30" customHeight="1" x14ac:dyDescent="0.25">
      <c r="A23" s="34">
        <v>14</v>
      </c>
      <c r="B23" s="33">
        <v>0.64290509259259265</v>
      </c>
      <c r="C23" s="576"/>
      <c r="D23" s="577"/>
    </row>
    <row r="24" spans="1:4" ht="30" customHeight="1" x14ac:dyDescent="0.25">
      <c r="A24" s="34">
        <v>15</v>
      </c>
      <c r="B24" s="33">
        <v>0.63942129629629629</v>
      </c>
      <c r="C24" s="576" t="s">
        <v>702</v>
      </c>
      <c r="D24" s="577"/>
    </row>
    <row r="25" spans="1:4" ht="30" customHeight="1" x14ac:dyDescent="0.25">
      <c r="A25" s="34">
        <v>16</v>
      </c>
      <c r="B25" s="33">
        <v>0.64065972222222223</v>
      </c>
      <c r="C25" s="576"/>
      <c r="D25" s="577"/>
    </row>
    <row r="26" spans="1:4" ht="30" customHeight="1" x14ac:dyDescent="0.25">
      <c r="A26" s="34">
        <v>17</v>
      </c>
      <c r="B26" s="33">
        <v>0.64962962962962967</v>
      </c>
      <c r="C26" s="576"/>
      <c r="D26" s="577"/>
    </row>
    <row r="27" spans="1:4" ht="30" customHeight="1" x14ac:dyDescent="0.25">
      <c r="A27" s="34">
        <v>18</v>
      </c>
      <c r="B27" s="33">
        <v>0.64170138888888884</v>
      </c>
      <c r="C27" s="576"/>
      <c r="D27" s="577"/>
    </row>
    <row r="28" spans="1:4" ht="30" customHeight="1" x14ac:dyDescent="0.25">
      <c r="A28" s="34">
        <v>19</v>
      </c>
      <c r="B28" s="33">
        <v>0.64197916666666666</v>
      </c>
      <c r="C28" s="576"/>
      <c r="D28" s="577"/>
    </row>
    <row r="29" spans="1:4" ht="30" customHeight="1" x14ac:dyDescent="0.25">
      <c r="A29" s="34">
        <v>20</v>
      </c>
      <c r="B29" s="33">
        <v>0.63493055555555555</v>
      </c>
      <c r="C29" s="576"/>
      <c r="D29" s="577"/>
    </row>
    <row r="30" spans="1:4" ht="30" customHeight="1" x14ac:dyDescent="0.25">
      <c r="A30" s="34">
        <v>22</v>
      </c>
      <c r="B30" s="33">
        <v>0.64837962962962969</v>
      </c>
      <c r="C30" s="576"/>
      <c r="D30" s="577"/>
    </row>
    <row r="31" spans="1:4" ht="30" customHeight="1" x14ac:dyDescent="0.25">
      <c r="A31" s="34">
        <v>23</v>
      </c>
      <c r="B31" s="33">
        <v>0.64357638888888891</v>
      </c>
      <c r="C31" s="576"/>
      <c r="D31" s="577"/>
    </row>
    <row r="32" spans="1:4" ht="30" customHeight="1" x14ac:dyDescent="0.25">
      <c r="A32" s="34">
        <v>24</v>
      </c>
      <c r="B32" s="33">
        <v>0.64538194444444441</v>
      </c>
      <c r="C32" s="576"/>
      <c r="D32" s="577"/>
    </row>
    <row r="33" spans="1:4" ht="30" customHeight="1" x14ac:dyDescent="0.25">
      <c r="A33" s="34">
        <v>25</v>
      </c>
      <c r="B33" s="33">
        <v>0.64872685185185186</v>
      </c>
      <c r="C33" s="576"/>
      <c r="D33" s="577"/>
    </row>
    <row r="34" spans="1:4" ht="30" customHeight="1" x14ac:dyDescent="0.25">
      <c r="A34" s="34">
        <v>26</v>
      </c>
      <c r="B34" s="33">
        <v>0.66039351851851846</v>
      </c>
      <c r="C34" s="576"/>
      <c r="D34" s="577"/>
    </row>
    <row r="35" spans="1:4" ht="30" customHeight="1" x14ac:dyDescent="0.25">
      <c r="A35" s="34">
        <v>27</v>
      </c>
      <c r="B35" s="33">
        <v>0.6564120370370371</v>
      </c>
      <c r="C35" s="576"/>
      <c r="D35" s="577"/>
    </row>
    <row r="36" spans="1:4" ht="30" customHeight="1" x14ac:dyDescent="0.25">
      <c r="A36" s="34">
        <v>28</v>
      </c>
      <c r="B36" s="33">
        <v>0.6532175925925926</v>
      </c>
      <c r="C36" s="576"/>
      <c r="D36" s="577"/>
    </row>
    <row r="37" spans="1:4" ht="30" customHeight="1" x14ac:dyDescent="0.25">
      <c r="A37" s="34"/>
      <c r="B37" s="33"/>
      <c r="C37" s="576"/>
      <c r="D37" s="577"/>
    </row>
    <row r="38" spans="1:4" ht="30" customHeight="1" x14ac:dyDescent="0.25">
      <c r="A38" s="34"/>
      <c r="B38" s="33"/>
      <c r="C38" s="576"/>
      <c r="D38" s="577"/>
    </row>
    <row r="39" spans="1:4" ht="30" customHeight="1" x14ac:dyDescent="0.25">
      <c r="A39" s="34"/>
      <c r="B39" s="33"/>
      <c r="C39" s="576"/>
      <c r="D39" s="577"/>
    </row>
    <row r="40" spans="1:4" ht="30" customHeight="1" x14ac:dyDescent="0.25">
      <c r="A40" s="34"/>
      <c r="B40" s="33"/>
      <c r="C40" s="576"/>
      <c r="D40" s="577"/>
    </row>
    <row r="41" spans="1:4" ht="30" customHeight="1" x14ac:dyDescent="0.25">
      <c r="A41" s="34"/>
      <c r="B41" s="33"/>
      <c r="C41" s="576"/>
      <c r="D41" s="577"/>
    </row>
    <row r="42" spans="1:4" ht="30" customHeight="1" x14ac:dyDescent="0.25">
      <c r="A42" s="34"/>
      <c r="B42" s="33"/>
      <c r="C42" s="576"/>
      <c r="D42" s="577"/>
    </row>
    <row r="43" spans="1:4" ht="30" customHeight="1" x14ac:dyDescent="0.25">
      <c r="A43" s="34"/>
      <c r="B43" s="33"/>
      <c r="C43" s="576"/>
      <c r="D43" s="577"/>
    </row>
    <row r="44" spans="1:4" ht="30" customHeight="1" x14ac:dyDescent="0.25">
      <c r="A44" s="34"/>
      <c r="B44" s="33"/>
      <c r="C44" s="576"/>
      <c r="D44" s="577"/>
    </row>
    <row r="45" spans="1:4" ht="30" customHeight="1" x14ac:dyDescent="0.25">
      <c r="A45" s="34"/>
      <c r="B45" s="33"/>
      <c r="C45" s="576"/>
      <c r="D45" s="577"/>
    </row>
    <row r="46" spans="1:4" ht="30" customHeight="1" x14ac:dyDescent="0.25">
      <c r="A46" s="34"/>
      <c r="B46" s="33"/>
      <c r="C46" s="576"/>
      <c r="D46" s="577"/>
    </row>
    <row r="47" spans="1:4" ht="30" customHeight="1" x14ac:dyDescent="0.25">
      <c r="A47" s="34"/>
      <c r="B47" s="33"/>
      <c r="C47" s="576"/>
      <c r="D47" s="577"/>
    </row>
    <row r="48" spans="1:4" ht="30" customHeight="1" x14ac:dyDescent="0.25">
      <c r="A48" s="34"/>
      <c r="B48" s="33"/>
      <c r="C48" s="576"/>
      <c r="D48" s="577"/>
    </row>
    <row r="49" spans="1:4" ht="30" customHeight="1" x14ac:dyDescent="0.25">
      <c r="A49" s="34"/>
      <c r="B49" s="33"/>
      <c r="C49" s="576"/>
      <c r="D49" s="577"/>
    </row>
    <row r="50" spans="1:4" ht="30" customHeight="1" x14ac:dyDescent="0.25">
      <c r="A50" s="34"/>
      <c r="B50" s="33"/>
      <c r="C50" s="576"/>
      <c r="D50" s="577"/>
    </row>
    <row r="51" spans="1:4" ht="30" customHeight="1" x14ac:dyDescent="0.25">
      <c r="A51" s="34"/>
      <c r="B51" s="33"/>
      <c r="C51" s="576"/>
      <c r="D51" s="577"/>
    </row>
    <row r="52" spans="1:4" ht="30" customHeight="1" x14ac:dyDescent="0.25">
      <c r="A52" s="34"/>
      <c r="B52" s="33"/>
      <c r="C52" s="576"/>
      <c r="D52" s="577"/>
    </row>
    <row r="53" spans="1:4" ht="30" customHeight="1" x14ac:dyDescent="0.25">
      <c r="A53" s="34"/>
      <c r="B53" s="33"/>
      <c r="C53" s="574"/>
      <c r="D53" s="575"/>
    </row>
    <row r="54" spans="1:4" ht="30" customHeight="1" x14ac:dyDescent="0.25">
      <c r="A54" s="379"/>
      <c r="B54" s="33"/>
      <c r="C54" s="574"/>
      <c r="D54" s="575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ortState ref="A11:C52">
    <sortCondition ref="A10"/>
  </sortState>
  <mergeCells count="9">
    <mergeCell ref="C56:D56"/>
    <mergeCell ref="C57:D57"/>
    <mergeCell ref="C58:D58"/>
    <mergeCell ref="C59:D59"/>
    <mergeCell ref="C53:D53"/>
    <mergeCell ref="C54:D54"/>
    <mergeCell ref="C55:D55"/>
    <mergeCell ref="A5:D5"/>
    <mergeCell ref="C9:D9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F0"/>
  </sheetPr>
  <dimension ref="A1:K59"/>
  <sheetViews>
    <sheetView view="pageBreakPreview" topLeftCell="A19" zoomScale="85" zoomScaleSheetLayoutView="85" workbookViewId="0">
      <selection activeCell="A26" sqref="A26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512</v>
      </c>
      <c r="C2" s="41"/>
      <c r="D2" s="42"/>
    </row>
    <row r="3" spans="1:11" ht="20.100000000000001" customHeight="1" x14ac:dyDescent="0.25">
      <c r="A3" s="38" t="s">
        <v>110</v>
      </c>
      <c r="B3" s="36">
        <v>0.62026932141494096</v>
      </c>
      <c r="C3" s="38" t="s">
        <v>104</v>
      </c>
      <c r="D3" s="36"/>
    </row>
    <row r="4" spans="1:11" ht="20.100000000000001" customHeight="1" x14ac:dyDescent="0.25">
      <c r="A4" s="38" t="s">
        <v>111</v>
      </c>
      <c r="B4" s="36">
        <v>0.66540821030382979</v>
      </c>
      <c r="C4" s="38" t="s">
        <v>105</v>
      </c>
      <c r="D4" s="36"/>
    </row>
    <row r="5" spans="1:11" ht="46.5" x14ac:dyDescent="0.25">
      <c r="A5" s="564" t="s">
        <v>439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4">
        <v>1</v>
      </c>
      <c r="B10" s="33">
        <v>0.66621527777777778</v>
      </c>
      <c r="C10" s="576"/>
      <c r="D10" s="577"/>
    </row>
    <row r="11" spans="1:11" ht="30" customHeight="1" x14ac:dyDescent="0.25">
      <c r="A11" s="34">
        <v>3</v>
      </c>
      <c r="B11" s="33">
        <v>0.64131944444444444</v>
      </c>
      <c r="C11" s="576" t="s">
        <v>703</v>
      </c>
      <c r="D11" s="577"/>
    </row>
    <row r="12" spans="1:11" ht="30" customHeight="1" x14ac:dyDescent="0.25">
      <c r="A12" s="34">
        <v>5</v>
      </c>
      <c r="B12" s="33">
        <v>0.63156250000000003</v>
      </c>
      <c r="C12" s="576"/>
      <c r="D12" s="577"/>
    </row>
    <row r="13" spans="1:11" ht="30" customHeight="1" x14ac:dyDescent="0.25">
      <c r="A13" s="34">
        <v>7</v>
      </c>
      <c r="B13" s="33">
        <v>0.64143518518518516</v>
      </c>
      <c r="C13" s="576"/>
      <c r="D13" s="577"/>
    </row>
    <row r="14" spans="1:11" ht="30" customHeight="1" x14ac:dyDescent="0.25">
      <c r="A14" s="34">
        <v>8</v>
      </c>
      <c r="B14" s="33">
        <v>0.63378472222222226</v>
      </c>
      <c r="C14" s="576"/>
      <c r="D14" s="577"/>
    </row>
    <row r="15" spans="1:11" ht="30" customHeight="1" x14ac:dyDescent="0.25">
      <c r="A15" s="34">
        <v>9</v>
      </c>
      <c r="B15" s="33">
        <v>0.63472222222222219</v>
      </c>
      <c r="C15" s="576"/>
      <c r="D15" s="577"/>
    </row>
    <row r="16" spans="1:11" ht="30" customHeight="1" x14ac:dyDescent="0.25">
      <c r="A16" s="34">
        <v>13</v>
      </c>
      <c r="B16" s="33">
        <v>0.65260416666666665</v>
      </c>
      <c r="C16" s="576" t="s">
        <v>704</v>
      </c>
      <c r="D16" s="577"/>
    </row>
    <row r="17" spans="1:4" ht="30" customHeight="1" x14ac:dyDescent="0.25">
      <c r="A17" s="34">
        <v>16</v>
      </c>
      <c r="B17" s="33">
        <v>0.66182870370370372</v>
      </c>
      <c r="C17" s="576"/>
      <c r="D17" s="577"/>
    </row>
    <row r="18" spans="1:4" ht="30" customHeight="1" x14ac:dyDescent="0.25">
      <c r="A18" s="34">
        <v>17</v>
      </c>
      <c r="B18" s="33">
        <v>0.66417824074074072</v>
      </c>
      <c r="C18" s="576"/>
      <c r="D18" s="577"/>
    </row>
    <row r="19" spans="1:4" ht="30" customHeight="1" x14ac:dyDescent="0.25">
      <c r="A19" s="34">
        <v>18</v>
      </c>
      <c r="B19" s="33">
        <v>0.65353009259259254</v>
      </c>
      <c r="C19" s="576"/>
      <c r="D19" s="577"/>
    </row>
    <row r="20" spans="1:4" ht="30" customHeight="1" x14ac:dyDescent="0.25">
      <c r="A20" s="34">
        <v>19</v>
      </c>
      <c r="B20" s="33">
        <v>0.65387731481481481</v>
      </c>
      <c r="C20" s="576"/>
      <c r="D20" s="577"/>
    </row>
    <row r="21" spans="1:4" ht="30" customHeight="1" x14ac:dyDescent="0.25">
      <c r="A21" s="34">
        <v>20</v>
      </c>
      <c r="B21" s="33">
        <v>0.64611111111111108</v>
      </c>
      <c r="C21" s="576"/>
      <c r="D21" s="577"/>
    </row>
    <row r="22" spans="1:4" ht="30" customHeight="1" x14ac:dyDescent="0.25">
      <c r="A22" s="34">
        <v>23</v>
      </c>
      <c r="B22" s="33">
        <v>0.65954861111111118</v>
      </c>
      <c r="C22" s="576"/>
      <c r="D22" s="577"/>
    </row>
    <row r="23" spans="1:4" ht="30" customHeight="1" x14ac:dyDescent="0.25">
      <c r="A23" s="34">
        <v>24</v>
      </c>
      <c r="B23" s="33">
        <v>0.65653935185185186</v>
      </c>
      <c r="C23" s="576"/>
      <c r="D23" s="577"/>
    </row>
    <row r="24" spans="1:4" ht="30" customHeight="1" x14ac:dyDescent="0.25">
      <c r="A24" s="34">
        <v>25</v>
      </c>
      <c r="B24" s="33">
        <v>0.6604282407407408</v>
      </c>
      <c r="C24" s="576"/>
      <c r="D24" s="577"/>
    </row>
    <row r="25" spans="1:4" ht="30" customHeight="1" x14ac:dyDescent="0.25">
      <c r="A25" s="34">
        <v>28</v>
      </c>
      <c r="B25" s="33">
        <v>0.66082175925925923</v>
      </c>
      <c r="C25" s="576"/>
      <c r="D25" s="577"/>
    </row>
    <row r="26" spans="1:4" ht="30" customHeight="1" x14ac:dyDescent="0.25">
      <c r="A26" s="379" t="s">
        <v>629</v>
      </c>
      <c r="B26" s="33">
        <v>0.62449074074074074</v>
      </c>
      <c r="C26" s="576"/>
      <c r="D26" s="577"/>
    </row>
    <row r="27" spans="1:4" ht="30" customHeight="1" x14ac:dyDescent="0.25">
      <c r="A27" s="379"/>
      <c r="B27" s="33"/>
      <c r="C27" s="576"/>
      <c r="D27" s="577"/>
    </row>
    <row r="28" spans="1:4" ht="30" customHeight="1" x14ac:dyDescent="0.25">
      <c r="A28" s="34"/>
      <c r="B28" s="33"/>
      <c r="C28" s="576"/>
      <c r="D28" s="577"/>
    </row>
    <row r="29" spans="1:4" ht="30" customHeight="1" x14ac:dyDescent="0.25">
      <c r="A29" s="34"/>
      <c r="B29" s="33"/>
      <c r="C29" s="576"/>
      <c r="D29" s="577"/>
    </row>
    <row r="30" spans="1:4" ht="30" customHeight="1" x14ac:dyDescent="0.25">
      <c r="A30" s="34"/>
      <c r="B30" s="33"/>
      <c r="C30" s="576"/>
      <c r="D30" s="577"/>
    </row>
    <row r="31" spans="1:4" ht="30" customHeight="1" x14ac:dyDescent="0.25">
      <c r="A31" s="34"/>
      <c r="B31" s="33"/>
      <c r="C31" s="576"/>
      <c r="D31" s="577"/>
    </row>
    <row r="32" spans="1:4" ht="30" customHeight="1" x14ac:dyDescent="0.25">
      <c r="A32" s="34"/>
      <c r="B32" s="33"/>
      <c r="C32" s="576"/>
      <c r="D32" s="577"/>
    </row>
    <row r="33" spans="1:4" ht="30" customHeight="1" x14ac:dyDescent="0.25">
      <c r="A33" s="34"/>
      <c r="B33" s="33"/>
      <c r="C33" s="576"/>
      <c r="D33" s="577"/>
    </row>
    <row r="34" spans="1:4" ht="30" customHeight="1" x14ac:dyDescent="0.25">
      <c r="A34" s="34"/>
      <c r="B34" s="33"/>
      <c r="C34" s="576"/>
      <c r="D34" s="577"/>
    </row>
    <row r="35" spans="1:4" ht="30" customHeight="1" x14ac:dyDescent="0.25">
      <c r="A35" s="34"/>
      <c r="B35" s="33"/>
      <c r="C35" s="576"/>
      <c r="D35" s="577"/>
    </row>
    <row r="36" spans="1:4" ht="30" customHeight="1" x14ac:dyDescent="0.25">
      <c r="A36" s="34"/>
      <c r="B36" s="33"/>
      <c r="C36" s="576"/>
      <c r="D36" s="577"/>
    </row>
    <row r="37" spans="1:4" ht="30" customHeight="1" x14ac:dyDescent="0.25">
      <c r="A37" s="34"/>
      <c r="B37" s="33"/>
      <c r="C37" s="576"/>
      <c r="D37" s="577"/>
    </row>
    <row r="38" spans="1:4" ht="30" customHeight="1" x14ac:dyDescent="0.25">
      <c r="A38" s="34"/>
      <c r="B38" s="33"/>
      <c r="C38" s="576"/>
      <c r="D38" s="577"/>
    </row>
    <row r="39" spans="1:4" ht="30" customHeight="1" x14ac:dyDescent="0.25">
      <c r="A39" s="34"/>
      <c r="B39" s="33"/>
      <c r="C39" s="576"/>
      <c r="D39" s="577"/>
    </row>
    <row r="40" spans="1:4" ht="30" customHeight="1" x14ac:dyDescent="0.25">
      <c r="A40" s="34"/>
      <c r="B40" s="33"/>
      <c r="C40" s="576"/>
      <c r="D40" s="577"/>
    </row>
    <row r="41" spans="1:4" ht="30" customHeight="1" x14ac:dyDescent="0.25">
      <c r="A41" s="34"/>
      <c r="B41" s="33"/>
      <c r="C41" s="576"/>
      <c r="D41" s="577"/>
    </row>
    <row r="42" spans="1:4" ht="30" customHeight="1" x14ac:dyDescent="0.25">
      <c r="A42" s="34"/>
      <c r="B42" s="33"/>
      <c r="C42" s="576"/>
      <c r="D42" s="577"/>
    </row>
    <row r="43" spans="1:4" ht="30" customHeight="1" x14ac:dyDescent="0.25">
      <c r="A43" s="34"/>
      <c r="B43" s="33"/>
      <c r="C43" s="576"/>
      <c r="D43" s="577"/>
    </row>
    <row r="44" spans="1:4" ht="30" customHeight="1" x14ac:dyDescent="0.25">
      <c r="A44" s="34"/>
      <c r="B44" s="33"/>
      <c r="C44" s="576"/>
      <c r="D44" s="577"/>
    </row>
    <row r="45" spans="1:4" ht="30" customHeight="1" x14ac:dyDescent="0.25">
      <c r="A45" s="34"/>
      <c r="B45" s="33"/>
      <c r="C45" s="576"/>
      <c r="D45" s="577"/>
    </row>
    <row r="46" spans="1:4" ht="30" customHeight="1" x14ac:dyDescent="0.25">
      <c r="A46" s="34"/>
      <c r="B46" s="33"/>
      <c r="C46" s="576"/>
      <c r="D46" s="577"/>
    </row>
    <row r="47" spans="1:4" ht="30" customHeight="1" x14ac:dyDescent="0.25">
      <c r="A47" s="34"/>
      <c r="B47" s="33"/>
      <c r="C47" s="576"/>
      <c r="D47" s="577"/>
    </row>
    <row r="48" spans="1:4" ht="30" customHeight="1" x14ac:dyDescent="0.25">
      <c r="A48" s="34"/>
      <c r="B48" s="33"/>
      <c r="C48" s="576"/>
      <c r="D48" s="577"/>
    </row>
    <row r="49" spans="1:4" ht="30" customHeight="1" x14ac:dyDescent="0.25">
      <c r="A49" s="34"/>
      <c r="B49" s="33"/>
      <c r="C49" s="576"/>
      <c r="D49" s="577"/>
    </row>
    <row r="50" spans="1:4" ht="30" customHeight="1" x14ac:dyDescent="0.25">
      <c r="A50" s="34"/>
      <c r="B50" s="33"/>
      <c r="C50" s="576"/>
      <c r="D50" s="577"/>
    </row>
    <row r="51" spans="1:4" ht="30" customHeight="1" x14ac:dyDescent="0.25">
      <c r="A51" s="34"/>
      <c r="B51" s="33"/>
      <c r="C51" s="576"/>
      <c r="D51" s="577"/>
    </row>
    <row r="52" spans="1:4" ht="30" customHeight="1" x14ac:dyDescent="0.25">
      <c r="A52" s="34"/>
      <c r="B52" s="33"/>
      <c r="C52" s="576"/>
      <c r="D52" s="577"/>
    </row>
    <row r="53" spans="1:4" ht="30" customHeight="1" x14ac:dyDescent="0.25">
      <c r="A53" s="34"/>
      <c r="B53" s="33"/>
      <c r="C53" s="576"/>
      <c r="D53" s="577"/>
    </row>
    <row r="54" spans="1:4" ht="30" customHeight="1" x14ac:dyDescent="0.25">
      <c r="A54" s="34"/>
      <c r="B54" s="33"/>
      <c r="C54" s="576"/>
      <c r="D54" s="577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ortState ref="A10:C54">
    <sortCondition ref="A10"/>
  </sortState>
  <mergeCells count="7">
    <mergeCell ref="C56:D56"/>
    <mergeCell ref="C57:D57"/>
    <mergeCell ref="C58:D58"/>
    <mergeCell ref="C59:D59"/>
    <mergeCell ref="C55:D55"/>
    <mergeCell ref="A5:D5"/>
    <mergeCell ref="C9:D9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F0"/>
  </sheetPr>
  <dimension ref="A1:K59"/>
  <sheetViews>
    <sheetView view="pageBreakPreview" topLeftCell="A16" zoomScale="85" zoomScaleSheetLayoutView="85" workbookViewId="0">
      <selection activeCell="A15" sqref="A15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251</v>
      </c>
    </row>
    <row r="2" spans="1:11" x14ac:dyDescent="0.25">
      <c r="A2" s="38" t="s">
        <v>45</v>
      </c>
      <c r="B2" s="27" t="s">
        <v>533</v>
      </c>
      <c r="C2" s="41"/>
      <c r="D2" s="42"/>
    </row>
    <row r="3" spans="1:11" ht="20.100000000000001" customHeight="1" x14ac:dyDescent="0.25">
      <c r="A3" s="38" t="s">
        <v>110</v>
      </c>
      <c r="B3" s="36">
        <v>0.63767625932795513</v>
      </c>
      <c r="C3" s="38" t="s">
        <v>104</v>
      </c>
      <c r="D3" s="36">
        <v>0.62708333333333333</v>
      </c>
    </row>
    <row r="4" spans="1:11" ht="20.100000000000001" customHeight="1" x14ac:dyDescent="0.25">
      <c r="A4" s="38" t="s">
        <v>111</v>
      </c>
      <c r="B4" s="36">
        <v>0.68281514821684397</v>
      </c>
      <c r="C4" s="38" t="s">
        <v>105</v>
      </c>
      <c r="D4" s="36"/>
    </row>
    <row r="5" spans="1:11" ht="46.5" x14ac:dyDescent="0.25">
      <c r="A5" s="564" t="s">
        <v>410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234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33">
        <v>0.63386574074074076</v>
      </c>
      <c r="C10" s="571"/>
      <c r="D10" s="572"/>
    </row>
    <row r="11" spans="1:11" ht="30" customHeight="1" x14ac:dyDescent="0.25">
      <c r="A11" s="34">
        <v>4</v>
      </c>
      <c r="B11" s="33">
        <v>0.64020833333333338</v>
      </c>
      <c r="C11" s="571"/>
      <c r="D11" s="572"/>
    </row>
    <row r="12" spans="1:11" ht="30" customHeight="1" x14ac:dyDescent="0.25">
      <c r="A12" s="34">
        <v>6</v>
      </c>
      <c r="B12" s="33">
        <v>0.64148148148148143</v>
      </c>
      <c r="C12" s="571"/>
      <c r="D12" s="572"/>
    </row>
    <row r="13" spans="1:11" ht="30" customHeight="1" x14ac:dyDescent="0.25">
      <c r="A13" s="34">
        <v>5</v>
      </c>
      <c r="B13" s="33">
        <v>0.6428935185185185</v>
      </c>
      <c r="C13" s="571"/>
      <c r="D13" s="572"/>
    </row>
    <row r="14" spans="1:11" ht="30" customHeight="1" x14ac:dyDescent="0.25">
      <c r="A14" s="34">
        <v>2</v>
      </c>
      <c r="B14" s="33">
        <v>0.64628472222222222</v>
      </c>
      <c r="C14" s="571"/>
      <c r="D14" s="572"/>
    </row>
    <row r="15" spans="1:11" ht="30" customHeight="1" x14ac:dyDescent="0.25">
      <c r="A15" s="34">
        <v>11</v>
      </c>
      <c r="B15" s="33">
        <v>0.64811342592592591</v>
      </c>
      <c r="C15" s="571"/>
      <c r="D15" s="572"/>
    </row>
    <row r="16" spans="1:11" ht="30" customHeight="1" x14ac:dyDescent="0.25">
      <c r="A16" s="34">
        <v>15</v>
      </c>
      <c r="B16" s="33">
        <v>0.64870370370370367</v>
      </c>
      <c r="C16" s="571"/>
      <c r="D16" s="572"/>
    </row>
    <row r="17" spans="1:4" ht="30" customHeight="1" x14ac:dyDescent="0.25">
      <c r="A17" s="34">
        <v>8</v>
      </c>
      <c r="B17" s="33">
        <v>0.64910879629629636</v>
      </c>
      <c r="C17" s="571"/>
      <c r="D17" s="572"/>
    </row>
    <row r="18" spans="1:4" ht="30" customHeight="1" x14ac:dyDescent="0.25">
      <c r="A18" s="34">
        <v>3</v>
      </c>
      <c r="B18" s="33">
        <v>0.65156249999999993</v>
      </c>
      <c r="C18" s="571"/>
      <c r="D18" s="572"/>
    </row>
    <row r="19" spans="1:4" ht="30" customHeight="1" x14ac:dyDescent="0.25">
      <c r="A19" s="34">
        <v>9</v>
      </c>
      <c r="B19" s="33">
        <v>0.65266203703703707</v>
      </c>
      <c r="C19" s="571"/>
      <c r="D19" s="572"/>
    </row>
    <row r="20" spans="1:4" ht="30" customHeight="1" x14ac:dyDescent="0.25">
      <c r="A20" s="34">
        <v>7</v>
      </c>
      <c r="B20" s="33">
        <v>0.65362268518518518</v>
      </c>
      <c r="C20" s="571"/>
      <c r="D20" s="572"/>
    </row>
    <row r="21" spans="1:4" ht="30" customHeight="1" x14ac:dyDescent="0.25">
      <c r="A21" s="34">
        <v>20</v>
      </c>
      <c r="B21" s="33">
        <v>0.65733796296296299</v>
      </c>
      <c r="C21" s="571"/>
      <c r="D21" s="572"/>
    </row>
    <row r="22" spans="1:4" ht="30" customHeight="1" x14ac:dyDescent="0.25">
      <c r="A22" s="34">
        <v>14</v>
      </c>
      <c r="B22" s="33">
        <v>0.6580555555555555</v>
      </c>
      <c r="C22" s="571"/>
      <c r="D22" s="572"/>
    </row>
    <row r="23" spans="1:4" ht="30" customHeight="1" x14ac:dyDescent="0.25">
      <c r="A23" s="34">
        <v>22</v>
      </c>
      <c r="B23" s="33">
        <v>0.65969907407407413</v>
      </c>
      <c r="C23" s="571"/>
      <c r="D23" s="572"/>
    </row>
    <row r="24" spans="1:4" ht="30" customHeight="1" x14ac:dyDescent="0.25">
      <c r="A24" s="34">
        <v>13</v>
      </c>
      <c r="B24" s="33">
        <v>0.6648263888888889</v>
      </c>
      <c r="C24" s="571"/>
      <c r="D24" s="572"/>
    </row>
    <row r="25" spans="1:4" ht="30" customHeight="1" x14ac:dyDescent="0.25">
      <c r="A25" s="34">
        <v>18</v>
      </c>
      <c r="B25" s="33">
        <v>0.66703703703703709</v>
      </c>
      <c r="C25" s="571"/>
      <c r="D25" s="572"/>
    </row>
    <row r="26" spans="1:4" ht="30" customHeight="1" x14ac:dyDescent="0.25">
      <c r="A26" s="34">
        <v>27</v>
      </c>
      <c r="B26" s="33">
        <v>0.66787037037037045</v>
      </c>
      <c r="C26" s="571"/>
      <c r="D26" s="572"/>
    </row>
    <row r="27" spans="1:4" ht="30" customHeight="1" x14ac:dyDescent="0.25">
      <c r="A27" s="34">
        <v>24</v>
      </c>
      <c r="B27" s="33">
        <v>0.66796296296296298</v>
      </c>
      <c r="C27" s="571"/>
      <c r="D27" s="572"/>
    </row>
    <row r="28" spans="1:4" ht="30" customHeight="1" x14ac:dyDescent="0.25">
      <c r="A28" s="34">
        <v>23</v>
      </c>
      <c r="B28" s="33">
        <v>0.67116898148148152</v>
      </c>
      <c r="C28" s="571"/>
      <c r="D28" s="572"/>
    </row>
    <row r="29" spans="1:4" ht="30" customHeight="1" x14ac:dyDescent="0.25">
      <c r="A29" s="34">
        <v>26</v>
      </c>
      <c r="B29" s="33">
        <v>0.67189814814814808</v>
      </c>
      <c r="C29" s="571"/>
      <c r="D29" s="572"/>
    </row>
    <row r="30" spans="1:4" ht="30" customHeight="1" x14ac:dyDescent="0.25">
      <c r="A30" s="34">
        <v>25</v>
      </c>
      <c r="B30" s="33">
        <v>0.67196759259259264</v>
      </c>
      <c r="C30" s="571"/>
      <c r="D30" s="572"/>
    </row>
    <row r="31" spans="1:4" ht="30" customHeight="1" x14ac:dyDescent="0.25">
      <c r="A31" s="34">
        <v>28</v>
      </c>
      <c r="B31" s="33">
        <v>0.67258101851851848</v>
      </c>
      <c r="C31" s="571"/>
      <c r="D31" s="572"/>
    </row>
    <row r="32" spans="1:4" ht="30" customHeight="1" x14ac:dyDescent="0.25">
      <c r="A32" s="34">
        <v>16</v>
      </c>
      <c r="B32" s="33">
        <v>0.67292824074074076</v>
      </c>
      <c r="C32" s="571"/>
      <c r="D32" s="572"/>
    </row>
    <row r="33" spans="1:4" ht="30" customHeight="1" x14ac:dyDescent="0.25">
      <c r="A33" s="34">
        <v>17</v>
      </c>
      <c r="B33" s="33">
        <v>0.67396990740740748</v>
      </c>
      <c r="C33" s="571"/>
      <c r="D33" s="572"/>
    </row>
    <row r="34" spans="1:4" ht="30" customHeight="1" x14ac:dyDescent="0.25">
      <c r="A34" s="34">
        <v>19</v>
      </c>
      <c r="B34" s="33">
        <v>0.67552083333333324</v>
      </c>
      <c r="C34" s="571"/>
      <c r="D34" s="572"/>
    </row>
    <row r="35" spans="1:4" ht="30" customHeight="1" x14ac:dyDescent="0.25">
      <c r="A35" s="34">
        <v>1</v>
      </c>
      <c r="B35" s="33">
        <v>0.67762731481481486</v>
      </c>
      <c r="C35" s="571"/>
      <c r="D35" s="572"/>
    </row>
    <row r="36" spans="1:4" ht="30" customHeight="1" x14ac:dyDescent="0.25">
      <c r="A36" s="34">
        <v>10</v>
      </c>
      <c r="B36" s="33">
        <v>0.68333333333333324</v>
      </c>
      <c r="C36" s="571" t="s">
        <v>706</v>
      </c>
      <c r="D36" s="572"/>
    </row>
    <row r="37" spans="1:4" ht="30" customHeight="1" x14ac:dyDescent="0.25">
      <c r="A37" s="34"/>
      <c r="B37" s="33"/>
      <c r="C37" s="571"/>
      <c r="D37" s="572"/>
    </row>
    <row r="38" spans="1:4" ht="30" customHeight="1" x14ac:dyDescent="0.25">
      <c r="A38" s="34"/>
      <c r="B38" s="33"/>
      <c r="C38" s="571"/>
      <c r="D38" s="572"/>
    </row>
    <row r="39" spans="1:4" ht="30" customHeight="1" x14ac:dyDescent="0.25">
      <c r="A39" s="34"/>
      <c r="B39" s="33"/>
      <c r="C39" s="571"/>
      <c r="D39" s="572"/>
    </row>
    <row r="40" spans="1:4" ht="30" customHeight="1" x14ac:dyDescent="0.25">
      <c r="A40" s="34"/>
      <c r="B40" s="33"/>
      <c r="C40" s="571"/>
      <c r="D40" s="572"/>
    </row>
    <row r="41" spans="1:4" ht="30" customHeight="1" x14ac:dyDescent="0.25">
      <c r="A41" s="34"/>
      <c r="B41" s="33"/>
      <c r="C41" s="571"/>
      <c r="D41" s="572"/>
    </row>
    <row r="42" spans="1:4" ht="30" customHeight="1" x14ac:dyDescent="0.25">
      <c r="A42" s="34"/>
      <c r="B42" s="33"/>
      <c r="C42" s="571"/>
      <c r="D42" s="572"/>
    </row>
    <row r="43" spans="1:4" ht="30" customHeight="1" x14ac:dyDescent="0.25">
      <c r="A43" s="34"/>
      <c r="B43" s="33"/>
      <c r="C43" s="571"/>
      <c r="D43" s="572"/>
    </row>
    <row r="44" spans="1:4" ht="30" customHeight="1" x14ac:dyDescent="0.25">
      <c r="A44" s="34"/>
      <c r="B44" s="33"/>
      <c r="C44" s="571"/>
      <c r="D44" s="572"/>
    </row>
    <row r="45" spans="1:4" ht="30" customHeight="1" x14ac:dyDescent="0.25">
      <c r="A45" s="34"/>
      <c r="B45" s="33"/>
      <c r="C45" s="571"/>
      <c r="D45" s="572"/>
    </row>
    <row r="46" spans="1:4" ht="30" customHeight="1" x14ac:dyDescent="0.25">
      <c r="A46" s="34"/>
      <c r="B46" s="33"/>
      <c r="C46" s="571"/>
      <c r="D46" s="572"/>
    </row>
    <row r="47" spans="1:4" ht="30" customHeight="1" x14ac:dyDescent="0.25">
      <c r="A47" s="34"/>
      <c r="B47" s="33"/>
      <c r="C47" s="571"/>
      <c r="D47" s="572"/>
    </row>
    <row r="48" spans="1:4" ht="30" customHeight="1" x14ac:dyDescent="0.25">
      <c r="A48" s="34"/>
      <c r="B48" s="33"/>
      <c r="C48" s="571"/>
      <c r="D48" s="572"/>
    </row>
    <row r="49" spans="1:4" ht="30" customHeight="1" x14ac:dyDescent="0.25">
      <c r="A49" s="34"/>
      <c r="B49" s="33"/>
      <c r="C49" s="571"/>
      <c r="D49" s="572"/>
    </row>
    <row r="50" spans="1:4" ht="30" customHeight="1" x14ac:dyDescent="0.25">
      <c r="A50" s="34"/>
      <c r="B50" s="33"/>
      <c r="C50" s="571"/>
      <c r="D50" s="572"/>
    </row>
    <row r="51" spans="1:4" ht="30" customHeight="1" x14ac:dyDescent="0.25">
      <c r="A51" s="34"/>
      <c r="B51" s="33"/>
      <c r="C51" s="571"/>
      <c r="D51" s="572"/>
    </row>
    <row r="52" spans="1:4" ht="30" customHeight="1" x14ac:dyDescent="0.25">
      <c r="A52" s="34"/>
      <c r="B52" s="33"/>
      <c r="C52" s="571"/>
      <c r="D52" s="572"/>
    </row>
    <row r="53" spans="1:4" ht="30" customHeight="1" x14ac:dyDescent="0.25">
      <c r="A53" s="34"/>
      <c r="B53" s="33"/>
      <c r="C53" s="571"/>
      <c r="D53" s="572"/>
    </row>
    <row r="54" spans="1:4" ht="30" customHeight="1" x14ac:dyDescent="0.25">
      <c r="A54" s="34"/>
      <c r="B54" s="33"/>
      <c r="C54" s="571"/>
      <c r="D54" s="572"/>
    </row>
    <row r="55" spans="1:4" ht="30" customHeight="1" x14ac:dyDescent="0.25">
      <c r="A55" s="34"/>
      <c r="B55" s="33"/>
      <c r="C55" s="571"/>
      <c r="D55" s="572"/>
    </row>
    <row r="56" spans="1:4" ht="30" customHeight="1" x14ac:dyDescent="0.25">
      <c r="A56" s="34"/>
      <c r="B56" s="33"/>
      <c r="C56" s="571"/>
      <c r="D56" s="572"/>
    </row>
    <row r="57" spans="1:4" ht="30" customHeight="1" x14ac:dyDescent="0.25">
      <c r="A57" s="34"/>
      <c r="B57" s="33"/>
      <c r="C57" s="571"/>
      <c r="D57" s="572"/>
    </row>
    <row r="58" spans="1:4" ht="30" customHeight="1" x14ac:dyDescent="0.25">
      <c r="A58" s="34"/>
      <c r="B58" s="33"/>
      <c r="C58" s="571"/>
      <c r="D58" s="572"/>
    </row>
    <row r="59" spans="1:4" ht="30" customHeight="1" x14ac:dyDescent="0.25">
      <c r="A59" s="34"/>
      <c r="B59" s="33"/>
      <c r="C59" s="571"/>
      <c r="D59" s="572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F0"/>
  </sheetPr>
  <dimension ref="A1:K59"/>
  <sheetViews>
    <sheetView view="pageBreakPreview" topLeftCell="A34" zoomScale="85" zoomScaleSheetLayoutView="85" workbookViewId="0">
      <selection activeCell="B37" sqref="B37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ht="21" x14ac:dyDescent="0.25">
      <c r="A1" s="87" t="s">
        <v>369</v>
      </c>
      <c r="B1" s="88"/>
      <c r="C1" s="88"/>
      <c r="D1" s="105" t="s">
        <v>101</v>
      </c>
    </row>
    <row r="2" spans="1:11" x14ac:dyDescent="0.25">
      <c r="A2" s="38" t="s">
        <v>45</v>
      </c>
      <c r="B2" s="27" t="s">
        <v>516</v>
      </c>
      <c r="C2" s="41"/>
      <c r="D2" s="42"/>
    </row>
    <row r="3" spans="1:11" ht="20.100000000000001" customHeight="1" x14ac:dyDescent="0.25">
      <c r="A3" s="38" t="s">
        <v>110</v>
      </c>
      <c r="B3" s="36">
        <v>0.65694444941149821</v>
      </c>
      <c r="C3" s="38" t="s">
        <v>104</v>
      </c>
      <c r="D3" s="36">
        <v>0.65277777777777779</v>
      </c>
    </row>
    <row r="4" spans="1:11" ht="20.100000000000001" customHeight="1" x14ac:dyDescent="0.25">
      <c r="A4" s="38" t="s">
        <v>111</v>
      </c>
      <c r="B4" s="36">
        <v>0.70208333830038705</v>
      </c>
      <c r="C4" s="38" t="s">
        <v>105</v>
      </c>
      <c r="D4" s="36"/>
    </row>
    <row r="5" spans="1:11" ht="46.5" x14ac:dyDescent="0.25">
      <c r="A5" s="564" t="s">
        <v>378</v>
      </c>
      <c r="B5" s="564"/>
      <c r="C5" s="564"/>
      <c r="D5" s="564"/>
    </row>
    <row r="6" spans="1:11" ht="9.9499999999999993" customHeight="1" x14ac:dyDescent="0.25">
      <c r="A6" s="86"/>
    </row>
    <row r="7" spans="1:11" ht="9.9499999999999993" customHeight="1" x14ac:dyDescent="0.25">
      <c r="A7" s="86"/>
    </row>
    <row r="8" spans="1:11" s="29" customFormat="1" ht="21" customHeight="1" x14ac:dyDescent="0.25">
      <c r="A8" s="39"/>
      <c r="B8" s="92" t="s">
        <v>231</v>
      </c>
      <c r="C8" s="40"/>
      <c r="D8" s="40"/>
    </row>
    <row r="9" spans="1:11" ht="21" x14ac:dyDescent="0.25">
      <c r="A9" s="93" t="s">
        <v>0</v>
      </c>
      <c r="B9" s="94" t="s">
        <v>72</v>
      </c>
      <c r="C9" s="569" t="s">
        <v>106</v>
      </c>
      <c r="D9" s="570"/>
      <c r="J9" s="30"/>
      <c r="K9" s="31"/>
    </row>
    <row r="10" spans="1:11" ht="30" customHeight="1" x14ac:dyDescent="0.25">
      <c r="A10" s="379" t="s">
        <v>629</v>
      </c>
      <c r="B10" s="106">
        <v>0.65277777777777779</v>
      </c>
      <c r="C10" s="565"/>
      <c r="D10" s="566"/>
    </row>
    <row r="11" spans="1:11" ht="30" customHeight="1" x14ac:dyDescent="0.25">
      <c r="A11" s="34">
        <v>2</v>
      </c>
      <c r="B11" s="106">
        <v>0.66111111111111109</v>
      </c>
      <c r="C11" s="565"/>
      <c r="D11" s="566"/>
    </row>
    <row r="12" spans="1:11" ht="30" customHeight="1" x14ac:dyDescent="0.25">
      <c r="A12" s="34">
        <v>4</v>
      </c>
      <c r="B12" s="106">
        <v>0.66249999999999998</v>
      </c>
      <c r="C12" s="565"/>
      <c r="D12" s="566"/>
    </row>
    <row r="13" spans="1:11" ht="30" customHeight="1" x14ac:dyDescent="0.25">
      <c r="A13" s="34">
        <v>6</v>
      </c>
      <c r="B13" s="106">
        <v>0.66388888888888886</v>
      </c>
      <c r="C13" s="565"/>
      <c r="D13" s="566"/>
    </row>
    <row r="14" spans="1:11" ht="30" customHeight="1" x14ac:dyDescent="0.25">
      <c r="A14" s="34">
        <v>5</v>
      </c>
      <c r="B14" s="106">
        <v>0.6645833333333333</v>
      </c>
      <c r="C14" s="565"/>
      <c r="D14" s="566"/>
    </row>
    <row r="15" spans="1:11" ht="30" customHeight="1" x14ac:dyDescent="0.25">
      <c r="A15" s="34">
        <v>7</v>
      </c>
      <c r="B15" s="106">
        <v>0.66736111111111107</v>
      </c>
      <c r="C15" s="565"/>
      <c r="D15" s="566"/>
    </row>
    <row r="16" spans="1:11" ht="30" customHeight="1" x14ac:dyDescent="0.25">
      <c r="A16" s="34">
        <v>3</v>
      </c>
      <c r="B16" s="106">
        <v>0.66736111111111107</v>
      </c>
      <c r="C16" s="565"/>
      <c r="D16" s="566"/>
    </row>
    <row r="17" spans="1:4" ht="30" customHeight="1" x14ac:dyDescent="0.25">
      <c r="A17" s="34">
        <v>8</v>
      </c>
      <c r="B17" s="106">
        <v>0.66875000000000007</v>
      </c>
      <c r="C17" s="565"/>
      <c r="D17" s="566"/>
    </row>
    <row r="18" spans="1:4" ht="30" customHeight="1" x14ac:dyDescent="0.25">
      <c r="A18" s="34">
        <v>9</v>
      </c>
      <c r="B18" s="106">
        <v>0.67152777777777783</v>
      </c>
      <c r="C18" s="565"/>
      <c r="D18" s="566"/>
    </row>
    <row r="19" spans="1:4" ht="30" customHeight="1" x14ac:dyDescent="0.25">
      <c r="A19" s="34">
        <v>20</v>
      </c>
      <c r="B19" s="106">
        <v>0.67222222222222217</v>
      </c>
      <c r="C19" s="565"/>
      <c r="D19" s="566"/>
    </row>
    <row r="20" spans="1:4" ht="30" customHeight="1" x14ac:dyDescent="0.25">
      <c r="A20" s="34">
        <v>11</v>
      </c>
      <c r="B20" s="106">
        <v>0.6743055555555556</v>
      </c>
      <c r="C20" s="565"/>
      <c r="D20" s="566"/>
    </row>
    <row r="21" spans="1:4" ht="30" customHeight="1" x14ac:dyDescent="0.25">
      <c r="A21" s="34">
        <v>22</v>
      </c>
      <c r="B21" s="106">
        <v>0.67499999999999993</v>
      </c>
      <c r="C21" s="565"/>
      <c r="D21" s="566"/>
    </row>
    <row r="22" spans="1:4" ht="30" customHeight="1" x14ac:dyDescent="0.25">
      <c r="A22" s="34">
        <v>15</v>
      </c>
      <c r="B22" s="106">
        <v>0.67499999999999993</v>
      </c>
      <c r="C22" s="565"/>
      <c r="D22" s="566"/>
    </row>
    <row r="23" spans="1:4" ht="30" customHeight="1" x14ac:dyDescent="0.25">
      <c r="A23" s="34">
        <v>14</v>
      </c>
      <c r="B23" s="106">
        <v>0.67638888888888893</v>
      </c>
      <c r="C23" s="565" t="s">
        <v>707</v>
      </c>
      <c r="D23" s="566"/>
    </row>
    <row r="24" spans="1:4" ht="30" customHeight="1" x14ac:dyDescent="0.25">
      <c r="A24" s="34">
        <v>18</v>
      </c>
      <c r="B24" s="106">
        <v>0.6791666666666667</v>
      </c>
      <c r="C24" s="565"/>
      <c r="D24" s="566"/>
    </row>
    <row r="25" spans="1:4" ht="30" customHeight="1" x14ac:dyDescent="0.25">
      <c r="A25" s="34">
        <v>13</v>
      </c>
      <c r="B25" s="106">
        <v>0.67986111111111114</v>
      </c>
      <c r="C25" s="565"/>
      <c r="D25" s="566"/>
    </row>
    <row r="26" spans="1:4" ht="30" customHeight="1" x14ac:dyDescent="0.25">
      <c r="A26" s="34">
        <v>24</v>
      </c>
      <c r="B26" s="106">
        <v>0.68125000000000002</v>
      </c>
      <c r="C26" s="565"/>
      <c r="D26" s="566"/>
    </row>
    <row r="27" spans="1:4" ht="30" customHeight="1" x14ac:dyDescent="0.25">
      <c r="A27" s="34">
        <v>25</v>
      </c>
      <c r="B27" s="106">
        <v>0.68472222222222223</v>
      </c>
      <c r="C27" s="565"/>
      <c r="D27" s="566"/>
    </row>
    <row r="28" spans="1:4" ht="30" customHeight="1" x14ac:dyDescent="0.25">
      <c r="A28" s="34">
        <v>27</v>
      </c>
      <c r="B28" s="106">
        <v>0.68541666666666667</v>
      </c>
      <c r="C28" s="565"/>
      <c r="D28" s="566"/>
    </row>
    <row r="29" spans="1:4" ht="30" customHeight="1" x14ac:dyDescent="0.25">
      <c r="A29" s="34">
        <v>23</v>
      </c>
      <c r="B29" s="106">
        <v>0.68541666666666667</v>
      </c>
      <c r="C29" s="565"/>
      <c r="D29" s="566"/>
    </row>
    <row r="30" spans="1:4" ht="30" customHeight="1" x14ac:dyDescent="0.25">
      <c r="A30" s="34">
        <v>28</v>
      </c>
      <c r="B30" s="106">
        <v>0.68541666666666667</v>
      </c>
      <c r="C30" s="565"/>
      <c r="D30" s="566"/>
    </row>
    <row r="31" spans="1:4" ht="30" customHeight="1" x14ac:dyDescent="0.25">
      <c r="A31" s="34">
        <v>26</v>
      </c>
      <c r="B31" s="106">
        <v>0.68541666666666667</v>
      </c>
      <c r="C31" s="565" t="s">
        <v>708</v>
      </c>
      <c r="D31" s="566"/>
    </row>
    <row r="32" spans="1:4" ht="30" customHeight="1" x14ac:dyDescent="0.25">
      <c r="A32" s="34">
        <v>16</v>
      </c>
      <c r="B32" s="106">
        <v>0.68611111111111101</v>
      </c>
      <c r="C32" s="565"/>
      <c r="D32" s="566"/>
    </row>
    <row r="33" spans="1:4" ht="30" customHeight="1" x14ac:dyDescent="0.25">
      <c r="A33" s="34">
        <v>17</v>
      </c>
      <c r="B33" s="106">
        <v>0.68611111111111101</v>
      </c>
      <c r="C33" s="565"/>
      <c r="D33" s="566"/>
    </row>
    <row r="34" spans="1:4" ht="30" customHeight="1" x14ac:dyDescent="0.25">
      <c r="A34" s="34">
        <v>1</v>
      </c>
      <c r="B34" s="106">
        <v>0.69305555555555554</v>
      </c>
      <c r="C34" s="565"/>
      <c r="D34" s="566"/>
    </row>
    <row r="35" spans="1:4" ht="30" customHeight="1" x14ac:dyDescent="0.25">
      <c r="A35" s="34">
        <v>19</v>
      </c>
      <c r="B35" s="106">
        <v>0.69652777777777775</v>
      </c>
      <c r="C35" s="565"/>
      <c r="D35" s="566"/>
    </row>
    <row r="36" spans="1:4" ht="30" customHeight="1" x14ac:dyDescent="0.25">
      <c r="A36" s="34">
        <v>10</v>
      </c>
      <c r="B36" s="106">
        <v>0.69930555555555562</v>
      </c>
      <c r="C36" s="565"/>
      <c r="D36" s="566"/>
    </row>
    <row r="37" spans="1:4" ht="30" customHeight="1" x14ac:dyDescent="0.25">
      <c r="A37" s="34"/>
      <c r="B37" s="106"/>
      <c r="C37" s="565"/>
      <c r="D37" s="566"/>
    </row>
    <row r="38" spans="1:4" ht="30" customHeight="1" x14ac:dyDescent="0.25">
      <c r="A38" s="34"/>
      <c r="B38" s="106"/>
      <c r="C38" s="565"/>
      <c r="D38" s="566"/>
    </row>
    <row r="39" spans="1:4" ht="30" customHeight="1" x14ac:dyDescent="0.25">
      <c r="A39" s="34"/>
      <c r="B39" s="106"/>
      <c r="C39" s="565"/>
      <c r="D39" s="566"/>
    </row>
    <row r="40" spans="1:4" ht="30" customHeight="1" x14ac:dyDescent="0.25">
      <c r="A40" s="34"/>
      <c r="B40" s="106"/>
      <c r="C40" s="565"/>
      <c r="D40" s="566"/>
    </row>
    <row r="41" spans="1:4" ht="30" customHeight="1" x14ac:dyDescent="0.25">
      <c r="A41" s="34"/>
      <c r="B41" s="106"/>
      <c r="C41" s="565"/>
      <c r="D41" s="566"/>
    </row>
    <row r="42" spans="1:4" ht="30" customHeight="1" x14ac:dyDescent="0.25">
      <c r="A42" s="34"/>
      <c r="B42" s="106"/>
      <c r="C42" s="565"/>
      <c r="D42" s="566"/>
    </row>
    <row r="43" spans="1:4" ht="30" customHeight="1" x14ac:dyDescent="0.25">
      <c r="A43" s="34"/>
      <c r="B43" s="106"/>
      <c r="C43" s="565"/>
      <c r="D43" s="566"/>
    </row>
    <row r="44" spans="1:4" ht="30" customHeight="1" x14ac:dyDescent="0.25">
      <c r="A44" s="34"/>
      <c r="B44" s="106"/>
      <c r="C44" s="565"/>
      <c r="D44" s="566"/>
    </row>
    <row r="45" spans="1:4" ht="30" customHeight="1" x14ac:dyDescent="0.25">
      <c r="A45" s="34"/>
      <c r="B45" s="106"/>
      <c r="C45" s="565"/>
      <c r="D45" s="566"/>
    </row>
    <row r="46" spans="1:4" ht="30" customHeight="1" x14ac:dyDescent="0.25">
      <c r="A46" s="34"/>
      <c r="B46" s="106"/>
      <c r="C46" s="565"/>
      <c r="D46" s="566"/>
    </row>
    <row r="47" spans="1:4" ht="30" customHeight="1" x14ac:dyDescent="0.25">
      <c r="A47" s="34"/>
      <c r="B47" s="106"/>
      <c r="C47" s="565"/>
      <c r="D47" s="566"/>
    </row>
    <row r="48" spans="1:4" ht="30" customHeight="1" x14ac:dyDescent="0.25">
      <c r="A48" s="34"/>
      <c r="B48" s="106"/>
      <c r="C48" s="565"/>
      <c r="D48" s="566"/>
    </row>
    <row r="49" spans="1:4" ht="30" customHeight="1" x14ac:dyDescent="0.25">
      <c r="A49" s="34"/>
      <c r="B49" s="106"/>
      <c r="C49" s="565"/>
      <c r="D49" s="566"/>
    </row>
    <row r="50" spans="1:4" ht="30" customHeight="1" x14ac:dyDescent="0.25">
      <c r="A50" s="34"/>
      <c r="B50" s="106"/>
      <c r="C50" s="565"/>
      <c r="D50" s="566"/>
    </row>
    <row r="51" spans="1:4" ht="30" customHeight="1" x14ac:dyDescent="0.25">
      <c r="A51" s="34"/>
      <c r="B51" s="106"/>
      <c r="C51" s="565"/>
      <c r="D51" s="566"/>
    </row>
    <row r="52" spans="1:4" ht="30" customHeight="1" x14ac:dyDescent="0.25">
      <c r="A52" s="34"/>
      <c r="B52" s="106"/>
      <c r="C52" s="565"/>
      <c r="D52" s="566"/>
    </row>
    <row r="53" spans="1:4" ht="30" customHeight="1" x14ac:dyDescent="0.25">
      <c r="A53" s="34"/>
      <c r="B53" s="106"/>
      <c r="C53" s="565"/>
      <c r="D53" s="566"/>
    </row>
    <row r="54" spans="1:4" ht="30" customHeight="1" x14ac:dyDescent="0.25">
      <c r="A54" s="34"/>
      <c r="B54" s="106"/>
      <c r="C54" s="565"/>
      <c r="D54" s="566"/>
    </row>
    <row r="55" spans="1:4" ht="30" customHeight="1" x14ac:dyDescent="0.25">
      <c r="A55" s="34"/>
      <c r="B55" s="106"/>
      <c r="C55" s="565"/>
      <c r="D55" s="566"/>
    </row>
    <row r="56" spans="1:4" ht="30" customHeight="1" x14ac:dyDescent="0.25">
      <c r="A56" s="34"/>
      <c r="B56" s="106"/>
      <c r="C56" s="565"/>
      <c r="D56" s="566"/>
    </row>
    <row r="57" spans="1:4" ht="30" customHeight="1" x14ac:dyDescent="0.25">
      <c r="A57" s="34"/>
      <c r="B57" s="106"/>
      <c r="C57" s="565"/>
      <c r="D57" s="566"/>
    </row>
    <row r="58" spans="1:4" ht="30" customHeight="1" x14ac:dyDescent="0.25">
      <c r="A58" s="34"/>
      <c r="B58" s="106"/>
      <c r="C58" s="565"/>
      <c r="D58" s="566"/>
    </row>
    <row r="59" spans="1:4" ht="30" customHeight="1" x14ac:dyDescent="0.25">
      <c r="A59" s="34"/>
      <c r="B59" s="106"/>
      <c r="C59" s="565"/>
      <c r="D59" s="566"/>
    </row>
  </sheetData>
  <sheetProtection sheet="1" objects="1" scenarios="1"/>
  <mergeCells count="52"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5:D5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20 строк&amp;RСтраница  &amp;P из &amp;N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F69"/>
  <sheetViews>
    <sheetView showZeros="0" view="pageBreakPreview" zoomScaleNormal="85" zoomScaleSheetLayoutView="100" workbookViewId="0">
      <pane xSplit="1" ySplit="8" topLeftCell="AO21" activePane="bottomRight" state="frozen"/>
      <selection pane="topRight" activeCell="B1" sqref="B1"/>
      <selection pane="bottomLeft" activeCell="A9" sqref="A9"/>
      <selection pane="bottomRight" activeCell="BE21" sqref="BE21"/>
    </sheetView>
  </sheetViews>
  <sheetFormatPr defaultRowHeight="18.75" x14ac:dyDescent="0.25"/>
  <cols>
    <col min="1" max="1" width="11.85546875" style="595" customWidth="1"/>
    <col min="2" max="5" width="20.7109375" style="2" customWidth="1"/>
    <col min="6" max="6" width="17.85546875" style="2" customWidth="1"/>
    <col min="7" max="9" width="11.85546875" style="2" customWidth="1"/>
    <col min="10" max="10" width="12.85546875" style="2" customWidth="1"/>
    <col min="11" max="12" width="8.7109375" style="2" customWidth="1"/>
    <col min="13" max="13" width="3.7109375" style="2" customWidth="1"/>
    <col min="14" max="19" width="8.7109375" style="2" customWidth="1"/>
    <col min="20" max="20" width="3.7109375" style="2" customWidth="1"/>
    <col min="21" max="27" width="8.7109375" style="2" customWidth="1"/>
    <col min="28" max="28" width="3.7109375" style="2" customWidth="1"/>
    <col min="29" max="35" width="8.7109375" style="2" customWidth="1"/>
    <col min="36" max="36" width="3.7109375" style="2" customWidth="1"/>
    <col min="37" max="40" width="8.7109375" style="2" customWidth="1"/>
    <col min="41" max="41" width="3.7109375" style="2" customWidth="1"/>
    <col min="42" max="57" width="8.7109375" style="2" customWidth="1"/>
    <col min="58" max="58" width="3.7109375" style="2" customWidth="1"/>
    <col min="59" max="62" width="8.7109375" style="2" customWidth="1"/>
    <col min="63" max="63" width="3.7109375" style="2" customWidth="1"/>
    <col min="64" max="67" width="8.7109375" style="2" customWidth="1"/>
    <col min="68" max="68" width="3.7109375" style="2" customWidth="1"/>
    <col min="69" max="70" width="8.7109375" style="2" customWidth="1"/>
    <col min="71" max="71" width="141.5703125" style="2" customWidth="1"/>
    <col min="72" max="72" width="9.42578125" style="2" customWidth="1"/>
    <col min="73" max="81" width="8.7109375" style="2" customWidth="1"/>
    <col min="82" max="82" width="3.7109375" style="2" customWidth="1"/>
    <col min="83" max="84" width="8.7109375" style="2" customWidth="1"/>
    <col min="85" max="204" width="9.140625" style="2"/>
    <col min="205" max="205" width="18.7109375" style="2" customWidth="1"/>
    <col min="206" max="206" width="18.140625" style="2" customWidth="1"/>
    <col min="207" max="207" width="8.7109375" style="2" customWidth="1"/>
    <col min="208" max="208" width="9.140625" style="2"/>
    <col min="209" max="209" width="9.140625" style="2" customWidth="1"/>
    <col min="210" max="210" width="27.28515625" style="2" customWidth="1"/>
    <col min="211" max="246" width="9.140625" style="2" customWidth="1"/>
    <col min="247" max="460" width="9.140625" style="2"/>
    <col min="461" max="461" width="18.7109375" style="2" customWidth="1"/>
    <col min="462" max="462" width="18.140625" style="2" customWidth="1"/>
    <col min="463" max="463" width="8.7109375" style="2" customWidth="1"/>
    <col min="464" max="464" width="9.140625" style="2"/>
    <col min="465" max="465" width="9.140625" style="2" customWidth="1"/>
    <col min="466" max="466" width="27.28515625" style="2" customWidth="1"/>
    <col min="467" max="502" width="9.140625" style="2" customWidth="1"/>
    <col min="503" max="716" width="9.140625" style="2"/>
    <col min="717" max="717" width="18.7109375" style="2" customWidth="1"/>
    <col min="718" max="718" width="18.140625" style="2" customWidth="1"/>
    <col min="719" max="719" width="8.7109375" style="2" customWidth="1"/>
    <col min="720" max="720" width="9.140625" style="2"/>
    <col min="721" max="721" width="9.140625" style="2" customWidth="1"/>
    <col min="722" max="722" width="27.28515625" style="2" customWidth="1"/>
    <col min="723" max="758" width="9.140625" style="2" customWidth="1"/>
    <col min="759" max="972" width="9.140625" style="2"/>
    <col min="973" max="973" width="18.7109375" style="2" customWidth="1"/>
    <col min="974" max="974" width="18.140625" style="2" customWidth="1"/>
    <col min="975" max="975" width="8.7109375" style="2" customWidth="1"/>
    <col min="976" max="976" width="9.140625" style="2"/>
    <col min="977" max="977" width="9.140625" style="2" customWidth="1"/>
    <col min="978" max="978" width="27.28515625" style="2" customWidth="1"/>
    <col min="979" max="1014" width="9.140625" style="2" customWidth="1"/>
    <col min="1015" max="1228" width="9.140625" style="2"/>
    <col min="1229" max="1229" width="18.7109375" style="2" customWidth="1"/>
    <col min="1230" max="1230" width="18.140625" style="2" customWidth="1"/>
    <col min="1231" max="1231" width="8.7109375" style="2" customWidth="1"/>
    <col min="1232" max="1232" width="9.140625" style="2"/>
    <col min="1233" max="1233" width="9.140625" style="2" customWidth="1"/>
    <col min="1234" max="1234" width="27.28515625" style="2" customWidth="1"/>
    <col min="1235" max="1270" width="9.140625" style="2" customWidth="1"/>
    <col min="1271" max="1484" width="9.140625" style="2"/>
    <col min="1485" max="1485" width="18.7109375" style="2" customWidth="1"/>
    <col min="1486" max="1486" width="18.140625" style="2" customWidth="1"/>
    <col min="1487" max="1487" width="8.7109375" style="2" customWidth="1"/>
    <col min="1488" max="1488" width="9.140625" style="2"/>
    <col min="1489" max="1489" width="9.140625" style="2" customWidth="1"/>
    <col min="1490" max="1490" width="27.28515625" style="2" customWidth="1"/>
    <col min="1491" max="1526" width="9.140625" style="2" customWidth="1"/>
    <col min="1527" max="1740" width="9.140625" style="2"/>
    <col min="1741" max="1741" width="18.7109375" style="2" customWidth="1"/>
    <col min="1742" max="1742" width="18.140625" style="2" customWidth="1"/>
    <col min="1743" max="1743" width="8.7109375" style="2" customWidth="1"/>
    <col min="1744" max="1744" width="9.140625" style="2"/>
    <col min="1745" max="1745" width="9.140625" style="2" customWidth="1"/>
    <col min="1746" max="1746" width="27.28515625" style="2" customWidth="1"/>
    <col min="1747" max="1782" width="9.140625" style="2" customWidth="1"/>
    <col min="1783" max="1996" width="9.140625" style="2"/>
    <col min="1997" max="1997" width="18.7109375" style="2" customWidth="1"/>
    <col min="1998" max="1998" width="18.140625" style="2" customWidth="1"/>
    <col min="1999" max="1999" width="8.7109375" style="2" customWidth="1"/>
    <col min="2000" max="2000" width="9.140625" style="2"/>
    <col min="2001" max="2001" width="9.140625" style="2" customWidth="1"/>
    <col min="2002" max="2002" width="27.28515625" style="2" customWidth="1"/>
    <col min="2003" max="2038" width="9.140625" style="2" customWidth="1"/>
    <col min="2039" max="2252" width="9.140625" style="2"/>
    <col min="2253" max="2253" width="18.7109375" style="2" customWidth="1"/>
    <col min="2254" max="2254" width="18.140625" style="2" customWidth="1"/>
    <col min="2255" max="2255" width="8.7109375" style="2" customWidth="1"/>
    <col min="2256" max="2256" width="9.140625" style="2"/>
    <col min="2257" max="2257" width="9.140625" style="2" customWidth="1"/>
    <col min="2258" max="2258" width="27.28515625" style="2" customWidth="1"/>
    <col min="2259" max="2294" width="9.140625" style="2" customWidth="1"/>
    <col min="2295" max="2508" width="9.140625" style="2"/>
    <col min="2509" max="2509" width="18.7109375" style="2" customWidth="1"/>
    <col min="2510" max="2510" width="18.140625" style="2" customWidth="1"/>
    <col min="2511" max="2511" width="8.7109375" style="2" customWidth="1"/>
    <col min="2512" max="2512" width="9.140625" style="2"/>
    <col min="2513" max="2513" width="9.140625" style="2" customWidth="1"/>
    <col min="2514" max="2514" width="27.28515625" style="2" customWidth="1"/>
    <col min="2515" max="2550" width="9.140625" style="2" customWidth="1"/>
    <col min="2551" max="2764" width="9.140625" style="2"/>
    <col min="2765" max="2765" width="18.7109375" style="2" customWidth="1"/>
    <col min="2766" max="2766" width="18.140625" style="2" customWidth="1"/>
    <col min="2767" max="2767" width="8.7109375" style="2" customWidth="1"/>
    <col min="2768" max="2768" width="9.140625" style="2"/>
    <col min="2769" max="2769" width="9.140625" style="2" customWidth="1"/>
    <col min="2770" max="2770" width="27.28515625" style="2" customWidth="1"/>
    <col min="2771" max="2806" width="9.140625" style="2" customWidth="1"/>
    <col min="2807" max="3020" width="9.140625" style="2"/>
    <col min="3021" max="3021" width="18.7109375" style="2" customWidth="1"/>
    <col min="3022" max="3022" width="18.140625" style="2" customWidth="1"/>
    <col min="3023" max="3023" width="8.7109375" style="2" customWidth="1"/>
    <col min="3024" max="3024" width="9.140625" style="2"/>
    <col min="3025" max="3025" width="9.140625" style="2" customWidth="1"/>
    <col min="3026" max="3026" width="27.28515625" style="2" customWidth="1"/>
    <col min="3027" max="3062" width="9.140625" style="2" customWidth="1"/>
    <col min="3063" max="3276" width="9.140625" style="2"/>
    <col min="3277" max="3277" width="18.7109375" style="2" customWidth="1"/>
    <col min="3278" max="3278" width="18.140625" style="2" customWidth="1"/>
    <col min="3279" max="3279" width="8.7109375" style="2" customWidth="1"/>
    <col min="3280" max="3280" width="9.140625" style="2"/>
    <col min="3281" max="3281" width="9.140625" style="2" customWidth="1"/>
    <col min="3282" max="3282" width="27.28515625" style="2" customWidth="1"/>
    <col min="3283" max="3318" width="9.140625" style="2" customWidth="1"/>
    <col min="3319" max="3532" width="9.140625" style="2"/>
    <col min="3533" max="3533" width="18.7109375" style="2" customWidth="1"/>
    <col min="3534" max="3534" width="18.140625" style="2" customWidth="1"/>
    <col min="3535" max="3535" width="8.7109375" style="2" customWidth="1"/>
    <col min="3536" max="3536" width="9.140625" style="2"/>
    <col min="3537" max="3537" width="9.140625" style="2" customWidth="1"/>
    <col min="3538" max="3538" width="27.28515625" style="2" customWidth="1"/>
    <col min="3539" max="3574" width="9.140625" style="2" customWidth="1"/>
    <col min="3575" max="3788" width="9.140625" style="2"/>
    <col min="3789" max="3789" width="18.7109375" style="2" customWidth="1"/>
    <col min="3790" max="3790" width="18.140625" style="2" customWidth="1"/>
    <col min="3791" max="3791" width="8.7109375" style="2" customWidth="1"/>
    <col min="3792" max="3792" width="9.140625" style="2"/>
    <col min="3793" max="3793" width="9.140625" style="2" customWidth="1"/>
    <col min="3794" max="3794" width="27.28515625" style="2" customWidth="1"/>
    <col min="3795" max="3830" width="9.140625" style="2" customWidth="1"/>
    <col min="3831" max="4044" width="9.140625" style="2"/>
    <col min="4045" max="4045" width="18.7109375" style="2" customWidth="1"/>
    <col min="4046" max="4046" width="18.140625" style="2" customWidth="1"/>
    <col min="4047" max="4047" width="8.7109375" style="2" customWidth="1"/>
    <col min="4048" max="4048" width="9.140625" style="2"/>
    <col min="4049" max="4049" width="9.140625" style="2" customWidth="1"/>
    <col min="4050" max="4050" width="27.28515625" style="2" customWidth="1"/>
    <col min="4051" max="4086" width="9.140625" style="2" customWidth="1"/>
    <col min="4087" max="4300" width="9.140625" style="2"/>
    <col min="4301" max="4301" width="18.7109375" style="2" customWidth="1"/>
    <col min="4302" max="4302" width="18.140625" style="2" customWidth="1"/>
    <col min="4303" max="4303" width="8.7109375" style="2" customWidth="1"/>
    <col min="4304" max="4304" width="9.140625" style="2"/>
    <col min="4305" max="4305" width="9.140625" style="2" customWidth="1"/>
    <col min="4306" max="4306" width="27.28515625" style="2" customWidth="1"/>
    <col min="4307" max="4342" width="9.140625" style="2" customWidth="1"/>
    <col min="4343" max="4556" width="9.140625" style="2"/>
    <col min="4557" max="4557" width="18.7109375" style="2" customWidth="1"/>
    <col min="4558" max="4558" width="18.140625" style="2" customWidth="1"/>
    <col min="4559" max="4559" width="8.7109375" style="2" customWidth="1"/>
    <col min="4560" max="4560" width="9.140625" style="2"/>
    <col min="4561" max="4561" width="9.140625" style="2" customWidth="1"/>
    <col min="4562" max="4562" width="27.28515625" style="2" customWidth="1"/>
    <col min="4563" max="4598" width="9.140625" style="2" customWidth="1"/>
    <col min="4599" max="4812" width="9.140625" style="2"/>
    <col min="4813" max="4813" width="18.7109375" style="2" customWidth="1"/>
    <col min="4814" max="4814" width="18.140625" style="2" customWidth="1"/>
    <col min="4815" max="4815" width="8.7109375" style="2" customWidth="1"/>
    <col min="4816" max="4816" width="9.140625" style="2"/>
    <col min="4817" max="4817" width="9.140625" style="2" customWidth="1"/>
    <col min="4818" max="4818" width="27.28515625" style="2" customWidth="1"/>
    <col min="4819" max="4854" width="9.140625" style="2" customWidth="1"/>
    <col min="4855" max="5068" width="9.140625" style="2"/>
    <col min="5069" max="5069" width="18.7109375" style="2" customWidth="1"/>
    <col min="5070" max="5070" width="18.140625" style="2" customWidth="1"/>
    <col min="5071" max="5071" width="8.7109375" style="2" customWidth="1"/>
    <col min="5072" max="5072" width="9.140625" style="2"/>
    <col min="5073" max="5073" width="9.140625" style="2" customWidth="1"/>
    <col min="5074" max="5074" width="27.28515625" style="2" customWidth="1"/>
    <col min="5075" max="5110" width="9.140625" style="2" customWidth="1"/>
    <col min="5111" max="5324" width="9.140625" style="2"/>
    <col min="5325" max="5325" width="18.7109375" style="2" customWidth="1"/>
    <col min="5326" max="5326" width="18.140625" style="2" customWidth="1"/>
    <col min="5327" max="5327" width="8.7109375" style="2" customWidth="1"/>
    <col min="5328" max="5328" width="9.140625" style="2"/>
    <col min="5329" max="5329" width="9.140625" style="2" customWidth="1"/>
    <col min="5330" max="5330" width="27.28515625" style="2" customWidth="1"/>
    <col min="5331" max="5366" width="9.140625" style="2" customWidth="1"/>
    <col min="5367" max="5580" width="9.140625" style="2"/>
    <col min="5581" max="5581" width="18.7109375" style="2" customWidth="1"/>
    <col min="5582" max="5582" width="18.140625" style="2" customWidth="1"/>
    <col min="5583" max="5583" width="8.7109375" style="2" customWidth="1"/>
    <col min="5584" max="5584" width="9.140625" style="2"/>
    <col min="5585" max="5585" width="9.140625" style="2" customWidth="1"/>
    <col min="5586" max="5586" width="27.28515625" style="2" customWidth="1"/>
    <col min="5587" max="5622" width="9.140625" style="2" customWidth="1"/>
    <col min="5623" max="5836" width="9.140625" style="2"/>
    <col min="5837" max="5837" width="18.7109375" style="2" customWidth="1"/>
    <col min="5838" max="5838" width="18.140625" style="2" customWidth="1"/>
    <col min="5839" max="5839" width="8.7109375" style="2" customWidth="1"/>
    <col min="5840" max="5840" width="9.140625" style="2"/>
    <col min="5841" max="5841" width="9.140625" style="2" customWidth="1"/>
    <col min="5842" max="5842" width="27.28515625" style="2" customWidth="1"/>
    <col min="5843" max="5878" width="9.140625" style="2" customWidth="1"/>
    <col min="5879" max="6092" width="9.140625" style="2"/>
    <col min="6093" max="6093" width="18.7109375" style="2" customWidth="1"/>
    <col min="6094" max="6094" width="18.140625" style="2" customWidth="1"/>
    <col min="6095" max="6095" width="8.7109375" style="2" customWidth="1"/>
    <col min="6096" max="6096" width="9.140625" style="2"/>
    <col min="6097" max="6097" width="9.140625" style="2" customWidth="1"/>
    <col min="6098" max="6098" width="27.28515625" style="2" customWidth="1"/>
    <col min="6099" max="6134" width="9.140625" style="2" customWidth="1"/>
    <col min="6135" max="6348" width="9.140625" style="2"/>
    <col min="6349" max="6349" width="18.7109375" style="2" customWidth="1"/>
    <col min="6350" max="6350" width="18.140625" style="2" customWidth="1"/>
    <col min="6351" max="6351" width="8.7109375" style="2" customWidth="1"/>
    <col min="6352" max="6352" width="9.140625" style="2"/>
    <col min="6353" max="6353" width="9.140625" style="2" customWidth="1"/>
    <col min="6354" max="6354" width="27.28515625" style="2" customWidth="1"/>
    <col min="6355" max="6390" width="9.140625" style="2" customWidth="1"/>
    <col min="6391" max="6604" width="9.140625" style="2"/>
    <col min="6605" max="6605" width="18.7109375" style="2" customWidth="1"/>
    <col min="6606" max="6606" width="18.140625" style="2" customWidth="1"/>
    <col min="6607" max="6607" width="8.7109375" style="2" customWidth="1"/>
    <col min="6608" max="6608" width="9.140625" style="2"/>
    <col min="6609" max="6609" width="9.140625" style="2" customWidth="1"/>
    <col min="6610" max="6610" width="27.28515625" style="2" customWidth="1"/>
    <col min="6611" max="6646" width="9.140625" style="2" customWidth="1"/>
    <col min="6647" max="6860" width="9.140625" style="2"/>
    <col min="6861" max="6861" width="18.7109375" style="2" customWidth="1"/>
    <col min="6862" max="6862" width="18.140625" style="2" customWidth="1"/>
    <col min="6863" max="6863" width="8.7109375" style="2" customWidth="1"/>
    <col min="6864" max="6864" width="9.140625" style="2"/>
    <col min="6865" max="6865" width="9.140625" style="2" customWidth="1"/>
    <col min="6866" max="6866" width="27.28515625" style="2" customWidth="1"/>
    <col min="6867" max="6902" width="9.140625" style="2" customWidth="1"/>
    <col min="6903" max="7116" width="9.140625" style="2"/>
    <col min="7117" max="7117" width="18.7109375" style="2" customWidth="1"/>
    <col min="7118" max="7118" width="18.140625" style="2" customWidth="1"/>
    <col min="7119" max="7119" width="8.7109375" style="2" customWidth="1"/>
    <col min="7120" max="7120" width="9.140625" style="2"/>
    <col min="7121" max="7121" width="9.140625" style="2" customWidth="1"/>
    <col min="7122" max="7122" width="27.28515625" style="2" customWidth="1"/>
    <col min="7123" max="7158" width="9.140625" style="2" customWidth="1"/>
    <col min="7159" max="7372" width="9.140625" style="2"/>
    <col min="7373" max="7373" width="18.7109375" style="2" customWidth="1"/>
    <col min="7374" max="7374" width="18.140625" style="2" customWidth="1"/>
    <col min="7375" max="7375" width="8.7109375" style="2" customWidth="1"/>
    <col min="7376" max="7376" width="9.140625" style="2"/>
    <col min="7377" max="7377" width="9.140625" style="2" customWidth="1"/>
    <col min="7378" max="7378" width="27.28515625" style="2" customWidth="1"/>
    <col min="7379" max="7414" width="9.140625" style="2" customWidth="1"/>
    <col min="7415" max="7628" width="9.140625" style="2"/>
    <col min="7629" max="7629" width="18.7109375" style="2" customWidth="1"/>
    <col min="7630" max="7630" width="18.140625" style="2" customWidth="1"/>
    <col min="7631" max="7631" width="8.7109375" style="2" customWidth="1"/>
    <col min="7632" max="7632" width="9.140625" style="2"/>
    <col min="7633" max="7633" width="9.140625" style="2" customWidth="1"/>
    <col min="7634" max="7634" width="27.28515625" style="2" customWidth="1"/>
    <col min="7635" max="7670" width="9.140625" style="2" customWidth="1"/>
    <col min="7671" max="7884" width="9.140625" style="2"/>
    <col min="7885" max="7885" width="18.7109375" style="2" customWidth="1"/>
    <col min="7886" max="7886" width="18.140625" style="2" customWidth="1"/>
    <col min="7887" max="7887" width="8.7109375" style="2" customWidth="1"/>
    <col min="7888" max="7888" width="9.140625" style="2"/>
    <col min="7889" max="7889" width="9.140625" style="2" customWidth="1"/>
    <col min="7890" max="7890" width="27.28515625" style="2" customWidth="1"/>
    <col min="7891" max="7926" width="9.140625" style="2" customWidth="1"/>
    <col min="7927" max="8140" width="9.140625" style="2"/>
    <col min="8141" max="8141" width="18.7109375" style="2" customWidth="1"/>
    <col min="8142" max="8142" width="18.140625" style="2" customWidth="1"/>
    <col min="8143" max="8143" width="8.7109375" style="2" customWidth="1"/>
    <col min="8144" max="8144" width="9.140625" style="2"/>
    <col min="8145" max="8145" width="9.140625" style="2" customWidth="1"/>
    <col min="8146" max="8146" width="27.28515625" style="2" customWidth="1"/>
    <col min="8147" max="8182" width="9.140625" style="2" customWidth="1"/>
    <col min="8183" max="8396" width="9.140625" style="2"/>
    <col min="8397" max="8397" width="18.7109375" style="2" customWidth="1"/>
    <col min="8398" max="8398" width="18.140625" style="2" customWidth="1"/>
    <col min="8399" max="8399" width="8.7109375" style="2" customWidth="1"/>
    <col min="8400" max="8400" width="9.140625" style="2"/>
    <col min="8401" max="8401" width="9.140625" style="2" customWidth="1"/>
    <col min="8402" max="8402" width="27.28515625" style="2" customWidth="1"/>
    <col min="8403" max="8438" width="9.140625" style="2" customWidth="1"/>
    <col min="8439" max="8652" width="9.140625" style="2"/>
    <col min="8653" max="8653" width="18.7109375" style="2" customWidth="1"/>
    <col min="8654" max="8654" width="18.140625" style="2" customWidth="1"/>
    <col min="8655" max="8655" width="8.7109375" style="2" customWidth="1"/>
    <col min="8656" max="8656" width="9.140625" style="2"/>
    <col min="8657" max="8657" width="9.140625" style="2" customWidth="1"/>
    <col min="8658" max="8658" width="27.28515625" style="2" customWidth="1"/>
    <col min="8659" max="8694" width="9.140625" style="2" customWidth="1"/>
    <col min="8695" max="8908" width="9.140625" style="2"/>
    <col min="8909" max="8909" width="18.7109375" style="2" customWidth="1"/>
    <col min="8910" max="8910" width="18.140625" style="2" customWidth="1"/>
    <col min="8911" max="8911" width="8.7109375" style="2" customWidth="1"/>
    <col min="8912" max="8912" width="9.140625" style="2"/>
    <col min="8913" max="8913" width="9.140625" style="2" customWidth="1"/>
    <col min="8914" max="8914" width="27.28515625" style="2" customWidth="1"/>
    <col min="8915" max="8950" width="9.140625" style="2" customWidth="1"/>
    <col min="8951" max="9164" width="9.140625" style="2"/>
    <col min="9165" max="9165" width="18.7109375" style="2" customWidth="1"/>
    <col min="9166" max="9166" width="18.140625" style="2" customWidth="1"/>
    <col min="9167" max="9167" width="8.7109375" style="2" customWidth="1"/>
    <col min="9168" max="9168" width="9.140625" style="2"/>
    <col min="9169" max="9169" width="9.140625" style="2" customWidth="1"/>
    <col min="9170" max="9170" width="27.28515625" style="2" customWidth="1"/>
    <col min="9171" max="9206" width="9.140625" style="2" customWidth="1"/>
    <col min="9207" max="9420" width="9.140625" style="2"/>
    <col min="9421" max="9421" width="18.7109375" style="2" customWidth="1"/>
    <col min="9422" max="9422" width="18.140625" style="2" customWidth="1"/>
    <col min="9423" max="9423" width="8.7109375" style="2" customWidth="1"/>
    <col min="9424" max="9424" width="9.140625" style="2"/>
    <col min="9425" max="9425" width="9.140625" style="2" customWidth="1"/>
    <col min="9426" max="9426" width="27.28515625" style="2" customWidth="1"/>
    <col min="9427" max="9462" width="9.140625" style="2" customWidth="1"/>
    <col min="9463" max="9676" width="9.140625" style="2"/>
    <col min="9677" max="9677" width="18.7109375" style="2" customWidth="1"/>
    <col min="9678" max="9678" width="18.140625" style="2" customWidth="1"/>
    <col min="9679" max="9679" width="8.7109375" style="2" customWidth="1"/>
    <col min="9680" max="9680" width="9.140625" style="2"/>
    <col min="9681" max="9681" width="9.140625" style="2" customWidth="1"/>
    <col min="9682" max="9682" width="27.28515625" style="2" customWidth="1"/>
    <col min="9683" max="9718" width="9.140625" style="2" customWidth="1"/>
    <col min="9719" max="9932" width="9.140625" style="2"/>
    <col min="9933" max="9933" width="18.7109375" style="2" customWidth="1"/>
    <col min="9934" max="9934" width="18.140625" style="2" customWidth="1"/>
    <col min="9935" max="9935" width="8.7109375" style="2" customWidth="1"/>
    <col min="9936" max="9936" width="9.140625" style="2"/>
    <col min="9937" max="9937" width="9.140625" style="2" customWidth="1"/>
    <col min="9938" max="9938" width="27.28515625" style="2" customWidth="1"/>
    <col min="9939" max="9974" width="9.140625" style="2" customWidth="1"/>
    <col min="9975" max="10188" width="9.140625" style="2"/>
    <col min="10189" max="10189" width="18.7109375" style="2" customWidth="1"/>
    <col min="10190" max="10190" width="18.140625" style="2" customWidth="1"/>
    <col min="10191" max="10191" width="8.7109375" style="2" customWidth="1"/>
    <col min="10192" max="10192" width="9.140625" style="2"/>
    <col min="10193" max="10193" width="9.140625" style="2" customWidth="1"/>
    <col min="10194" max="10194" width="27.28515625" style="2" customWidth="1"/>
    <col min="10195" max="10230" width="9.140625" style="2" customWidth="1"/>
    <col min="10231" max="10444" width="9.140625" style="2"/>
    <col min="10445" max="10445" width="18.7109375" style="2" customWidth="1"/>
    <col min="10446" max="10446" width="18.140625" style="2" customWidth="1"/>
    <col min="10447" max="10447" width="8.7109375" style="2" customWidth="1"/>
    <col min="10448" max="10448" width="9.140625" style="2"/>
    <col min="10449" max="10449" width="9.140625" style="2" customWidth="1"/>
    <col min="10450" max="10450" width="27.28515625" style="2" customWidth="1"/>
    <col min="10451" max="10486" width="9.140625" style="2" customWidth="1"/>
    <col min="10487" max="10700" width="9.140625" style="2"/>
    <col min="10701" max="10701" width="18.7109375" style="2" customWidth="1"/>
    <col min="10702" max="10702" width="18.140625" style="2" customWidth="1"/>
    <col min="10703" max="10703" width="8.7109375" style="2" customWidth="1"/>
    <col min="10704" max="10704" width="9.140625" style="2"/>
    <col min="10705" max="10705" width="9.140625" style="2" customWidth="1"/>
    <col min="10706" max="10706" width="27.28515625" style="2" customWidth="1"/>
    <col min="10707" max="10742" width="9.140625" style="2" customWidth="1"/>
    <col min="10743" max="10956" width="9.140625" style="2"/>
    <col min="10957" max="10957" width="18.7109375" style="2" customWidth="1"/>
    <col min="10958" max="10958" width="18.140625" style="2" customWidth="1"/>
    <col min="10959" max="10959" width="8.7109375" style="2" customWidth="1"/>
    <col min="10960" max="10960" width="9.140625" style="2"/>
    <col min="10961" max="10961" width="9.140625" style="2" customWidth="1"/>
    <col min="10962" max="10962" width="27.28515625" style="2" customWidth="1"/>
    <col min="10963" max="10998" width="9.140625" style="2" customWidth="1"/>
    <col min="10999" max="11212" width="9.140625" style="2"/>
    <col min="11213" max="11213" width="18.7109375" style="2" customWidth="1"/>
    <col min="11214" max="11214" width="18.140625" style="2" customWidth="1"/>
    <col min="11215" max="11215" width="8.7109375" style="2" customWidth="1"/>
    <col min="11216" max="11216" width="9.140625" style="2"/>
    <col min="11217" max="11217" width="9.140625" style="2" customWidth="1"/>
    <col min="11218" max="11218" width="27.28515625" style="2" customWidth="1"/>
    <col min="11219" max="11254" width="9.140625" style="2" customWidth="1"/>
    <col min="11255" max="11468" width="9.140625" style="2"/>
    <col min="11469" max="11469" width="18.7109375" style="2" customWidth="1"/>
    <col min="11470" max="11470" width="18.140625" style="2" customWidth="1"/>
    <col min="11471" max="11471" width="8.7109375" style="2" customWidth="1"/>
    <col min="11472" max="11472" width="9.140625" style="2"/>
    <col min="11473" max="11473" width="9.140625" style="2" customWidth="1"/>
    <col min="11474" max="11474" width="27.28515625" style="2" customWidth="1"/>
    <col min="11475" max="11510" width="9.140625" style="2" customWidth="1"/>
    <col min="11511" max="11724" width="9.140625" style="2"/>
    <col min="11725" max="11725" width="18.7109375" style="2" customWidth="1"/>
    <col min="11726" max="11726" width="18.140625" style="2" customWidth="1"/>
    <col min="11727" max="11727" width="8.7109375" style="2" customWidth="1"/>
    <col min="11728" max="11728" width="9.140625" style="2"/>
    <col min="11729" max="11729" width="9.140625" style="2" customWidth="1"/>
    <col min="11730" max="11730" width="27.28515625" style="2" customWidth="1"/>
    <col min="11731" max="11766" width="9.140625" style="2" customWidth="1"/>
    <col min="11767" max="11980" width="9.140625" style="2"/>
    <col min="11981" max="11981" width="18.7109375" style="2" customWidth="1"/>
    <col min="11982" max="11982" width="18.140625" style="2" customWidth="1"/>
    <col min="11983" max="11983" width="8.7109375" style="2" customWidth="1"/>
    <col min="11984" max="11984" width="9.140625" style="2"/>
    <col min="11985" max="11985" width="9.140625" style="2" customWidth="1"/>
    <col min="11986" max="11986" width="27.28515625" style="2" customWidth="1"/>
    <col min="11987" max="12022" width="9.140625" style="2" customWidth="1"/>
    <col min="12023" max="12236" width="9.140625" style="2"/>
    <col min="12237" max="12237" width="18.7109375" style="2" customWidth="1"/>
    <col min="12238" max="12238" width="18.140625" style="2" customWidth="1"/>
    <col min="12239" max="12239" width="8.7109375" style="2" customWidth="1"/>
    <col min="12240" max="12240" width="9.140625" style="2"/>
    <col min="12241" max="12241" width="9.140625" style="2" customWidth="1"/>
    <col min="12242" max="12242" width="27.28515625" style="2" customWidth="1"/>
    <col min="12243" max="12278" width="9.140625" style="2" customWidth="1"/>
    <col min="12279" max="12492" width="9.140625" style="2"/>
    <col min="12493" max="12493" width="18.7109375" style="2" customWidth="1"/>
    <col min="12494" max="12494" width="18.140625" style="2" customWidth="1"/>
    <col min="12495" max="12495" width="8.7109375" style="2" customWidth="1"/>
    <col min="12496" max="12496" width="9.140625" style="2"/>
    <col min="12497" max="12497" width="9.140625" style="2" customWidth="1"/>
    <col min="12498" max="12498" width="27.28515625" style="2" customWidth="1"/>
    <col min="12499" max="12534" width="9.140625" style="2" customWidth="1"/>
    <col min="12535" max="12748" width="9.140625" style="2"/>
    <col min="12749" max="12749" width="18.7109375" style="2" customWidth="1"/>
    <col min="12750" max="12750" width="18.140625" style="2" customWidth="1"/>
    <col min="12751" max="12751" width="8.7109375" style="2" customWidth="1"/>
    <col min="12752" max="12752" width="9.140625" style="2"/>
    <col min="12753" max="12753" width="9.140625" style="2" customWidth="1"/>
    <col min="12754" max="12754" width="27.28515625" style="2" customWidth="1"/>
    <col min="12755" max="12790" width="9.140625" style="2" customWidth="1"/>
    <col min="12791" max="13004" width="9.140625" style="2"/>
    <col min="13005" max="13005" width="18.7109375" style="2" customWidth="1"/>
    <col min="13006" max="13006" width="18.140625" style="2" customWidth="1"/>
    <col min="13007" max="13007" width="8.7109375" style="2" customWidth="1"/>
    <col min="13008" max="13008" width="9.140625" style="2"/>
    <col min="13009" max="13009" width="9.140625" style="2" customWidth="1"/>
    <col min="13010" max="13010" width="27.28515625" style="2" customWidth="1"/>
    <col min="13011" max="13046" width="9.140625" style="2" customWidth="1"/>
    <col min="13047" max="13260" width="9.140625" style="2"/>
    <col min="13261" max="13261" width="18.7109375" style="2" customWidth="1"/>
    <col min="13262" max="13262" width="18.140625" style="2" customWidth="1"/>
    <col min="13263" max="13263" width="8.7109375" style="2" customWidth="1"/>
    <col min="13264" max="13264" width="9.140625" style="2"/>
    <col min="13265" max="13265" width="9.140625" style="2" customWidth="1"/>
    <col min="13266" max="13266" width="27.28515625" style="2" customWidth="1"/>
    <col min="13267" max="13302" width="9.140625" style="2" customWidth="1"/>
    <col min="13303" max="13516" width="9.140625" style="2"/>
    <col min="13517" max="13517" width="18.7109375" style="2" customWidth="1"/>
    <col min="13518" max="13518" width="18.140625" style="2" customWidth="1"/>
    <col min="13519" max="13519" width="8.7109375" style="2" customWidth="1"/>
    <col min="13520" max="13520" width="9.140625" style="2"/>
    <col min="13521" max="13521" width="9.140625" style="2" customWidth="1"/>
    <col min="13522" max="13522" width="27.28515625" style="2" customWidth="1"/>
    <col min="13523" max="13558" width="9.140625" style="2" customWidth="1"/>
    <col min="13559" max="13772" width="9.140625" style="2"/>
    <col min="13773" max="13773" width="18.7109375" style="2" customWidth="1"/>
    <col min="13774" max="13774" width="18.140625" style="2" customWidth="1"/>
    <col min="13775" max="13775" width="8.7109375" style="2" customWidth="1"/>
    <col min="13776" max="13776" width="9.140625" style="2"/>
    <col min="13777" max="13777" width="9.140625" style="2" customWidth="1"/>
    <col min="13778" max="13778" width="27.28515625" style="2" customWidth="1"/>
    <col min="13779" max="13814" width="9.140625" style="2" customWidth="1"/>
    <col min="13815" max="14028" width="9.140625" style="2"/>
    <col min="14029" max="14029" width="18.7109375" style="2" customWidth="1"/>
    <col min="14030" max="14030" width="18.140625" style="2" customWidth="1"/>
    <col min="14031" max="14031" width="8.7109375" style="2" customWidth="1"/>
    <col min="14032" max="14032" width="9.140625" style="2"/>
    <col min="14033" max="14033" width="9.140625" style="2" customWidth="1"/>
    <col min="14034" max="14034" width="27.28515625" style="2" customWidth="1"/>
    <col min="14035" max="14070" width="9.140625" style="2" customWidth="1"/>
    <col min="14071" max="14284" width="9.140625" style="2"/>
    <col min="14285" max="14285" width="18.7109375" style="2" customWidth="1"/>
    <col min="14286" max="14286" width="18.140625" style="2" customWidth="1"/>
    <col min="14287" max="14287" width="8.7109375" style="2" customWidth="1"/>
    <col min="14288" max="14288" width="9.140625" style="2"/>
    <col min="14289" max="14289" width="9.140625" style="2" customWidth="1"/>
    <col min="14290" max="14290" width="27.28515625" style="2" customWidth="1"/>
    <col min="14291" max="14326" width="9.140625" style="2" customWidth="1"/>
    <col min="14327" max="14540" width="9.140625" style="2"/>
    <col min="14541" max="14541" width="18.7109375" style="2" customWidth="1"/>
    <col min="14542" max="14542" width="18.140625" style="2" customWidth="1"/>
    <col min="14543" max="14543" width="8.7109375" style="2" customWidth="1"/>
    <col min="14544" max="14544" width="9.140625" style="2"/>
    <col min="14545" max="14545" width="9.140625" style="2" customWidth="1"/>
    <col min="14546" max="14546" width="27.28515625" style="2" customWidth="1"/>
    <col min="14547" max="14582" width="9.140625" style="2" customWidth="1"/>
    <col min="14583" max="14796" width="9.140625" style="2"/>
    <col min="14797" max="14797" width="18.7109375" style="2" customWidth="1"/>
    <col min="14798" max="14798" width="18.140625" style="2" customWidth="1"/>
    <col min="14799" max="14799" width="8.7109375" style="2" customWidth="1"/>
    <col min="14800" max="14800" width="9.140625" style="2"/>
    <col min="14801" max="14801" width="9.140625" style="2" customWidth="1"/>
    <col min="14802" max="14802" width="27.28515625" style="2" customWidth="1"/>
    <col min="14803" max="14838" width="9.140625" style="2" customWidth="1"/>
    <col min="14839" max="15052" width="9.140625" style="2"/>
    <col min="15053" max="15053" width="18.7109375" style="2" customWidth="1"/>
    <col min="15054" max="15054" width="18.140625" style="2" customWidth="1"/>
    <col min="15055" max="15055" width="8.7109375" style="2" customWidth="1"/>
    <col min="15056" max="15056" width="9.140625" style="2"/>
    <col min="15057" max="15057" width="9.140625" style="2" customWidth="1"/>
    <col min="15058" max="15058" width="27.28515625" style="2" customWidth="1"/>
    <col min="15059" max="15094" width="9.140625" style="2" customWidth="1"/>
    <col min="15095" max="15308" width="9.140625" style="2"/>
    <col min="15309" max="15309" width="18.7109375" style="2" customWidth="1"/>
    <col min="15310" max="15310" width="18.140625" style="2" customWidth="1"/>
    <col min="15311" max="15311" width="8.7109375" style="2" customWidth="1"/>
    <col min="15312" max="15312" width="9.140625" style="2"/>
    <col min="15313" max="15313" width="9.140625" style="2" customWidth="1"/>
    <col min="15314" max="15314" width="27.28515625" style="2" customWidth="1"/>
    <col min="15315" max="15350" width="9.140625" style="2" customWidth="1"/>
    <col min="15351" max="15564" width="9.140625" style="2"/>
    <col min="15565" max="15565" width="18.7109375" style="2" customWidth="1"/>
    <col min="15566" max="15566" width="18.140625" style="2" customWidth="1"/>
    <col min="15567" max="15567" width="8.7109375" style="2" customWidth="1"/>
    <col min="15568" max="15568" width="9.140625" style="2"/>
    <col min="15569" max="15569" width="9.140625" style="2" customWidth="1"/>
    <col min="15570" max="15570" width="27.28515625" style="2" customWidth="1"/>
    <col min="15571" max="15606" width="9.140625" style="2" customWidth="1"/>
    <col min="15607" max="16384" width="9.140625" style="2"/>
  </cols>
  <sheetData>
    <row r="1" spans="1:84" s="22" customFormat="1" ht="21" x14ac:dyDescent="0.25">
      <c r="A1" s="589"/>
      <c r="B1" s="307" t="s">
        <v>717</v>
      </c>
      <c r="C1" s="304"/>
      <c r="D1" s="304"/>
      <c r="E1" s="304"/>
      <c r="F1" s="304"/>
      <c r="G1" s="304"/>
      <c r="H1" s="304"/>
      <c r="I1" s="304"/>
      <c r="J1" s="304"/>
      <c r="BT1" s="305"/>
    </row>
    <row r="2" spans="1:84" s="306" customFormat="1" ht="19.5" thickBot="1" x14ac:dyDescent="0.3">
      <c r="A2" s="590"/>
      <c r="B2" s="308" t="s">
        <v>371</v>
      </c>
      <c r="C2" s="182"/>
      <c r="D2" s="182"/>
      <c r="E2" s="182"/>
      <c r="F2" s="182"/>
      <c r="G2" s="182"/>
      <c r="H2" s="182"/>
      <c r="I2" s="182"/>
      <c r="J2" s="182"/>
      <c r="K2" s="57"/>
      <c r="L2" s="182"/>
      <c r="M2" s="182"/>
      <c r="N2" s="182"/>
      <c r="O2" s="182"/>
      <c r="P2" s="182"/>
      <c r="Q2" s="182"/>
      <c r="R2" s="57"/>
      <c r="S2" s="182"/>
      <c r="T2" s="182"/>
      <c r="U2" s="182"/>
      <c r="V2" s="182"/>
      <c r="W2" s="182"/>
      <c r="X2" s="182"/>
      <c r="Y2" s="182"/>
      <c r="Z2" s="57"/>
      <c r="AA2" s="182"/>
      <c r="AB2" s="182"/>
      <c r="AC2" s="182"/>
      <c r="AD2" s="182"/>
      <c r="AE2" s="57"/>
      <c r="AF2" s="182"/>
      <c r="AG2" s="182"/>
      <c r="AH2" s="184"/>
      <c r="AI2" s="57"/>
      <c r="AJ2" s="182"/>
      <c r="AK2" s="182"/>
      <c r="AL2" s="182"/>
      <c r="AM2" s="184"/>
      <c r="AN2" s="57"/>
      <c r="AO2" s="182"/>
      <c r="AP2" s="182"/>
      <c r="AQ2" s="182"/>
      <c r="AR2" s="57"/>
      <c r="AS2" s="182"/>
      <c r="AT2" s="182"/>
      <c r="AU2" s="182"/>
      <c r="AV2" s="182"/>
      <c r="AW2" s="182"/>
      <c r="AX2" s="182"/>
      <c r="AY2" s="182"/>
      <c r="AZ2" s="182"/>
      <c r="BA2" s="57"/>
      <c r="BB2" s="182"/>
      <c r="BC2" s="182"/>
      <c r="BD2" s="184"/>
      <c r="BE2" s="57"/>
      <c r="BF2" s="182"/>
      <c r="BG2" s="182"/>
      <c r="BH2" s="182"/>
      <c r="BI2" s="184"/>
      <c r="BJ2" s="57"/>
      <c r="BK2" s="182"/>
      <c r="BL2" s="182"/>
      <c r="BM2" s="182"/>
      <c r="BN2" s="184"/>
      <c r="BO2" s="57"/>
      <c r="BP2" s="182"/>
      <c r="BQ2" s="182"/>
      <c r="BR2" s="182"/>
      <c r="BS2" s="57"/>
      <c r="BT2" s="182"/>
      <c r="BU2" s="57"/>
      <c r="BV2" s="182"/>
      <c r="BW2" s="57"/>
      <c r="BX2" s="182"/>
      <c r="BY2" s="57"/>
      <c r="BZ2" s="182"/>
      <c r="CA2" s="182"/>
      <c r="CB2" s="57"/>
      <c r="CC2" s="57"/>
      <c r="CD2" s="182"/>
      <c r="CE2" s="182"/>
      <c r="CF2" s="182"/>
    </row>
    <row r="3" spans="1:84" ht="19.5" thickBot="1" x14ac:dyDescent="0.3">
      <c r="A3" s="46"/>
      <c r="B3" s="278" t="s">
        <v>340</v>
      </c>
      <c r="C3" s="277">
        <v>29</v>
      </c>
      <c r="D3" s="278" t="s">
        <v>341</v>
      </c>
      <c r="E3" s="277">
        <v>29</v>
      </c>
      <c r="F3" s="46"/>
      <c r="H3" s="46"/>
      <c r="I3" s="46"/>
      <c r="K3" s="284" t="s">
        <v>353</v>
      </c>
      <c r="L3" s="285"/>
      <c r="M3" s="285"/>
      <c r="N3" s="285"/>
      <c r="O3" s="286"/>
      <c r="P3" s="185" t="s">
        <v>73</v>
      </c>
      <c r="Q3" s="186"/>
      <c r="R3" s="293" t="s">
        <v>481</v>
      </c>
      <c r="S3" s="294"/>
      <c r="T3" s="285"/>
      <c r="U3" s="294"/>
      <c r="V3" s="295"/>
      <c r="W3" s="185" t="s">
        <v>73</v>
      </c>
      <c r="X3" s="186"/>
      <c r="Y3" s="186"/>
      <c r="Z3" s="293" t="s">
        <v>378</v>
      </c>
      <c r="AA3" s="294"/>
      <c r="AB3" s="285"/>
      <c r="AC3" s="294"/>
      <c r="AD3" s="295"/>
      <c r="AE3" s="293" t="s">
        <v>358</v>
      </c>
      <c r="AF3" s="294"/>
      <c r="AG3" s="294"/>
      <c r="AH3" s="294"/>
      <c r="AI3" s="294"/>
      <c r="AJ3" s="285"/>
      <c r="AK3" s="294"/>
      <c r="AL3" s="296"/>
      <c r="AM3" s="298"/>
      <c r="AN3" s="294"/>
      <c r="AO3" s="285"/>
      <c r="AP3" s="294"/>
      <c r="AQ3" s="296"/>
      <c r="AR3" s="293"/>
      <c r="AS3" s="294"/>
      <c r="AT3" s="300" t="s">
        <v>464</v>
      </c>
      <c r="AU3" s="294"/>
      <c r="AV3" s="294"/>
      <c r="AW3" s="294"/>
      <c r="AX3" s="294"/>
      <c r="AY3" s="294"/>
      <c r="AZ3" s="295"/>
      <c r="BA3" s="293" t="s">
        <v>408</v>
      </c>
      <c r="BB3" s="294"/>
      <c r="BC3" s="294"/>
      <c r="BD3" s="294"/>
      <c r="BE3" s="294"/>
      <c r="BF3" s="285"/>
      <c r="BG3" s="294"/>
      <c r="BH3" s="296"/>
      <c r="BI3" s="298"/>
      <c r="BJ3" s="294"/>
      <c r="BK3" s="285"/>
      <c r="BL3" s="294"/>
      <c r="BM3" s="296"/>
      <c r="BN3" s="298"/>
      <c r="BO3" s="294"/>
      <c r="BP3" s="285"/>
      <c r="BQ3" s="294"/>
      <c r="BR3" s="296"/>
      <c r="BS3" s="293" t="s">
        <v>727</v>
      </c>
      <c r="BT3" s="295"/>
      <c r="BU3" s="293" t="s">
        <v>683</v>
      </c>
      <c r="BV3" s="295"/>
      <c r="BW3" s="293" t="s">
        <v>684</v>
      </c>
      <c r="BX3" s="295"/>
      <c r="BY3" s="293" t="s">
        <v>538</v>
      </c>
      <c r="BZ3" s="295"/>
      <c r="CA3" s="293" t="s">
        <v>539</v>
      </c>
      <c r="CB3" s="371"/>
      <c r="CC3" s="371"/>
      <c r="CD3" s="285"/>
      <c r="CE3" s="294"/>
      <c r="CF3" s="295"/>
    </row>
    <row r="4" spans="1:84" s="45" customFormat="1" ht="51" x14ac:dyDescent="0.25">
      <c r="A4" s="591" t="s">
        <v>0</v>
      </c>
      <c r="B4" s="302" t="s">
        <v>10</v>
      </c>
      <c r="C4" s="302" t="s">
        <v>626</v>
      </c>
      <c r="D4" s="302" t="s">
        <v>627</v>
      </c>
      <c r="E4" s="302" t="s">
        <v>37</v>
      </c>
      <c r="F4" s="280" t="s">
        <v>312</v>
      </c>
      <c r="G4" s="392" t="s">
        <v>17</v>
      </c>
      <c r="H4" s="392" t="s">
        <v>124</v>
      </c>
      <c r="I4" s="392" t="s">
        <v>123</v>
      </c>
      <c r="J4" s="282" t="s">
        <v>122</v>
      </c>
      <c r="K4" s="287" t="s">
        <v>144</v>
      </c>
      <c r="L4" s="280" t="s">
        <v>72</v>
      </c>
      <c r="M4" s="280"/>
      <c r="N4" s="280" t="s">
        <v>117</v>
      </c>
      <c r="O4" s="288" t="s">
        <v>11</v>
      </c>
      <c r="P4" s="283" t="s">
        <v>7</v>
      </c>
      <c r="Q4" s="292" t="s">
        <v>115</v>
      </c>
      <c r="R4" s="287" t="s">
        <v>38</v>
      </c>
      <c r="S4" s="280" t="s">
        <v>72</v>
      </c>
      <c r="T4" s="280"/>
      <c r="U4" s="280" t="s">
        <v>117</v>
      </c>
      <c r="V4" s="288" t="s">
        <v>11</v>
      </c>
      <c r="W4" s="283" t="s">
        <v>7</v>
      </c>
      <c r="X4" s="281" t="s">
        <v>115</v>
      </c>
      <c r="Y4" s="292" t="s">
        <v>247</v>
      </c>
      <c r="Z4" s="287" t="s">
        <v>38</v>
      </c>
      <c r="AA4" s="280" t="s">
        <v>72</v>
      </c>
      <c r="AB4" s="280"/>
      <c r="AC4" s="280" t="s">
        <v>117</v>
      </c>
      <c r="AD4" s="288" t="s">
        <v>11</v>
      </c>
      <c r="AE4" s="287" t="s">
        <v>116</v>
      </c>
      <c r="AF4" s="280" t="s">
        <v>31</v>
      </c>
      <c r="AG4" s="280" t="s">
        <v>32</v>
      </c>
      <c r="AH4" s="280" t="s">
        <v>536</v>
      </c>
      <c r="AI4" s="280" t="s">
        <v>537</v>
      </c>
      <c r="AJ4" s="280"/>
      <c r="AK4" s="280" t="s">
        <v>117</v>
      </c>
      <c r="AL4" s="297" t="s">
        <v>11</v>
      </c>
      <c r="AM4" s="287" t="s">
        <v>523</v>
      </c>
      <c r="AN4" s="280" t="s">
        <v>524</v>
      </c>
      <c r="AO4" s="280"/>
      <c r="AP4" s="280" t="s">
        <v>117</v>
      </c>
      <c r="AQ4" s="297" t="s">
        <v>11</v>
      </c>
      <c r="AR4" s="287" t="s">
        <v>116</v>
      </c>
      <c r="AS4" s="280" t="s">
        <v>31</v>
      </c>
      <c r="AT4" s="280" t="s">
        <v>32</v>
      </c>
      <c r="AU4" s="280" t="s">
        <v>118</v>
      </c>
      <c r="AV4" s="280" t="s">
        <v>128</v>
      </c>
      <c r="AW4" s="280" t="s">
        <v>433</v>
      </c>
      <c r="AX4" s="280" t="s">
        <v>153</v>
      </c>
      <c r="AY4" s="280" t="s">
        <v>547</v>
      </c>
      <c r="AZ4" s="288" t="s">
        <v>11</v>
      </c>
      <c r="BA4" s="287" t="s">
        <v>116</v>
      </c>
      <c r="BB4" s="280" t="s">
        <v>31</v>
      </c>
      <c r="BC4" s="280" t="s">
        <v>32</v>
      </c>
      <c r="BD4" s="280" t="s">
        <v>151</v>
      </c>
      <c r="BE4" s="280" t="s">
        <v>535</v>
      </c>
      <c r="BF4" s="280"/>
      <c r="BG4" s="280" t="s">
        <v>117</v>
      </c>
      <c r="BH4" s="297" t="s">
        <v>11</v>
      </c>
      <c r="BI4" s="280" t="s">
        <v>152</v>
      </c>
      <c r="BJ4" s="280" t="s">
        <v>545</v>
      </c>
      <c r="BK4" s="280"/>
      <c r="BL4" s="280" t="s">
        <v>117</v>
      </c>
      <c r="BM4" s="297" t="s">
        <v>11</v>
      </c>
      <c r="BN4" s="287" t="s">
        <v>523</v>
      </c>
      <c r="BO4" s="280" t="s">
        <v>524</v>
      </c>
      <c r="BP4" s="280"/>
      <c r="BQ4" s="280" t="s">
        <v>117</v>
      </c>
      <c r="BR4" s="297" t="s">
        <v>11</v>
      </c>
      <c r="BS4" s="287" t="s">
        <v>106</v>
      </c>
      <c r="BT4" s="297" t="s">
        <v>11</v>
      </c>
      <c r="BU4" s="287" t="s">
        <v>72</v>
      </c>
      <c r="BV4" s="288" t="s">
        <v>11</v>
      </c>
      <c r="BW4" s="287" t="s">
        <v>72</v>
      </c>
      <c r="BX4" s="288" t="s">
        <v>11</v>
      </c>
      <c r="BY4" s="287" t="s">
        <v>72</v>
      </c>
      <c r="BZ4" s="288" t="s">
        <v>11</v>
      </c>
      <c r="CA4" s="372" t="s">
        <v>38</v>
      </c>
      <c r="CB4" s="283" t="s">
        <v>72</v>
      </c>
      <c r="CC4" s="283" t="s">
        <v>548</v>
      </c>
      <c r="CD4" s="280"/>
      <c r="CE4" s="280" t="s">
        <v>117</v>
      </c>
      <c r="CF4" s="288" t="s">
        <v>11</v>
      </c>
    </row>
    <row r="5" spans="1:84" x14ac:dyDescent="0.25">
      <c r="A5" s="590"/>
      <c r="B5" s="57"/>
      <c r="C5" s="182"/>
      <c r="D5" s="182"/>
      <c r="E5" s="182"/>
      <c r="F5" s="182"/>
      <c r="G5" s="182"/>
      <c r="H5" s="182"/>
      <c r="I5" s="182"/>
      <c r="J5" s="182"/>
      <c r="K5" s="289"/>
      <c r="L5" s="182"/>
      <c r="M5" s="182"/>
      <c r="N5" s="182"/>
      <c r="O5" s="290"/>
      <c r="P5" s="182"/>
      <c r="Q5" s="182"/>
      <c r="R5" s="289"/>
      <c r="S5" s="182"/>
      <c r="T5" s="182"/>
      <c r="U5" s="182"/>
      <c r="V5" s="290"/>
      <c r="W5" s="182"/>
      <c r="X5" s="182"/>
      <c r="Y5" s="182"/>
      <c r="Z5" s="289"/>
      <c r="AA5" s="182"/>
      <c r="AB5" s="182"/>
      <c r="AC5" s="182"/>
      <c r="AD5" s="290"/>
      <c r="AE5" s="289"/>
      <c r="AF5" s="182"/>
      <c r="AG5" s="182"/>
      <c r="AH5" s="184"/>
      <c r="AI5" s="57"/>
      <c r="AJ5" s="182"/>
      <c r="AK5" s="182"/>
      <c r="AL5" s="290"/>
      <c r="AM5" s="299"/>
      <c r="AN5" s="57"/>
      <c r="AO5" s="182"/>
      <c r="AP5" s="182"/>
      <c r="AQ5" s="290"/>
      <c r="AR5" s="289"/>
      <c r="AS5" s="182"/>
      <c r="AT5" s="182"/>
      <c r="AU5" s="182"/>
      <c r="AV5" s="182"/>
      <c r="AW5" s="182"/>
      <c r="AX5" s="182"/>
      <c r="AY5" s="182"/>
      <c r="AZ5" s="290"/>
      <c r="BA5" s="289"/>
      <c r="BB5" s="182"/>
      <c r="BC5" s="182"/>
      <c r="BD5" s="184"/>
      <c r="BE5" s="57"/>
      <c r="BF5" s="182"/>
      <c r="BG5" s="182"/>
      <c r="BH5" s="290"/>
      <c r="BI5" s="299"/>
      <c r="BJ5" s="57"/>
      <c r="BK5" s="182"/>
      <c r="BL5" s="182"/>
      <c r="BM5" s="290"/>
      <c r="BN5" s="299"/>
      <c r="BO5" s="57"/>
      <c r="BP5" s="182"/>
      <c r="BQ5" s="182"/>
      <c r="BR5" s="290"/>
      <c r="BS5" s="289"/>
      <c r="BT5" s="290"/>
      <c r="BU5" s="289"/>
      <c r="BV5" s="290"/>
      <c r="BW5" s="289"/>
      <c r="BX5" s="290"/>
      <c r="BY5" s="289"/>
      <c r="BZ5" s="290"/>
      <c r="CA5" s="291"/>
      <c r="CB5" s="57"/>
      <c r="CC5" s="57"/>
      <c r="CD5" s="182"/>
      <c r="CE5" s="182"/>
      <c r="CF5" s="290"/>
    </row>
    <row r="6" spans="1:84" hidden="1" x14ac:dyDescent="0.25">
      <c r="A6" s="590"/>
      <c r="B6" s="57" t="s">
        <v>290</v>
      </c>
      <c r="C6" s="182"/>
      <c r="D6" s="182"/>
      <c r="E6" s="182"/>
      <c r="F6" s="182"/>
      <c r="G6" s="182"/>
      <c r="H6" s="182"/>
      <c r="I6" s="182"/>
      <c r="J6" s="182"/>
      <c r="K6" s="289" t="s">
        <v>519</v>
      </c>
      <c r="L6" s="182"/>
      <c r="M6" s="182"/>
      <c r="N6" s="182"/>
      <c r="O6" s="290"/>
      <c r="P6" s="182"/>
      <c r="Q6" s="182"/>
      <c r="R6" s="289" t="s">
        <v>291</v>
      </c>
      <c r="S6" s="182"/>
      <c r="T6" s="182"/>
      <c r="U6" s="182"/>
      <c r="V6" s="290"/>
      <c r="W6" s="182"/>
      <c r="X6" s="182"/>
      <c r="Y6" s="182"/>
      <c r="Z6" s="289" t="s">
        <v>292</v>
      </c>
      <c r="AA6" s="182"/>
      <c r="AB6" s="182"/>
      <c r="AC6" s="182"/>
      <c r="AD6" s="290"/>
      <c r="AE6" s="289" t="s">
        <v>293</v>
      </c>
      <c r="AF6" s="182"/>
      <c r="AG6" s="182"/>
      <c r="AH6" s="184">
        <v>1.238425925925926E-2</v>
      </c>
      <c r="AI6" s="57" t="s">
        <v>522</v>
      </c>
      <c r="AJ6" s="182"/>
      <c r="AK6" s="182"/>
      <c r="AL6" s="290"/>
      <c r="AM6" s="299">
        <v>3.5763888888888889E-3</v>
      </c>
      <c r="AN6" s="57" t="s">
        <v>525</v>
      </c>
      <c r="AO6" s="182"/>
      <c r="AP6" s="182"/>
      <c r="AQ6" s="290"/>
      <c r="AR6" s="289" t="s">
        <v>294</v>
      </c>
      <c r="AS6" s="182"/>
      <c r="AT6" s="182"/>
      <c r="AU6" s="182"/>
      <c r="AV6" s="182"/>
      <c r="AW6" s="182"/>
      <c r="AX6" s="182"/>
      <c r="AY6" s="182"/>
      <c r="AZ6" s="290"/>
      <c r="BA6" s="289" t="s">
        <v>541</v>
      </c>
      <c r="BB6" s="182"/>
      <c r="BC6" s="182"/>
      <c r="BD6" s="184">
        <v>8.5416666666666662E-3</v>
      </c>
      <c r="BE6" s="57" t="s">
        <v>542</v>
      </c>
      <c r="BF6" s="182"/>
      <c r="BG6" s="182"/>
      <c r="BH6" s="290"/>
      <c r="BI6" s="299">
        <v>1.1168981481481481E-2</v>
      </c>
      <c r="BJ6" s="57" t="s">
        <v>543</v>
      </c>
      <c r="BK6" s="182"/>
      <c r="BL6" s="182"/>
      <c r="BM6" s="290"/>
      <c r="BN6" s="299">
        <v>1.1354166666666667E-2</v>
      </c>
      <c r="BO6" s="57" t="s">
        <v>544</v>
      </c>
      <c r="BP6" s="182"/>
      <c r="BQ6" s="182"/>
      <c r="BR6" s="290"/>
      <c r="BS6" s="289" t="s">
        <v>295</v>
      </c>
      <c r="BT6" s="290"/>
      <c r="BU6" s="289" t="s">
        <v>679</v>
      </c>
      <c r="BV6" s="290"/>
      <c r="BW6" s="289" t="s">
        <v>680</v>
      </c>
      <c r="BX6" s="290"/>
      <c r="BY6" s="289" t="s">
        <v>296</v>
      </c>
      <c r="BZ6" s="290"/>
      <c r="CA6" s="291" t="s">
        <v>540</v>
      </c>
      <c r="CB6" s="57"/>
      <c r="CC6" s="57"/>
      <c r="CD6" s="182"/>
      <c r="CE6" s="182"/>
      <c r="CF6" s="290"/>
    </row>
    <row r="7" spans="1:84" hidden="1" x14ac:dyDescent="0.25">
      <c r="A7" s="590"/>
      <c r="B7" s="182" t="s">
        <v>248</v>
      </c>
      <c r="C7" s="182"/>
      <c r="D7" s="341"/>
      <c r="E7" s="341" t="s">
        <v>461</v>
      </c>
      <c r="F7" s="341"/>
      <c r="G7" s="182"/>
      <c r="H7" s="182"/>
      <c r="I7" s="182"/>
      <c r="J7" s="182"/>
      <c r="K7" s="291"/>
      <c r="L7" s="182"/>
      <c r="M7" s="182"/>
      <c r="N7" s="182"/>
      <c r="O7" s="290"/>
      <c r="P7" s="152"/>
      <c r="Q7" s="182"/>
      <c r="R7" s="291"/>
      <c r="S7" s="182"/>
      <c r="T7" s="182"/>
      <c r="U7" s="182"/>
      <c r="V7" s="290"/>
      <c r="W7" s="152"/>
      <c r="X7" s="182"/>
      <c r="Y7" s="182"/>
      <c r="Z7" s="291"/>
      <c r="AA7" s="182"/>
      <c r="AB7" s="182"/>
      <c r="AC7" s="182"/>
      <c r="AD7" s="290"/>
      <c r="AE7" s="291"/>
      <c r="AF7" s="182"/>
      <c r="AG7" s="182"/>
      <c r="AH7" s="182" t="s">
        <v>249</v>
      </c>
      <c r="AI7" s="182"/>
      <c r="AJ7" s="182"/>
      <c r="AK7" s="182"/>
      <c r="AL7" s="290"/>
      <c r="AM7" s="291" t="s">
        <v>249</v>
      </c>
      <c r="AN7" s="182"/>
      <c r="AO7" s="182"/>
      <c r="AP7" s="182"/>
      <c r="AQ7" s="290"/>
      <c r="AR7" s="291"/>
      <c r="AS7" s="182"/>
      <c r="AT7" s="182"/>
      <c r="AU7" s="182"/>
      <c r="AV7" s="182"/>
      <c r="AW7" s="182"/>
      <c r="AX7" s="182"/>
      <c r="AY7" s="182"/>
      <c r="AZ7" s="290"/>
      <c r="BA7" s="291"/>
      <c r="BB7" s="182"/>
      <c r="BC7" s="182"/>
      <c r="BD7" s="182" t="s">
        <v>249</v>
      </c>
      <c r="BE7" s="182"/>
      <c r="BF7" s="182"/>
      <c r="BG7" s="182"/>
      <c r="BH7" s="290"/>
      <c r="BI7" s="291" t="s">
        <v>249</v>
      </c>
      <c r="BJ7" s="182"/>
      <c r="BK7" s="182"/>
      <c r="BL7" s="182"/>
      <c r="BM7" s="290"/>
      <c r="BN7" s="291" t="s">
        <v>249</v>
      </c>
      <c r="BO7" s="182"/>
      <c r="BP7" s="182"/>
      <c r="BQ7" s="182"/>
      <c r="BR7" s="290"/>
      <c r="BS7" s="291"/>
      <c r="BT7" s="290"/>
      <c r="BU7" s="291"/>
      <c r="BV7" s="290"/>
      <c r="BW7" s="291"/>
      <c r="BX7" s="290"/>
      <c r="BY7" s="291"/>
      <c r="BZ7" s="290"/>
      <c r="CA7" s="291"/>
      <c r="CB7" s="182"/>
      <c r="CC7" s="182"/>
      <c r="CD7" s="182"/>
      <c r="CE7" s="182"/>
      <c r="CF7" s="290"/>
    </row>
    <row r="8" spans="1:84" hidden="1" x14ac:dyDescent="0.25">
      <c r="A8" s="590"/>
      <c r="B8" s="182" t="s">
        <v>308</v>
      </c>
      <c r="C8" s="182"/>
      <c r="D8" s="182"/>
      <c r="E8" s="182"/>
      <c r="F8" s="182"/>
      <c r="G8" s="182"/>
      <c r="H8" s="182"/>
      <c r="I8" s="182"/>
      <c r="J8" s="182"/>
      <c r="K8" s="291"/>
      <c r="L8" s="182"/>
      <c r="M8" s="182"/>
      <c r="N8" s="182"/>
      <c r="O8" s="290"/>
      <c r="P8" s="182"/>
      <c r="Q8" s="182"/>
      <c r="R8" s="291"/>
      <c r="S8" s="182"/>
      <c r="T8" s="182"/>
      <c r="U8" s="182"/>
      <c r="V8" s="290"/>
      <c r="W8" s="182"/>
      <c r="X8" s="182"/>
      <c r="Y8" s="182"/>
      <c r="Z8" s="291"/>
      <c r="AA8" s="182"/>
      <c r="AB8" s="182"/>
      <c r="AC8" s="182"/>
      <c r="AD8" s="290"/>
      <c r="AE8" s="291"/>
      <c r="AF8" s="182"/>
      <c r="AG8" s="182"/>
      <c r="AH8" s="182"/>
      <c r="AI8" s="182"/>
      <c r="AJ8" s="182"/>
      <c r="AK8" s="182"/>
      <c r="AL8" s="290"/>
      <c r="AM8" s="291"/>
      <c r="AN8" s="182"/>
      <c r="AO8" s="182"/>
      <c r="AP8" s="182"/>
      <c r="AQ8" s="290"/>
      <c r="AR8" s="291"/>
      <c r="AS8" s="182"/>
      <c r="AT8" s="182"/>
      <c r="AU8" s="182"/>
      <c r="AV8" s="182"/>
      <c r="AW8" s="182"/>
      <c r="AX8" s="182"/>
      <c r="AY8" s="182"/>
      <c r="AZ8" s="290"/>
      <c r="BA8" s="291"/>
      <c r="BB8" s="182"/>
      <c r="BC8" s="182"/>
      <c r="BD8" s="182"/>
      <c r="BE8" s="182"/>
      <c r="BF8" s="182"/>
      <c r="BG8" s="182"/>
      <c r="BH8" s="290"/>
      <c r="BI8" s="291"/>
      <c r="BJ8" s="182"/>
      <c r="BK8" s="182"/>
      <c r="BL8" s="182"/>
      <c r="BM8" s="290"/>
      <c r="BN8" s="291"/>
      <c r="BO8" s="182"/>
      <c r="BP8" s="182"/>
      <c r="BQ8" s="182"/>
      <c r="BR8" s="290"/>
      <c r="BS8" s="291"/>
      <c r="BT8" s="290"/>
      <c r="BU8" s="291"/>
      <c r="BV8" s="290"/>
      <c r="BW8" s="291"/>
      <c r="BX8" s="290"/>
      <c r="BY8" s="291"/>
      <c r="BZ8" s="290"/>
      <c r="CA8" s="291"/>
      <c r="CB8" s="182"/>
      <c r="CC8" s="182"/>
      <c r="CD8" s="182"/>
      <c r="CE8" s="182"/>
      <c r="CF8" s="290"/>
    </row>
    <row r="9" spans="1:84" s="22" customFormat="1" x14ac:dyDescent="0.25">
      <c r="A9" s="593">
        <v>9</v>
      </c>
      <c r="B9" s="381" t="s">
        <v>644</v>
      </c>
      <c r="C9" s="381" t="s">
        <v>646</v>
      </c>
      <c r="D9" s="381" t="s">
        <v>647</v>
      </c>
      <c r="E9" s="381" t="s">
        <v>6</v>
      </c>
      <c r="F9" s="381" t="s">
        <v>643</v>
      </c>
      <c r="G9" s="382">
        <v>1922.9</v>
      </c>
      <c r="H9" s="382">
        <v>900</v>
      </c>
      <c r="I9" s="382">
        <v>1022.9</v>
      </c>
      <c r="J9" s="382">
        <v>0</v>
      </c>
      <c r="K9" s="383">
        <v>0.50624999999999998</v>
      </c>
      <c r="L9" s="152">
        <v>0.50624999999999998</v>
      </c>
      <c r="M9" s="384" t="s">
        <v>112</v>
      </c>
      <c r="N9" s="152">
        <v>0</v>
      </c>
      <c r="O9" s="385">
        <v>0</v>
      </c>
      <c r="P9" s="152">
        <v>8.3333335816860199E-2</v>
      </c>
      <c r="Q9" s="152">
        <v>0</v>
      </c>
      <c r="R9" s="383">
        <v>0.58958333581686018</v>
      </c>
      <c r="S9" s="152">
        <v>0</v>
      </c>
      <c r="T9" s="384" t="s">
        <v>112</v>
      </c>
      <c r="U9" s="152">
        <v>0</v>
      </c>
      <c r="V9" s="385">
        <v>900</v>
      </c>
      <c r="W9" s="152">
        <v>8.3333335816860199E-2</v>
      </c>
      <c r="X9" s="152">
        <v>6.9445371627807617E-4</v>
      </c>
      <c r="Y9" s="152">
        <v>6.9445371627807617E-4</v>
      </c>
      <c r="Z9" s="383">
        <v>0.67291667163372038</v>
      </c>
      <c r="AA9" s="152">
        <v>0.67152777777777783</v>
      </c>
      <c r="AB9" s="384" t="s">
        <v>718</v>
      </c>
      <c r="AC9" s="152">
        <v>1.388847827911377E-3</v>
      </c>
      <c r="AD9" s="385">
        <v>0</v>
      </c>
      <c r="AE9" s="383">
        <v>0</v>
      </c>
      <c r="AF9" s="152">
        <v>0.54027777777777775</v>
      </c>
      <c r="AG9" s="152">
        <v>0</v>
      </c>
      <c r="AH9" s="386">
        <v>0.55266203703703698</v>
      </c>
      <c r="AI9" s="386">
        <v>0.55342592592592588</v>
      </c>
      <c r="AJ9" s="380" t="s">
        <v>719</v>
      </c>
      <c r="AK9" s="386">
        <v>7.6389312744140625E-4</v>
      </c>
      <c r="AL9" s="387">
        <v>66</v>
      </c>
      <c r="AM9" s="388">
        <v>0.55700231481481477</v>
      </c>
      <c r="AN9" s="386">
        <v>0.55716435185185187</v>
      </c>
      <c r="AO9" s="384" t="s">
        <v>719</v>
      </c>
      <c r="AP9" s="386">
        <v>1.6206502914428711E-4</v>
      </c>
      <c r="AQ9" s="387">
        <v>14</v>
      </c>
      <c r="AR9" s="383">
        <v>0</v>
      </c>
      <c r="AS9" s="152">
        <v>0</v>
      </c>
      <c r="AT9" s="152">
        <v>0</v>
      </c>
      <c r="AU9" s="389">
        <v>32.299999999999997</v>
      </c>
      <c r="AV9" s="389">
        <v>0</v>
      </c>
      <c r="AW9" s="389">
        <v>0</v>
      </c>
      <c r="AX9" s="384">
        <v>0</v>
      </c>
      <c r="AY9" s="384" t="s">
        <v>705</v>
      </c>
      <c r="AZ9" s="387">
        <v>156.89999999999998</v>
      </c>
      <c r="BA9" s="383">
        <v>0.6118055555555556</v>
      </c>
      <c r="BB9" s="152">
        <v>0.61249999999999993</v>
      </c>
      <c r="BC9" s="152">
        <v>6.9445371627807617E-4</v>
      </c>
      <c r="BD9" s="386">
        <v>0.6210416666666666</v>
      </c>
      <c r="BE9" s="386">
        <v>0.62108796296296298</v>
      </c>
      <c r="BF9" s="380" t="s">
        <v>719</v>
      </c>
      <c r="BG9" s="386">
        <v>4.6312808990478516E-5</v>
      </c>
      <c r="BH9" s="387">
        <v>4</v>
      </c>
      <c r="BI9" s="388">
        <v>0.63225694444444447</v>
      </c>
      <c r="BJ9" s="386">
        <v>0.63472222222222219</v>
      </c>
      <c r="BK9" s="384" t="s">
        <v>719</v>
      </c>
      <c r="BL9" s="386">
        <v>2.4653077125549316E-3</v>
      </c>
      <c r="BM9" s="387">
        <v>213</v>
      </c>
      <c r="BN9" s="388">
        <v>0.64607638888888885</v>
      </c>
      <c r="BO9" s="386">
        <v>0.65266203703703707</v>
      </c>
      <c r="BP9" s="384" t="s">
        <v>719</v>
      </c>
      <c r="BQ9" s="386">
        <v>6.5856575965881348E-3</v>
      </c>
      <c r="BR9" s="387">
        <v>569</v>
      </c>
      <c r="BS9" s="390">
        <v>0</v>
      </c>
      <c r="BT9" s="387">
        <v>0</v>
      </c>
      <c r="BU9" s="383">
        <v>0.52430555555555558</v>
      </c>
      <c r="BV9" s="391">
        <v>0</v>
      </c>
      <c r="BW9" s="383">
        <v>0.52777777777777779</v>
      </c>
      <c r="BX9" s="391">
        <v>0</v>
      </c>
      <c r="BY9" s="383">
        <v>0.57847222222222217</v>
      </c>
      <c r="BZ9" s="391">
        <v>0</v>
      </c>
      <c r="CA9" s="383">
        <v>0.58749997615814209</v>
      </c>
      <c r="CB9" s="152">
        <v>0.58819444444444446</v>
      </c>
      <c r="CC9" s="152">
        <v>8.3333333333333332E-3</v>
      </c>
      <c r="CD9" s="384" t="s">
        <v>719</v>
      </c>
      <c r="CE9" s="152">
        <v>6.9445371627807617E-4</v>
      </c>
      <c r="CF9" s="391">
        <v>0</v>
      </c>
    </row>
    <row r="10" spans="1:84" s="367" customFormat="1" x14ac:dyDescent="0.25">
      <c r="A10" s="593">
        <v>17</v>
      </c>
      <c r="B10" s="381" t="s">
        <v>596</v>
      </c>
      <c r="C10" s="381" t="s">
        <v>16</v>
      </c>
      <c r="D10" s="381" t="s">
        <v>40</v>
      </c>
      <c r="E10" s="381" t="s">
        <v>724</v>
      </c>
      <c r="F10" s="381" t="s">
        <v>643</v>
      </c>
      <c r="G10" s="382">
        <v>2330</v>
      </c>
      <c r="H10" s="382">
        <v>900</v>
      </c>
      <c r="I10" s="382">
        <v>1430</v>
      </c>
      <c r="J10" s="382">
        <v>0</v>
      </c>
      <c r="K10" s="383">
        <v>0.51180555555555551</v>
      </c>
      <c r="L10" s="152">
        <v>0.51180555555555551</v>
      </c>
      <c r="M10" s="384" t="s">
        <v>112</v>
      </c>
      <c r="N10" s="152">
        <v>0</v>
      </c>
      <c r="O10" s="385">
        <v>0</v>
      </c>
      <c r="P10" s="152">
        <v>8.3333335816860199E-2</v>
      </c>
      <c r="Q10" s="152">
        <v>0</v>
      </c>
      <c r="R10" s="383">
        <v>0.59513889137241571</v>
      </c>
      <c r="S10" s="152">
        <v>0</v>
      </c>
      <c r="T10" s="384" t="s">
        <v>112</v>
      </c>
      <c r="U10" s="152">
        <v>0</v>
      </c>
      <c r="V10" s="385">
        <v>900</v>
      </c>
      <c r="W10" s="152">
        <v>8.3333335816860199E-2</v>
      </c>
      <c r="X10" s="152">
        <v>1.5972222222222165E-2</v>
      </c>
      <c r="Y10" s="152">
        <v>1.5972222222222165E-2</v>
      </c>
      <c r="Z10" s="383">
        <v>0.67847222718927591</v>
      </c>
      <c r="AA10" s="152">
        <v>0.68611111111111101</v>
      </c>
      <c r="AB10" s="384" t="s">
        <v>719</v>
      </c>
      <c r="AC10" s="152">
        <v>7.6388716697692871E-3</v>
      </c>
      <c r="AD10" s="385">
        <v>0</v>
      </c>
      <c r="AE10" s="383">
        <v>0</v>
      </c>
      <c r="AF10" s="152">
        <v>0.54375000000000007</v>
      </c>
      <c r="AG10" s="152">
        <v>0</v>
      </c>
      <c r="AH10" s="386">
        <v>0.5561342592592593</v>
      </c>
      <c r="AI10" s="386">
        <v>0.55494212962962963</v>
      </c>
      <c r="AJ10" s="380" t="s">
        <v>718</v>
      </c>
      <c r="AK10" s="386">
        <v>1.1921525001525879E-3</v>
      </c>
      <c r="AL10" s="387">
        <v>103</v>
      </c>
      <c r="AM10" s="388">
        <v>0.55851851851851853</v>
      </c>
      <c r="AN10" s="386">
        <v>0.55966435185185182</v>
      </c>
      <c r="AO10" s="384" t="s">
        <v>719</v>
      </c>
      <c r="AP10" s="386">
        <v>1.1458396911621094E-3</v>
      </c>
      <c r="AQ10" s="387">
        <v>99</v>
      </c>
      <c r="AR10" s="383">
        <v>0.61111111111111105</v>
      </c>
      <c r="AS10" s="152">
        <v>0.62708333333333333</v>
      </c>
      <c r="AT10" s="152">
        <v>1.5972222222222165E-2</v>
      </c>
      <c r="AU10" s="389">
        <v>67</v>
      </c>
      <c r="AV10" s="389">
        <v>0</v>
      </c>
      <c r="AW10" s="389">
        <v>0</v>
      </c>
      <c r="AX10" s="384">
        <v>0</v>
      </c>
      <c r="AY10" s="384">
        <v>0</v>
      </c>
      <c r="AZ10" s="387">
        <v>201</v>
      </c>
      <c r="BA10" s="383">
        <v>0</v>
      </c>
      <c r="BB10" s="152">
        <v>0.6333333333333333</v>
      </c>
      <c r="BC10" s="152">
        <v>0</v>
      </c>
      <c r="BD10" s="386">
        <v>0.64187499999999997</v>
      </c>
      <c r="BE10" s="386">
        <v>0.64962962962962967</v>
      </c>
      <c r="BF10" s="380" t="s">
        <v>719</v>
      </c>
      <c r="BG10" s="386">
        <v>7.7546238899230957E-3</v>
      </c>
      <c r="BH10" s="387">
        <v>600</v>
      </c>
      <c r="BI10" s="388">
        <v>0.66079861111111116</v>
      </c>
      <c r="BJ10" s="386">
        <v>0.66417824074074072</v>
      </c>
      <c r="BK10" s="384" t="s">
        <v>719</v>
      </c>
      <c r="BL10" s="386">
        <v>3.3796429634094238E-3</v>
      </c>
      <c r="BM10" s="387">
        <v>292</v>
      </c>
      <c r="BN10" s="388">
        <v>0.67553240740740739</v>
      </c>
      <c r="BO10" s="386">
        <v>0.67396990740740748</v>
      </c>
      <c r="BP10" s="384" t="s">
        <v>718</v>
      </c>
      <c r="BQ10" s="386">
        <v>1.5624761581420898E-3</v>
      </c>
      <c r="BR10" s="387">
        <v>135</v>
      </c>
      <c r="BS10" s="390">
        <v>0</v>
      </c>
      <c r="BT10" s="387">
        <v>0</v>
      </c>
      <c r="BU10" s="383">
        <v>0.52916666666666667</v>
      </c>
      <c r="BV10" s="391">
        <v>0</v>
      </c>
      <c r="BW10" s="383">
        <v>0.53263888888888888</v>
      </c>
      <c r="BX10" s="391">
        <v>0</v>
      </c>
      <c r="BY10" s="383">
        <v>0.58819444444444446</v>
      </c>
      <c r="BZ10" s="391">
        <v>0</v>
      </c>
      <c r="CA10" s="383">
        <v>0.59305554628372192</v>
      </c>
      <c r="CB10" s="152">
        <v>0.59791666666666665</v>
      </c>
      <c r="CC10" s="152">
        <v>8.3333333333333332E-3</v>
      </c>
      <c r="CD10" s="384" t="s">
        <v>719</v>
      </c>
      <c r="CE10" s="152">
        <v>4.8611164093017578E-3</v>
      </c>
      <c r="CF10" s="391">
        <v>0</v>
      </c>
    </row>
    <row r="11" spans="1:84" s="22" customFormat="1" x14ac:dyDescent="0.25">
      <c r="A11" s="593">
        <v>13</v>
      </c>
      <c r="B11" s="381" t="s">
        <v>601</v>
      </c>
      <c r="C11" s="381" t="s">
        <v>603</v>
      </c>
      <c r="D11" s="381" t="s">
        <v>617</v>
      </c>
      <c r="E11" s="381" t="s">
        <v>612</v>
      </c>
      <c r="F11" s="381" t="s">
        <v>643</v>
      </c>
      <c r="G11" s="382">
        <v>2388.3000000000002</v>
      </c>
      <c r="H11" s="382">
        <v>900</v>
      </c>
      <c r="I11" s="382">
        <v>1188.3</v>
      </c>
      <c r="J11" s="382">
        <v>300</v>
      </c>
      <c r="K11" s="383">
        <v>0.50902777777777775</v>
      </c>
      <c r="L11" s="152">
        <v>0.50902777777777775</v>
      </c>
      <c r="M11" s="384" t="s">
        <v>112</v>
      </c>
      <c r="N11" s="152">
        <v>0</v>
      </c>
      <c r="O11" s="385">
        <v>0</v>
      </c>
      <c r="P11" s="152">
        <v>8.3333335816860199E-2</v>
      </c>
      <c r="Q11" s="152">
        <v>2.0833611488342285E-3</v>
      </c>
      <c r="R11" s="383">
        <v>0.59236111359463794</v>
      </c>
      <c r="S11" s="152">
        <v>0</v>
      </c>
      <c r="T11" s="384" t="s">
        <v>112</v>
      </c>
      <c r="U11" s="152">
        <v>0</v>
      </c>
      <c r="V11" s="385">
        <v>900</v>
      </c>
      <c r="W11" s="152">
        <v>8.3333335816860199E-2</v>
      </c>
      <c r="X11" s="152">
        <v>4.1666666666666519E-3</v>
      </c>
      <c r="Y11" s="152">
        <v>6.2500278155008804E-3</v>
      </c>
      <c r="Z11" s="383">
        <v>0.67569444941149814</v>
      </c>
      <c r="AA11" s="152">
        <v>0.67986111111111114</v>
      </c>
      <c r="AB11" s="384" t="s">
        <v>719</v>
      </c>
      <c r="AC11" s="152">
        <v>4.1666626930236816E-3</v>
      </c>
      <c r="AD11" s="385">
        <v>0</v>
      </c>
      <c r="AE11" s="383">
        <v>0.53541666666666665</v>
      </c>
      <c r="AF11" s="152">
        <v>0.53749999999999998</v>
      </c>
      <c r="AG11" s="152">
        <v>2.0833611488342285E-3</v>
      </c>
      <c r="AH11" s="386">
        <v>0.54988425925925921</v>
      </c>
      <c r="AI11" s="386">
        <v>0.55159722222222218</v>
      </c>
      <c r="AJ11" s="380" t="s">
        <v>719</v>
      </c>
      <c r="AK11" s="386">
        <v>1.7129778861999512E-3</v>
      </c>
      <c r="AL11" s="387">
        <v>148</v>
      </c>
      <c r="AM11" s="388">
        <v>0.55517361111111108</v>
      </c>
      <c r="AN11" s="386">
        <v>0.55568287037037034</v>
      </c>
      <c r="AO11" s="384" t="s">
        <v>719</v>
      </c>
      <c r="AP11" s="386">
        <v>5.092620849609375E-4</v>
      </c>
      <c r="AQ11" s="387">
        <v>44</v>
      </c>
      <c r="AR11" s="383">
        <v>0.60486111111111118</v>
      </c>
      <c r="AS11" s="152">
        <v>0.60902777777777783</v>
      </c>
      <c r="AT11" s="152">
        <v>4.1666666666666519E-3</v>
      </c>
      <c r="AU11" s="389">
        <v>26.1</v>
      </c>
      <c r="AV11" s="389">
        <v>0</v>
      </c>
      <c r="AW11" s="389">
        <v>1</v>
      </c>
      <c r="AX11" s="384">
        <v>0</v>
      </c>
      <c r="AY11" s="384">
        <v>0</v>
      </c>
      <c r="AZ11" s="387">
        <v>93.300000000000011</v>
      </c>
      <c r="BA11" s="383">
        <v>0</v>
      </c>
      <c r="BB11" s="152">
        <v>0.62291666666666667</v>
      </c>
      <c r="BC11" s="152">
        <v>0</v>
      </c>
      <c r="BD11" s="386">
        <v>0.63145833333333334</v>
      </c>
      <c r="BE11" s="386">
        <v>0.63879629629629631</v>
      </c>
      <c r="BF11" s="380" t="s">
        <v>719</v>
      </c>
      <c r="BG11" s="386">
        <v>7.3379278182983398E-3</v>
      </c>
      <c r="BH11" s="387">
        <v>600</v>
      </c>
      <c r="BI11" s="388">
        <v>0.64996527777777779</v>
      </c>
      <c r="BJ11" s="386">
        <v>0.65260416666666665</v>
      </c>
      <c r="BK11" s="384" t="s">
        <v>719</v>
      </c>
      <c r="BL11" s="386">
        <v>2.6388764381408691E-3</v>
      </c>
      <c r="BM11" s="387">
        <v>228</v>
      </c>
      <c r="BN11" s="388">
        <v>0.66395833333333332</v>
      </c>
      <c r="BO11" s="386">
        <v>0.6648263888888889</v>
      </c>
      <c r="BP11" s="384" t="s">
        <v>719</v>
      </c>
      <c r="BQ11" s="386">
        <v>8.6808204650878906E-4</v>
      </c>
      <c r="BR11" s="387">
        <v>75</v>
      </c>
      <c r="BS11" s="390" t="s">
        <v>711</v>
      </c>
      <c r="BT11" s="387">
        <v>300</v>
      </c>
      <c r="BU11" s="383">
        <v>0.52222222222222225</v>
      </c>
      <c r="BV11" s="391">
        <v>0</v>
      </c>
      <c r="BW11" s="383">
        <v>0.52708333333333335</v>
      </c>
      <c r="BX11" s="391">
        <v>0</v>
      </c>
      <c r="BY11" s="383">
        <v>0.58263888888888882</v>
      </c>
      <c r="BZ11" s="391">
        <v>0</v>
      </c>
      <c r="CA11" s="383">
        <v>0.59027779102325439</v>
      </c>
      <c r="CB11" s="152">
        <v>0.59236111111111112</v>
      </c>
      <c r="CC11" s="152">
        <v>8.3333333333333332E-3</v>
      </c>
      <c r="CD11" s="384" t="s">
        <v>719</v>
      </c>
      <c r="CE11" s="152">
        <v>2.0833015441894531E-3</v>
      </c>
      <c r="CF11" s="391">
        <v>0</v>
      </c>
    </row>
    <row r="12" spans="1:84" s="367" customFormat="1" x14ac:dyDescent="0.25">
      <c r="A12" s="592">
        <v>14</v>
      </c>
      <c r="B12" s="355" t="s">
        <v>604</v>
      </c>
      <c r="C12" s="355" t="s">
        <v>606</v>
      </c>
      <c r="D12" s="355" t="s">
        <v>618</v>
      </c>
      <c r="E12" s="355" t="s">
        <v>6</v>
      </c>
      <c r="F12" s="355" t="s">
        <v>643</v>
      </c>
      <c r="G12" s="356">
        <v>2596.5</v>
      </c>
      <c r="H12" s="356">
        <v>0</v>
      </c>
      <c r="I12" s="356">
        <v>2566.5</v>
      </c>
      <c r="J12" s="356">
        <v>30</v>
      </c>
      <c r="K12" s="357">
        <v>0.50972222222222219</v>
      </c>
      <c r="L12" s="358">
        <v>0.50972222222222219</v>
      </c>
      <c r="M12" s="359" t="s">
        <v>112</v>
      </c>
      <c r="N12" s="358">
        <v>0</v>
      </c>
      <c r="O12" s="360">
        <v>0</v>
      </c>
      <c r="P12" s="358">
        <v>8.3333335816860199E-2</v>
      </c>
      <c r="Q12" s="358">
        <v>0</v>
      </c>
      <c r="R12" s="357">
        <v>0.59305555803908239</v>
      </c>
      <c r="S12" s="358">
        <v>0.59305555555555556</v>
      </c>
      <c r="T12" s="359" t="s">
        <v>112</v>
      </c>
      <c r="U12" s="358">
        <v>0</v>
      </c>
      <c r="V12" s="360">
        <v>0</v>
      </c>
      <c r="W12" s="358">
        <v>8.3333335816860199E-2</v>
      </c>
      <c r="X12" s="358">
        <v>0</v>
      </c>
      <c r="Y12" s="358">
        <v>0</v>
      </c>
      <c r="Z12" s="357">
        <v>0.67638889137241576</v>
      </c>
      <c r="AA12" s="358">
        <v>0.67638888888888893</v>
      </c>
      <c r="AB12" s="359" t="s">
        <v>718</v>
      </c>
      <c r="AC12" s="358">
        <v>0</v>
      </c>
      <c r="AD12" s="360">
        <v>0</v>
      </c>
      <c r="AE12" s="357">
        <v>0</v>
      </c>
      <c r="AF12" s="358">
        <v>0.5395833333333333</v>
      </c>
      <c r="AG12" s="358">
        <v>0</v>
      </c>
      <c r="AH12" s="362">
        <v>0.55196759259259254</v>
      </c>
      <c r="AI12" s="362">
        <v>0.55207175925925933</v>
      </c>
      <c r="AJ12" s="354" t="s">
        <v>719</v>
      </c>
      <c r="AK12" s="362">
        <v>1.0412931442260742E-4</v>
      </c>
      <c r="AL12" s="363">
        <v>9</v>
      </c>
      <c r="AM12" s="364">
        <v>0.55564814814814822</v>
      </c>
      <c r="AN12" s="362">
        <v>0.55613425925925919</v>
      </c>
      <c r="AO12" s="359" t="s">
        <v>719</v>
      </c>
      <c r="AP12" s="362">
        <v>4.8613548278808594E-4</v>
      </c>
      <c r="AQ12" s="363">
        <v>42</v>
      </c>
      <c r="AR12" s="357">
        <v>0</v>
      </c>
      <c r="AS12" s="358">
        <v>0</v>
      </c>
      <c r="AT12" s="358">
        <v>0</v>
      </c>
      <c r="AU12" s="365">
        <v>28.5</v>
      </c>
      <c r="AV12" s="365">
        <v>0</v>
      </c>
      <c r="AW12" s="365">
        <v>2</v>
      </c>
      <c r="AX12" s="359">
        <v>0</v>
      </c>
      <c r="AY12" s="359">
        <v>0</v>
      </c>
      <c r="AZ12" s="363">
        <v>115.5</v>
      </c>
      <c r="BA12" s="357">
        <v>0</v>
      </c>
      <c r="BB12" s="358">
        <v>0.62569444444444444</v>
      </c>
      <c r="BC12" s="358">
        <v>0</v>
      </c>
      <c r="BD12" s="362">
        <v>0.63423611111111111</v>
      </c>
      <c r="BE12" s="362">
        <v>0.64290509259259265</v>
      </c>
      <c r="BF12" s="354" t="s">
        <v>719</v>
      </c>
      <c r="BG12" s="362">
        <v>8.6690187454223633E-3</v>
      </c>
      <c r="BH12" s="363">
        <v>600</v>
      </c>
      <c r="BI12" s="364">
        <v>0.65407407407407414</v>
      </c>
      <c r="BJ12" s="362">
        <v>0</v>
      </c>
      <c r="BK12" s="359" t="s">
        <v>112</v>
      </c>
      <c r="BL12" s="362">
        <v>0</v>
      </c>
      <c r="BM12" s="363">
        <v>1800</v>
      </c>
      <c r="BN12" s="364">
        <v>0</v>
      </c>
      <c r="BO12" s="362">
        <v>0.6580555555555555</v>
      </c>
      <c r="BP12" s="359" t="s">
        <v>112</v>
      </c>
      <c r="BQ12" s="362">
        <v>0</v>
      </c>
      <c r="BR12" s="363">
        <v>0</v>
      </c>
      <c r="BS12" s="366" t="s">
        <v>709</v>
      </c>
      <c r="BT12" s="363">
        <v>30</v>
      </c>
      <c r="BU12" s="357">
        <v>0.52500000000000002</v>
      </c>
      <c r="BV12" s="361">
        <v>0</v>
      </c>
      <c r="BW12" s="357">
        <v>0.52986111111111112</v>
      </c>
      <c r="BX12" s="361">
        <v>0</v>
      </c>
      <c r="BY12" s="357">
        <v>0.57638888888888895</v>
      </c>
      <c r="BZ12" s="361">
        <v>0</v>
      </c>
      <c r="CA12" s="357">
        <v>0.59097224473953247</v>
      </c>
      <c r="CB12" s="358">
        <v>0.58888888888888891</v>
      </c>
      <c r="CC12" s="358">
        <v>8.3333333333333332E-3</v>
      </c>
      <c r="CD12" s="359" t="s">
        <v>718</v>
      </c>
      <c r="CE12" s="358">
        <v>2.0833611488342285E-3</v>
      </c>
      <c r="CF12" s="361">
        <v>0</v>
      </c>
    </row>
    <row r="13" spans="1:84" s="22" customFormat="1" x14ac:dyDescent="0.25">
      <c r="A13" s="592">
        <v>16</v>
      </c>
      <c r="B13" s="355" t="s">
        <v>648</v>
      </c>
      <c r="C13" s="355" t="s">
        <v>650</v>
      </c>
      <c r="D13" s="355" t="s">
        <v>651</v>
      </c>
      <c r="E13" s="355" t="s">
        <v>6</v>
      </c>
      <c r="F13" s="355" t="s">
        <v>643</v>
      </c>
      <c r="G13" s="356">
        <v>3248.1</v>
      </c>
      <c r="H13" s="356">
        <v>900</v>
      </c>
      <c r="I13" s="356">
        <v>1118.0999999999999</v>
      </c>
      <c r="J13" s="356">
        <v>1230</v>
      </c>
      <c r="K13" s="357">
        <v>0.51111111111111107</v>
      </c>
      <c r="L13" s="358">
        <v>0.51111111111111118</v>
      </c>
      <c r="M13" s="359" t="s">
        <v>112</v>
      </c>
      <c r="N13" s="358">
        <v>0</v>
      </c>
      <c r="O13" s="360">
        <v>0</v>
      </c>
      <c r="P13" s="358">
        <v>8.3333335816860199E-2</v>
      </c>
      <c r="Q13" s="358">
        <v>0</v>
      </c>
      <c r="R13" s="357">
        <v>0.59444444692797138</v>
      </c>
      <c r="S13" s="358">
        <v>0</v>
      </c>
      <c r="T13" s="359" t="s">
        <v>112</v>
      </c>
      <c r="U13" s="358">
        <v>0</v>
      </c>
      <c r="V13" s="360">
        <v>900</v>
      </c>
      <c r="W13" s="358">
        <v>8.3333335816860199E-2</v>
      </c>
      <c r="X13" s="358">
        <v>2.1527777777777812E-2</v>
      </c>
      <c r="Y13" s="358">
        <v>2.1527777777777812E-2</v>
      </c>
      <c r="Z13" s="357">
        <v>0.67777778274483158</v>
      </c>
      <c r="AA13" s="358">
        <v>0.68611111111111101</v>
      </c>
      <c r="AB13" s="359" t="s">
        <v>719</v>
      </c>
      <c r="AC13" s="358">
        <v>8.3333253860473633E-3</v>
      </c>
      <c r="AD13" s="360">
        <v>0</v>
      </c>
      <c r="AE13" s="357">
        <v>0</v>
      </c>
      <c r="AF13" s="358">
        <v>0.54305555555555551</v>
      </c>
      <c r="AG13" s="358">
        <v>0</v>
      </c>
      <c r="AH13" s="362">
        <v>0.55543981481481475</v>
      </c>
      <c r="AI13" s="362">
        <v>0.5549074074074074</v>
      </c>
      <c r="AJ13" s="354" t="s">
        <v>718</v>
      </c>
      <c r="AK13" s="362">
        <v>5.3244829177856445E-4</v>
      </c>
      <c r="AL13" s="363">
        <v>46</v>
      </c>
      <c r="AM13" s="364">
        <v>0.5584837962962963</v>
      </c>
      <c r="AN13" s="362">
        <v>0.55960648148148151</v>
      </c>
      <c r="AO13" s="359" t="s">
        <v>719</v>
      </c>
      <c r="AP13" s="362">
        <v>1.1227130889892578E-3</v>
      </c>
      <c r="AQ13" s="363">
        <v>97</v>
      </c>
      <c r="AR13" s="357">
        <v>0.60416666666666663</v>
      </c>
      <c r="AS13" s="358">
        <v>0.62569444444444444</v>
      </c>
      <c r="AT13" s="358">
        <v>2.1527777777777812E-2</v>
      </c>
      <c r="AU13" s="365">
        <v>102.7</v>
      </c>
      <c r="AV13" s="365">
        <v>0</v>
      </c>
      <c r="AW13" s="365">
        <v>0</v>
      </c>
      <c r="AX13" s="359">
        <v>0</v>
      </c>
      <c r="AY13" s="359">
        <v>0</v>
      </c>
      <c r="AZ13" s="363">
        <v>308.10000000000002</v>
      </c>
      <c r="BA13" s="357">
        <v>0</v>
      </c>
      <c r="BB13" s="358">
        <v>0.63263888888888886</v>
      </c>
      <c r="BC13" s="358">
        <v>0</v>
      </c>
      <c r="BD13" s="362">
        <v>0.64118055555555553</v>
      </c>
      <c r="BE13" s="362">
        <v>0.64065972222222223</v>
      </c>
      <c r="BF13" s="354" t="s">
        <v>718</v>
      </c>
      <c r="BG13" s="362">
        <v>5.2082538604736328E-4</v>
      </c>
      <c r="BH13" s="363">
        <v>45</v>
      </c>
      <c r="BI13" s="364">
        <v>0.65182870370370372</v>
      </c>
      <c r="BJ13" s="362">
        <v>0.66182870370370372</v>
      </c>
      <c r="BK13" s="359" t="s">
        <v>719</v>
      </c>
      <c r="BL13" s="362">
        <v>9.9999904632568359E-3</v>
      </c>
      <c r="BM13" s="363">
        <v>600</v>
      </c>
      <c r="BN13" s="364">
        <v>0.67318287037037039</v>
      </c>
      <c r="BO13" s="362">
        <v>0.67292824074074076</v>
      </c>
      <c r="BP13" s="359" t="s">
        <v>718</v>
      </c>
      <c r="BQ13" s="362">
        <v>2.5463104248046875E-4</v>
      </c>
      <c r="BR13" s="363">
        <v>22</v>
      </c>
      <c r="BS13" s="366" t="s">
        <v>714</v>
      </c>
      <c r="BT13" s="363">
        <v>1230</v>
      </c>
      <c r="BU13" s="357">
        <v>0.52777777777777779</v>
      </c>
      <c r="BV13" s="361">
        <v>0</v>
      </c>
      <c r="BW13" s="357">
        <v>0.53055555555555556</v>
      </c>
      <c r="BX13" s="361">
        <v>0</v>
      </c>
      <c r="BY13" s="357">
        <v>0.58819444444444446</v>
      </c>
      <c r="BZ13" s="361">
        <v>0</v>
      </c>
      <c r="CA13" s="357">
        <v>0.59236109256744385</v>
      </c>
      <c r="CB13" s="358">
        <v>0.59722222222222221</v>
      </c>
      <c r="CC13" s="358">
        <v>8.3333333333333332E-3</v>
      </c>
      <c r="CD13" s="359" t="s">
        <v>719</v>
      </c>
      <c r="CE13" s="358">
        <v>4.8611164093017578E-3</v>
      </c>
      <c r="CF13" s="361">
        <v>0</v>
      </c>
    </row>
    <row r="14" spans="1:84" s="367" customFormat="1" x14ac:dyDescent="0.25">
      <c r="A14" s="593">
        <v>11</v>
      </c>
      <c r="B14" s="381" t="s">
        <v>593</v>
      </c>
      <c r="C14" s="381" t="s">
        <v>595</v>
      </c>
      <c r="D14" s="381" t="s">
        <v>615</v>
      </c>
      <c r="E14" s="381" t="s">
        <v>208</v>
      </c>
      <c r="F14" s="381" t="s">
        <v>643</v>
      </c>
      <c r="G14" s="382">
        <v>3459.9</v>
      </c>
      <c r="H14" s="382">
        <v>900</v>
      </c>
      <c r="I14" s="382">
        <v>2559.9</v>
      </c>
      <c r="J14" s="382">
        <v>0</v>
      </c>
      <c r="K14" s="383">
        <v>0.50763888888888886</v>
      </c>
      <c r="L14" s="152">
        <v>0.50763888888888886</v>
      </c>
      <c r="M14" s="384" t="s">
        <v>112</v>
      </c>
      <c r="N14" s="152">
        <v>0</v>
      </c>
      <c r="O14" s="385">
        <v>0</v>
      </c>
      <c r="P14" s="152">
        <v>8.3333335816860199E-2</v>
      </c>
      <c r="Q14" s="152">
        <v>0</v>
      </c>
      <c r="R14" s="383">
        <v>0.59097222470574906</v>
      </c>
      <c r="S14" s="152">
        <v>0</v>
      </c>
      <c r="T14" s="384" t="s">
        <v>112</v>
      </c>
      <c r="U14" s="152">
        <v>0</v>
      </c>
      <c r="V14" s="385">
        <v>900</v>
      </c>
      <c r="W14" s="152">
        <v>8.3333335816860199E-2</v>
      </c>
      <c r="X14" s="152">
        <v>1.3889074325561523E-3</v>
      </c>
      <c r="Y14" s="152">
        <v>1.3889074325561523E-3</v>
      </c>
      <c r="Z14" s="383">
        <v>0.67430556052260926</v>
      </c>
      <c r="AA14" s="152">
        <v>0.6743055555555556</v>
      </c>
      <c r="AB14" s="384" t="s">
        <v>112</v>
      </c>
      <c r="AC14" s="152">
        <v>0</v>
      </c>
      <c r="AD14" s="385">
        <v>0</v>
      </c>
      <c r="AE14" s="383">
        <v>0</v>
      </c>
      <c r="AF14" s="152">
        <v>0.54513888888888895</v>
      </c>
      <c r="AG14" s="152">
        <v>0</v>
      </c>
      <c r="AH14" s="386">
        <v>0.55752314814814818</v>
      </c>
      <c r="AI14" s="386">
        <v>0.55744212962962958</v>
      </c>
      <c r="AJ14" s="380" t="s">
        <v>718</v>
      </c>
      <c r="AK14" s="386">
        <v>8.1002712249755859E-5</v>
      </c>
      <c r="AL14" s="387">
        <v>7</v>
      </c>
      <c r="AM14" s="388">
        <v>0.56101851851851847</v>
      </c>
      <c r="AN14" s="386">
        <v>0.56159722222222219</v>
      </c>
      <c r="AO14" s="384" t="s">
        <v>719</v>
      </c>
      <c r="AP14" s="386">
        <v>5.7870149612426758E-4</v>
      </c>
      <c r="AQ14" s="387">
        <v>50</v>
      </c>
      <c r="AR14" s="383">
        <v>0</v>
      </c>
      <c r="AS14" s="152">
        <v>0</v>
      </c>
      <c r="AT14" s="152">
        <v>0</v>
      </c>
      <c r="AU14" s="389">
        <v>24.3</v>
      </c>
      <c r="AV14" s="389">
        <v>0</v>
      </c>
      <c r="AW14" s="389">
        <v>2</v>
      </c>
      <c r="AX14" s="384">
        <v>0</v>
      </c>
      <c r="AY14" s="384">
        <v>0</v>
      </c>
      <c r="AZ14" s="387">
        <v>102.9</v>
      </c>
      <c r="BA14" s="383">
        <v>0.61597222222222225</v>
      </c>
      <c r="BB14" s="152">
        <v>0.61736111111111114</v>
      </c>
      <c r="BC14" s="152">
        <v>1.3889074325561523E-3</v>
      </c>
      <c r="BD14" s="386">
        <v>0.62590277777777781</v>
      </c>
      <c r="BE14" s="386">
        <v>0.635625</v>
      </c>
      <c r="BF14" s="380" t="s">
        <v>719</v>
      </c>
      <c r="BG14" s="386">
        <v>9.7222328186035156E-3</v>
      </c>
      <c r="BH14" s="387">
        <v>600</v>
      </c>
      <c r="BI14" s="388">
        <v>0.64679398148148148</v>
      </c>
      <c r="BJ14" s="386">
        <v>0</v>
      </c>
      <c r="BK14" s="384" t="s">
        <v>112</v>
      </c>
      <c r="BL14" s="386">
        <v>0</v>
      </c>
      <c r="BM14" s="387">
        <v>1800</v>
      </c>
      <c r="BN14" s="388">
        <v>0</v>
      </c>
      <c r="BO14" s="386">
        <v>0.64811342592592591</v>
      </c>
      <c r="BP14" s="384" t="s">
        <v>112</v>
      </c>
      <c r="BQ14" s="386">
        <v>0</v>
      </c>
      <c r="BR14" s="387">
        <v>0</v>
      </c>
      <c r="BS14" s="390">
        <v>0</v>
      </c>
      <c r="BT14" s="387">
        <v>0</v>
      </c>
      <c r="BU14" s="383">
        <v>0.52222222222222225</v>
      </c>
      <c r="BV14" s="391">
        <v>0</v>
      </c>
      <c r="BW14" s="383">
        <v>0.52638888888888891</v>
      </c>
      <c r="BX14" s="391">
        <v>0</v>
      </c>
      <c r="BY14" s="383">
        <v>0.58194444444444449</v>
      </c>
      <c r="BZ14" s="391">
        <v>0</v>
      </c>
      <c r="CA14" s="383">
        <v>0.58888888359069824</v>
      </c>
      <c r="CB14" s="152">
        <v>0.59097222222222223</v>
      </c>
      <c r="CC14" s="152">
        <v>8.3333333333333332E-3</v>
      </c>
      <c r="CD14" s="384" t="s">
        <v>719</v>
      </c>
      <c r="CE14" s="152">
        <v>2.0833611488342285E-3</v>
      </c>
      <c r="CF14" s="391">
        <v>0</v>
      </c>
    </row>
    <row r="15" spans="1:84" s="22" customFormat="1" x14ac:dyDescent="0.25">
      <c r="A15" s="592">
        <v>18</v>
      </c>
      <c r="B15" s="355" t="s">
        <v>652</v>
      </c>
      <c r="C15" s="355" t="s">
        <v>654</v>
      </c>
      <c r="D15" s="355" t="s">
        <v>655</v>
      </c>
      <c r="E15" s="355" t="s">
        <v>6</v>
      </c>
      <c r="F15" s="355" t="s">
        <v>643</v>
      </c>
      <c r="G15" s="356">
        <v>3892.9</v>
      </c>
      <c r="H15" s="356">
        <v>2700</v>
      </c>
      <c r="I15" s="356">
        <v>1192.9000000000001</v>
      </c>
      <c r="J15" s="356">
        <v>0</v>
      </c>
      <c r="K15" s="357">
        <v>0.51249999999999996</v>
      </c>
      <c r="L15" s="358">
        <v>0.51250000000000007</v>
      </c>
      <c r="M15" s="359" t="s">
        <v>112</v>
      </c>
      <c r="N15" s="358">
        <v>0</v>
      </c>
      <c r="O15" s="360">
        <v>0</v>
      </c>
      <c r="P15" s="358">
        <v>8.3333335816860199E-2</v>
      </c>
      <c r="Q15" s="358">
        <v>0</v>
      </c>
      <c r="R15" s="357">
        <v>0.59583333581686027</v>
      </c>
      <c r="S15" s="358">
        <v>0</v>
      </c>
      <c r="T15" s="359" t="s">
        <v>112</v>
      </c>
      <c r="U15" s="358">
        <v>0</v>
      </c>
      <c r="V15" s="360">
        <v>900</v>
      </c>
      <c r="W15" s="358">
        <v>8.3333335816860199E-2</v>
      </c>
      <c r="X15" s="358">
        <v>1.388847827911377E-3</v>
      </c>
      <c r="Y15" s="358">
        <v>1.388847827911377E-3</v>
      </c>
      <c r="Z15" s="357">
        <v>0.67916667163372046</v>
      </c>
      <c r="AA15" s="358">
        <v>0.6791666666666667</v>
      </c>
      <c r="AB15" s="359" t="s">
        <v>112</v>
      </c>
      <c r="AC15" s="358">
        <v>0</v>
      </c>
      <c r="AD15" s="360">
        <v>0</v>
      </c>
      <c r="AE15" s="357">
        <v>0</v>
      </c>
      <c r="AF15" s="358">
        <v>0.53611111111111109</v>
      </c>
      <c r="AG15" s="358">
        <v>0</v>
      </c>
      <c r="AH15" s="362">
        <v>0.54849537037037033</v>
      </c>
      <c r="AI15" s="362">
        <v>0.54666666666666663</v>
      </c>
      <c r="AJ15" s="354" t="s">
        <v>718</v>
      </c>
      <c r="AK15" s="362">
        <v>1.8286705017089844E-3</v>
      </c>
      <c r="AL15" s="363">
        <v>158</v>
      </c>
      <c r="AM15" s="364">
        <v>0.55024305555555553</v>
      </c>
      <c r="AN15" s="362">
        <v>0.5529398148148148</v>
      </c>
      <c r="AO15" s="359" t="s">
        <v>719</v>
      </c>
      <c r="AP15" s="362">
        <v>2.6967525482177734E-3</v>
      </c>
      <c r="AQ15" s="363">
        <v>233</v>
      </c>
      <c r="AR15" s="357">
        <v>0</v>
      </c>
      <c r="AS15" s="358">
        <v>0</v>
      </c>
      <c r="AT15" s="358">
        <v>0</v>
      </c>
      <c r="AU15" s="365">
        <v>51.3</v>
      </c>
      <c r="AV15" s="365">
        <v>0</v>
      </c>
      <c r="AW15" s="365">
        <v>0</v>
      </c>
      <c r="AX15" s="359">
        <v>0</v>
      </c>
      <c r="AY15" s="359">
        <v>0</v>
      </c>
      <c r="AZ15" s="363">
        <v>153.89999999999998</v>
      </c>
      <c r="BA15" s="357">
        <v>0.62708333333333333</v>
      </c>
      <c r="BB15" s="358">
        <v>0.62847222222222221</v>
      </c>
      <c r="BC15" s="358">
        <v>1.388847827911377E-3</v>
      </c>
      <c r="BD15" s="362">
        <v>0.63701388888888888</v>
      </c>
      <c r="BE15" s="362">
        <v>0.64170138888888884</v>
      </c>
      <c r="BF15" s="354" t="s">
        <v>719</v>
      </c>
      <c r="BG15" s="362">
        <v>4.6874880790710449E-3</v>
      </c>
      <c r="BH15" s="363">
        <v>405</v>
      </c>
      <c r="BI15" s="364">
        <v>0.65287037037037032</v>
      </c>
      <c r="BJ15" s="362">
        <v>0.65353009259259254</v>
      </c>
      <c r="BK15" s="359" t="s">
        <v>719</v>
      </c>
      <c r="BL15" s="362">
        <v>6.5976381301879883E-4</v>
      </c>
      <c r="BM15" s="363">
        <v>57</v>
      </c>
      <c r="BN15" s="364">
        <v>0.6648842592592592</v>
      </c>
      <c r="BO15" s="362">
        <v>0.66703703703703709</v>
      </c>
      <c r="BP15" s="359" t="s">
        <v>719</v>
      </c>
      <c r="BQ15" s="362">
        <v>2.1527409553527832E-3</v>
      </c>
      <c r="BR15" s="363">
        <v>186</v>
      </c>
      <c r="BS15" s="366">
        <v>0</v>
      </c>
      <c r="BT15" s="363">
        <v>0</v>
      </c>
      <c r="BU15" s="357">
        <v>0</v>
      </c>
      <c r="BV15" s="361">
        <v>900</v>
      </c>
      <c r="BW15" s="357">
        <v>0</v>
      </c>
      <c r="BX15" s="361">
        <v>900</v>
      </c>
      <c r="BY15" s="357">
        <v>0.58194444444444449</v>
      </c>
      <c r="BZ15" s="361">
        <v>0</v>
      </c>
      <c r="CA15" s="357">
        <v>0.59375</v>
      </c>
      <c r="CB15" s="358">
        <v>0.59583333333333333</v>
      </c>
      <c r="CC15" s="358">
        <v>8.3333333333333332E-3</v>
      </c>
      <c r="CD15" s="359" t="s">
        <v>719</v>
      </c>
      <c r="CE15" s="358">
        <v>2.0833611488342285E-3</v>
      </c>
      <c r="CF15" s="361">
        <v>0</v>
      </c>
    </row>
    <row r="16" spans="1:84" s="367" customFormat="1" x14ac:dyDescent="0.25">
      <c r="A16" s="592">
        <v>10</v>
      </c>
      <c r="B16" s="355" t="s">
        <v>590</v>
      </c>
      <c r="C16" s="355" t="s">
        <v>592</v>
      </c>
      <c r="D16" s="355" t="s">
        <v>613</v>
      </c>
      <c r="E16" s="355" t="s">
        <v>611</v>
      </c>
      <c r="F16" s="355" t="s">
        <v>643</v>
      </c>
      <c r="G16" s="356">
        <v>5027.8999999999996</v>
      </c>
      <c r="H16" s="356">
        <v>1500</v>
      </c>
      <c r="I16" s="356">
        <v>3527.9</v>
      </c>
      <c r="J16" s="356">
        <v>0</v>
      </c>
      <c r="K16" s="357">
        <v>0.50694444444444442</v>
      </c>
      <c r="L16" s="358">
        <v>0.50694444444444442</v>
      </c>
      <c r="M16" s="359" t="s">
        <v>112</v>
      </c>
      <c r="N16" s="358">
        <v>0</v>
      </c>
      <c r="O16" s="360">
        <v>0</v>
      </c>
      <c r="P16" s="358">
        <v>8.3333335816860199E-2</v>
      </c>
      <c r="Q16" s="358">
        <v>2.0833015441894531E-3</v>
      </c>
      <c r="R16" s="357">
        <v>0.59027778026130462</v>
      </c>
      <c r="S16" s="358">
        <v>0.62430555555555556</v>
      </c>
      <c r="T16" s="359" t="s">
        <v>719</v>
      </c>
      <c r="U16" s="358">
        <v>3.4027755260467529E-2</v>
      </c>
      <c r="V16" s="360">
        <v>600</v>
      </c>
      <c r="W16" s="358">
        <v>8.3333335816860199E-2</v>
      </c>
      <c r="X16" s="358">
        <v>0</v>
      </c>
      <c r="Y16" s="358">
        <v>0</v>
      </c>
      <c r="Z16" s="357">
        <v>0.70763889137241576</v>
      </c>
      <c r="AA16" s="358">
        <v>0.69930555555555562</v>
      </c>
      <c r="AB16" s="359" t="s">
        <v>718</v>
      </c>
      <c r="AC16" s="358">
        <v>8.3333253860473633E-3</v>
      </c>
      <c r="AD16" s="360">
        <v>0</v>
      </c>
      <c r="AE16" s="357">
        <v>0.53611111111111109</v>
      </c>
      <c r="AF16" s="358">
        <v>0.53819444444444442</v>
      </c>
      <c r="AG16" s="358">
        <v>2.0833015441894531E-3</v>
      </c>
      <c r="AH16" s="362">
        <v>0.55057870370370365</v>
      </c>
      <c r="AI16" s="362">
        <v>0.55511574074074077</v>
      </c>
      <c r="AJ16" s="354" t="s">
        <v>719</v>
      </c>
      <c r="AK16" s="362">
        <v>4.537045955657959E-3</v>
      </c>
      <c r="AL16" s="363">
        <v>392</v>
      </c>
      <c r="AM16" s="364">
        <v>0.55869212962962966</v>
      </c>
      <c r="AN16" s="362">
        <v>0.57511574074074068</v>
      </c>
      <c r="AO16" s="359" t="s">
        <v>719</v>
      </c>
      <c r="AP16" s="362">
        <v>1.6423583030700684E-2</v>
      </c>
      <c r="AQ16" s="363">
        <v>600</v>
      </c>
      <c r="AR16" s="357">
        <v>0</v>
      </c>
      <c r="AS16" s="358">
        <v>0</v>
      </c>
      <c r="AT16" s="358">
        <v>0</v>
      </c>
      <c r="AU16" s="365">
        <v>35.299999999999997</v>
      </c>
      <c r="AV16" s="365">
        <v>0</v>
      </c>
      <c r="AW16" s="365">
        <v>2</v>
      </c>
      <c r="AX16" s="359">
        <v>0</v>
      </c>
      <c r="AY16" s="359">
        <v>0</v>
      </c>
      <c r="AZ16" s="363">
        <v>135.89999999999998</v>
      </c>
      <c r="BA16" s="357">
        <v>0</v>
      </c>
      <c r="BB16" s="358">
        <v>0.65069444444444446</v>
      </c>
      <c r="BC16" s="358">
        <v>0</v>
      </c>
      <c r="BD16" s="362">
        <v>0.65923611111111113</v>
      </c>
      <c r="BE16" s="362">
        <v>0.66901620370370374</v>
      </c>
      <c r="BF16" s="354" t="s">
        <v>719</v>
      </c>
      <c r="BG16" s="362">
        <v>9.7800493240356445E-3</v>
      </c>
      <c r="BH16" s="363">
        <v>600</v>
      </c>
      <c r="BI16" s="364">
        <v>0.68018518518518523</v>
      </c>
      <c r="BJ16" s="362">
        <v>0</v>
      </c>
      <c r="BK16" s="359" t="s">
        <v>112</v>
      </c>
      <c r="BL16" s="362">
        <v>0</v>
      </c>
      <c r="BM16" s="363">
        <v>1800</v>
      </c>
      <c r="BN16" s="364">
        <v>0</v>
      </c>
      <c r="BO16" s="362">
        <v>0.68333333333333324</v>
      </c>
      <c r="BP16" s="359" t="s">
        <v>112</v>
      </c>
      <c r="BQ16" s="362">
        <v>0</v>
      </c>
      <c r="BR16" s="363">
        <v>0</v>
      </c>
      <c r="BS16" s="366">
        <v>0</v>
      </c>
      <c r="BT16" s="363">
        <v>0</v>
      </c>
      <c r="BU16" s="357">
        <v>0.52152777777777781</v>
      </c>
      <c r="BV16" s="361">
        <v>0</v>
      </c>
      <c r="BW16" s="357">
        <v>0.52638888888888891</v>
      </c>
      <c r="BX16" s="361">
        <v>0</v>
      </c>
      <c r="BY16" s="357">
        <v>0</v>
      </c>
      <c r="BZ16" s="361">
        <v>900</v>
      </c>
      <c r="CA16" s="357">
        <v>0.58819442987442017</v>
      </c>
      <c r="CB16" s="358">
        <v>0.62361111111111112</v>
      </c>
      <c r="CC16" s="358">
        <v>8.3333333333333332E-3</v>
      </c>
      <c r="CD16" s="359" t="s">
        <v>719</v>
      </c>
      <c r="CE16" s="358">
        <v>3.5416662693023682E-2</v>
      </c>
      <c r="CF16" s="361">
        <v>0</v>
      </c>
    </row>
    <row r="17" spans="1:84" s="22" customFormat="1" x14ac:dyDescent="0.25">
      <c r="A17" s="593">
        <v>15</v>
      </c>
      <c r="B17" s="381" t="s">
        <v>119</v>
      </c>
      <c r="C17" s="381" t="s">
        <v>86</v>
      </c>
      <c r="D17" s="381" t="s">
        <v>588</v>
      </c>
      <c r="E17" s="381" t="s">
        <v>6</v>
      </c>
      <c r="F17" s="381" t="s">
        <v>643</v>
      </c>
      <c r="G17" s="382">
        <v>6685.6</v>
      </c>
      <c r="H17" s="382">
        <v>3600</v>
      </c>
      <c r="I17" s="382">
        <v>2785.6</v>
      </c>
      <c r="J17" s="382">
        <v>300</v>
      </c>
      <c r="K17" s="383">
        <v>0.51041666666666663</v>
      </c>
      <c r="L17" s="152">
        <v>0.51041666666666663</v>
      </c>
      <c r="M17" s="384" t="s">
        <v>112</v>
      </c>
      <c r="N17" s="152">
        <v>0</v>
      </c>
      <c r="O17" s="385">
        <v>0</v>
      </c>
      <c r="P17" s="152">
        <v>8.3333335816860199E-2</v>
      </c>
      <c r="Q17" s="152">
        <v>0</v>
      </c>
      <c r="R17" s="383">
        <v>0.59375000248352683</v>
      </c>
      <c r="S17" s="152">
        <v>0</v>
      </c>
      <c r="T17" s="384" t="s">
        <v>112</v>
      </c>
      <c r="U17" s="152">
        <v>0</v>
      </c>
      <c r="V17" s="385">
        <v>900</v>
      </c>
      <c r="W17" s="152">
        <v>8.3333335816860199E-2</v>
      </c>
      <c r="X17" s="152">
        <v>0</v>
      </c>
      <c r="Y17" s="152">
        <v>0</v>
      </c>
      <c r="Z17" s="383">
        <v>0.67708333830038703</v>
      </c>
      <c r="AA17" s="152">
        <v>0.67499999999999993</v>
      </c>
      <c r="AB17" s="384" t="s">
        <v>718</v>
      </c>
      <c r="AC17" s="152">
        <v>2.0833015441894531E-3</v>
      </c>
      <c r="AD17" s="385">
        <v>0</v>
      </c>
      <c r="AE17" s="383">
        <v>0</v>
      </c>
      <c r="AF17" s="152">
        <v>0.53541666666666665</v>
      </c>
      <c r="AG17" s="152">
        <v>0</v>
      </c>
      <c r="AH17" s="386">
        <v>0.54780092592592589</v>
      </c>
      <c r="AI17" s="386">
        <v>0.54475694444444445</v>
      </c>
      <c r="AJ17" s="380" t="s">
        <v>718</v>
      </c>
      <c r="AK17" s="386">
        <v>3.0439496040344238E-3</v>
      </c>
      <c r="AL17" s="387">
        <v>263</v>
      </c>
      <c r="AM17" s="388">
        <v>0.54833333333333334</v>
      </c>
      <c r="AN17" s="386">
        <v>0.54775462962962962</v>
      </c>
      <c r="AO17" s="384" t="s">
        <v>718</v>
      </c>
      <c r="AP17" s="386">
        <v>5.7870149612426758E-4</v>
      </c>
      <c r="AQ17" s="387">
        <v>50</v>
      </c>
      <c r="AR17" s="383">
        <v>0</v>
      </c>
      <c r="AS17" s="152">
        <v>0</v>
      </c>
      <c r="AT17" s="152">
        <v>0</v>
      </c>
      <c r="AU17" s="389">
        <v>19.2</v>
      </c>
      <c r="AV17" s="389">
        <v>0</v>
      </c>
      <c r="AW17" s="389">
        <v>1</v>
      </c>
      <c r="AX17" s="384">
        <v>0</v>
      </c>
      <c r="AY17" s="384">
        <v>0</v>
      </c>
      <c r="AZ17" s="387">
        <v>72.599999999999994</v>
      </c>
      <c r="BA17" s="383">
        <v>0</v>
      </c>
      <c r="BB17" s="152">
        <v>0.61875000000000002</v>
      </c>
      <c r="BC17" s="152">
        <v>0</v>
      </c>
      <c r="BD17" s="386">
        <v>0.62729166666666669</v>
      </c>
      <c r="BE17" s="386">
        <v>0.63942129629629629</v>
      </c>
      <c r="BF17" s="380" t="s">
        <v>719</v>
      </c>
      <c r="BG17" s="386">
        <v>1.2129604816436768E-2</v>
      </c>
      <c r="BH17" s="387">
        <v>600</v>
      </c>
      <c r="BI17" s="388">
        <v>0.65059027777777778</v>
      </c>
      <c r="BJ17" s="386">
        <v>0</v>
      </c>
      <c r="BK17" s="384" t="s">
        <v>112</v>
      </c>
      <c r="BL17" s="386">
        <v>0</v>
      </c>
      <c r="BM17" s="387">
        <v>1800</v>
      </c>
      <c r="BN17" s="388">
        <v>0</v>
      </c>
      <c r="BO17" s="386">
        <v>0.64870370370370367</v>
      </c>
      <c r="BP17" s="384" t="s">
        <v>112</v>
      </c>
      <c r="BQ17" s="386">
        <v>0</v>
      </c>
      <c r="BR17" s="387">
        <v>0</v>
      </c>
      <c r="BS17" s="390" t="s">
        <v>711</v>
      </c>
      <c r="BT17" s="387">
        <v>300</v>
      </c>
      <c r="BU17" s="383">
        <v>0</v>
      </c>
      <c r="BV17" s="391">
        <v>900</v>
      </c>
      <c r="BW17" s="383">
        <v>0</v>
      </c>
      <c r="BX17" s="391">
        <v>900</v>
      </c>
      <c r="BY17" s="383">
        <v>0</v>
      </c>
      <c r="BZ17" s="391">
        <v>900</v>
      </c>
      <c r="CA17" s="383">
        <v>0.59166663885116577</v>
      </c>
      <c r="CB17" s="152">
        <v>0.59305555555555556</v>
      </c>
      <c r="CC17" s="152">
        <v>8.3333333333333332E-3</v>
      </c>
      <c r="CD17" s="384" t="s">
        <v>719</v>
      </c>
      <c r="CE17" s="152">
        <v>1.3889074325561523E-3</v>
      </c>
      <c r="CF17" s="391">
        <v>0</v>
      </c>
    </row>
    <row r="18" spans="1:84" s="367" customFormat="1" x14ac:dyDescent="0.25">
      <c r="A18" s="593">
        <v>25</v>
      </c>
      <c r="B18" s="381" t="s">
        <v>218</v>
      </c>
      <c r="C18" s="381" t="s">
        <v>29</v>
      </c>
      <c r="D18" s="381" t="s">
        <v>30</v>
      </c>
      <c r="E18" s="381" t="s">
        <v>6</v>
      </c>
      <c r="F18" s="381" t="s">
        <v>642</v>
      </c>
      <c r="G18" s="382">
        <v>692.1</v>
      </c>
      <c r="H18" s="382">
        <v>0</v>
      </c>
      <c r="I18" s="382">
        <v>392.1</v>
      </c>
      <c r="J18" s="382">
        <v>300</v>
      </c>
      <c r="K18" s="383">
        <v>0.51736111111111105</v>
      </c>
      <c r="L18" s="152">
        <v>0.51736111111111105</v>
      </c>
      <c r="M18" s="384" t="s">
        <v>112</v>
      </c>
      <c r="N18" s="152">
        <v>0</v>
      </c>
      <c r="O18" s="385">
        <v>0</v>
      </c>
      <c r="P18" s="152">
        <v>8.3333335816860199E-2</v>
      </c>
      <c r="Q18" s="152">
        <v>1.388847827911377E-3</v>
      </c>
      <c r="R18" s="383">
        <v>0.60069444692797125</v>
      </c>
      <c r="S18" s="152">
        <v>0.60138888888888886</v>
      </c>
      <c r="T18" s="384" t="s">
        <v>719</v>
      </c>
      <c r="U18" s="152">
        <v>6.9445371627807617E-4</v>
      </c>
      <c r="V18" s="385">
        <v>0</v>
      </c>
      <c r="W18" s="152">
        <v>8.3333335816860199E-2</v>
      </c>
      <c r="X18" s="152">
        <v>1.7361111111111049E-2</v>
      </c>
      <c r="Y18" s="152">
        <v>1.7361111111111049E-2</v>
      </c>
      <c r="Z18" s="383">
        <v>0.68472222470574906</v>
      </c>
      <c r="AA18" s="152">
        <v>0.68472222222222223</v>
      </c>
      <c r="AB18" s="384" t="s">
        <v>112</v>
      </c>
      <c r="AC18" s="152">
        <v>0</v>
      </c>
      <c r="AD18" s="385">
        <v>0</v>
      </c>
      <c r="AE18" s="383">
        <v>0.54583333333333328</v>
      </c>
      <c r="AF18" s="152">
        <v>0.54722222222222217</v>
      </c>
      <c r="AG18" s="152">
        <v>1.388847827911377E-3</v>
      </c>
      <c r="AH18" s="386">
        <v>0.5596064814814814</v>
      </c>
      <c r="AI18" s="386">
        <v>0.55918981481481478</v>
      </c>
      <c r="AJ18" s="380" t="s">
        <v>718</v>
      </c>
      <c r="AK18" s="386">
        <v>4.1669607162475586E-4</v>
      </c>
      <c r="AL18" s="387">
        <v>36</v>
      </c>
      <c r="AM18" s="388">
        <v>0.56276620370370367</v>
      </c>
      <c r="AN18" s="386">
        <v>0.56412037037037044</v>
      </c>
      <c r="AO18" s="384" t="s">
        <v>719</v>
      </c>
      <c r="AP18" s="386">
        <v>1.3541579246520996E-3</v>
      </c>
      <c r="AQ18" s="387">
        <v>117</v>
      </c>
      <c r="AR18" s="383">
        <v>0.6166666666666667</v>
      </c>
      <c r="AS18" s="152">
        <v>0.63402777777777775</v>
      </c>
      <c r="AT18" s="152">
        <v>1.7361111111111049E-2</v>
      </c>
      <c r="AU18" s="389">
        <v>36.700000000000003</v>
      </c>
      <c r="AV18" s="389">
        <v>0</v>
      </c>
      <c r="AW18" s="389">
        <v>1</v>
      </c>
      <c r="AX18" s="384">
        <v>0</v>
      </c>
      <c r="AY18" s="384">
        <v>0</v>
      </c>
      <c r="AZ18" s="387">
        <v>125.10000000000001</v>
      </c>
      <c r="BA18" s="383">
        <v>0</v>
      </c>
      <c r="BB18" s="152">
        <v>0.63958333333333328</v>
      </c>
      <c r="BC18" s="152">
        <v>0</v>
      </c>
      <c r="BD18" s="386">
        <v>0.64812499999999995</v>
      </c>
      <c r="BE18" s="386">
        <v>0.64872685185185186</v>
      </c>
      <c r="BF18" s="380" t="s">
        <v>719</v>
      </c>
      <c r="BG18" s="386">
        <v>6.0188770294189453E-4</v>
      </c>
      <c r="BH18" s="387">
        <v>52</v>
      </c>
      <c r="BI18" s="388">
        <v>0.65989583333333335</v>
      </c>
      <c r="BJ18" s="386">
        <v>0.6604282407407408</v>
      </c>
      <c r="BK18" s="384" t="s">
        <v>719</v>
      </c>
      <c r="BL18" s="386">
        <v>5.3238868713378906E-4</v>
      </c>
      <c r="BM18" s="387">
        <v>46</v>
      </c>
      <c r="BN18" s="388">
        <v>0.67178240740740747</v>
      </c>
      <c r="BO18" s="386">
        <v>0.67196759259259264</v>
      </c>
      <c r="BP18" s="384" t="s">
        <v>719</v>
      </c>
      <c r="BQ18" s="386">
        <v>1.8513202667236328E-4</v>
      </c>
      <c r="BR18" s="387">
        <v>16</v>
      </c>
      <c r="BS18" s="390" t="s">
        <v>710</v>
      </c>
      <c r="BT18" s="387">
        <v>300</v>
      </c>
      <c r="BU18" s="383">
        <v>0.53194444444444444</v>
      </c>
      <c r="BV18" s="391">
        <v>0</v>
      </c>
      <c r="BW18" s="383">
        <v>0.53541666666666665</v>
      </c>
      <c r="BX18" s="391">
        <v>0</v>
      </c>
      <c r="BY18" s="383">
        <v>0.5854166666666667</v>
      </c>
      <c r="BZ18" s="391">
        <v>0</v>
      </c>
      <c r="CA18" s="383">
        <v>0.59861111640930176</v>
      </c>
      <c r="CB18" s="152">
        <v>0.6</v>
      </c>
      <c r="CC18" s="152">
        <v>8.3333333333333332E-3</v>
      </c>
      <c r="CD18" s="384" t="s">
        <v>719</v>
      </c>
      <c r="CE18" s="152">
        <v>1.3889074325561523E-3</v>
      </c>
      <c r="CF18" s="391">
        <v>0</v>
      </c>
    </row>
    <row r="19" spans="1:84" s="22" customFormat="1" x14ac:dyDescent="0.25">
      <c r="A19" s="592">
        <v>28</v>
      </c>
      <c r="B19" s="355" t="s">
        <v>671</v>
      </c>
      <c r="C19" s="355" t="s">
        <v>673</v>
      </c>
      <c r="D19" s="355" t="s">
        <v>674</v>
      </c>
      <c r="E19" s="355" t="s">
        <v>6</v>
      </c>
      <c r="F19" s="355" t="s">
        <v>642</v>
      </c>
      <c r="G19" s="356">
        <v>1212.5</v>
      </c>
      <c r="H19" s="356">
        <v>0</v>
      </c>
      <c r="I19" s="356">
        <v>882.5</v>
      </c>
      <c r="J19" s="356">
        <v>330</v>
      </c>
      <c r="K19" s="357">
        <v>0.51944444444444438</v>
      </c>
      <c r="L19" s="358">
        <v>0.51944444444444449</v>
      </c>
      <c r="M19" s="359" t="s">
        <v>112</v>
      </c>
      <c r="N19" s="358">
        <v>0</v>
      </c>
      <c r="O19" s="360">
        <v>0</v>
      </c>
      <c r="P19" s="358">
        <v>8.3333335816860199E-2</v>
      </c>
      <c r="Q19" s="358">
        <v>1.3889074325561523E-3</v>
      </c>
      <c r="R19" s="357">
        <v>0.60277778026130469</v>
      </c>
      <c r="S19" s="358">
        <v>0.60277777777777775</v>
      </c>
      <c r="T19" s="359" t="s">
        <v>112</v>
      </c>
      <c r="U19" s="358">
        <v>0</v>
      </c>
      <c r="V19" s="360">
        <v>0</v>
      </c>
      <c r="W19" s="358">
        <v>8.3333335816860199E-2</v>
      </c>
      <c r="X19" s="358">
        <v>0</v>
      </c>
      <c r="Y19" s="358">
        <v>0</v>
      </c>
      <c r="Z19" s="357">
        <v>0.68611111359463794</v>
      </c>
      <c r="AA19" s="358">
        <v>0.68541666666666667</v>
      </c>
      <c r="AB19" s="359" t="s">
        <v>718</v>
      </c>
      <c r="AC19" s="358">
        <v>6.9445371627807617E-4</v>
      </c>
      <c r="AD19" s="360">
        <v>0</v>
      </c>
      <c r="AE19" s="357">
        <v>0.54513888888888895</v>
      </c>
      <c r="AF19" s="358">
        <v>0.54652777777777783</v>
      </c>
      <c r="AG19" s="358">
        <v>1.3889074325561523E-3</v>
      </c>
      <c r="AH19" s="362">
        <v>0.55891203703703707</v>
      </c>
      <c r="AI19" s="362">
        <v>0.55914351851851851</v>
      </c>
      <c r="AJ19" s="354" t="s">
        <v>719</v>
      </c>
      <c r="AK19" s="362">
        <v>2.3150444030761719E-4</v>
      </c>
      <c r="AL19" s="363">
        <v>20</v>
      </c>
      <c r="AM19" s="364">
        <v>0.5627199074074074</v>
      </c>
      <c r="AN19" s="362">
        <v>0.56178240740740737</v>
      </c>
      <c r="AO19" s="359" t="s">
        <v>718</v>
      </c>
      <c r="AP19" s="362">
        <v>9.3746185302734375E-4</v>
      </c>
      <c r="AQ19" s="363">
        <v>81</v>
      </c>
      <c r="AR19" s="357">
        <v>0</v>
      </c>
      <c r="AS19" s="358">
        <v>0</v>
      </c>
      <c r="AT19" s="358">
        <v>0</v>
      </c>
      <c r="AU19" s="365">
        <v>9.5</v>
      </c>
      <c r="AV19" s="365">
        <v>0</v>
      </c>
      <c r="AW19" s="365">
        <v>2</v>
      </c>
      <c r="AX19" s="359">
        <v>0</v>
      </c>
      <c r="AY19" s="359">
        <v>0</v>
      </c>
      <c r="AZ19" s="363">
        <v>58.5</v>
      </c>
      <c r="BA19" s="357">
        <v>0</v>
      </c>
      <c r="BB19" s="358">
        <v>0.64027777777777783</v>
      </c>
      <c r="BC19" s="358">
        <v>0</v>
      </c>
      <c r="BD19" s="362">
        <v>0.6488194444444445</v>
      </c>
      <c r="BE19" s="362">
        <v>0.6532175925925926</v>
      </c>
      <c r="BF19" s="354" t="s">
        <v>719</v>
      </c>
      <c r="BG19" s="362">
        <v>4.3981671333312988E-3</v>
      </c>
      <c r="BH19" s="363">
        <v>380</v>
      </c>
      <c r="BI19" s="364">
        <v>0.66438657407407409</v>
      </c>
      <c r="BJ19" s="362">
        <v>0.66082175925925923</v>
      </c>
      <c r="BK19" s="359" t="s">
        <v>718</v>
      </c>
      <c r="BL19" s="362">
        <v>3.5648345947265625E-3</v>
      </c>
      <c r="BM19" s="363">
        <v>308</v>
      </c>
      <c r="BN19" s="364">
        <v>0.6721759259259259</v>
      </c>
      <c r="BO19" s="362">
        <v>0.67258101851851848</v>
      </c>
      <c r="BP19" s="359" t="s">
        <v>719</v>
      </c>
      <c r="BQ19" s="362">
        <v>4.0507316589355469E-4</v>
      </c>
      <c r="BR19" s="363">
        <v>35</v>
      </c>
      <c r="BS19" s="366" t="s">
        <v>715</v>
      </c>
      <c r="BT19" s="363">
        <v>330</v>
      </c>
      <c r="BU19" s="357">
        <v>0.53125</v>
      </c>
      <c r="BV19" s="361">
        <v>0</v>
      </c>
      <c r="BW19" s="357">
        <v>0.53611111111111109</v>
      </c>
      <c r="BX19" s="361">
        <v>0</v>
      </c>
      <c r="BY19" s="357">
        <v>0.58263888888888882</v>
      </c>
      <c r="BZ19" s="361">
        <v>0</v>
      </c>
      <c r="CA19" s="357">
        <v>0.60069441795349121</v>
      </c>
      <c r="CB19" s="358">
        <v>0.6020833333333333</v>
      </c>
      <c r="CC19" s="358">
        <v>8.3333333333333332E-3</v>
      </c>
      <c r="CD19" s="359" t="s">
        <v>719</v>
      </c>
      <c r="CE19" s="358">
        <v>1.3889074325561523E-3</v>
      </c>
      <c r="CF19" s="361">
        <v>0</v>
      </c>
    </row>
    <row r="20" spans="1:84" s="367" customFormat="1" x14ac:dyDescent="0.25">
      <c r="A20" s="592">
        <v>8</v>
      </c>
      <c r="B20" s="355" t="s">
        <v>608</v>
      </c>
      <c r="C20" s="355" t="s">
        <v>230</v>
      </c>
      <c r="D20" s="355" t="s">
        <v>229</v>
      </c>
      <c r="E20" s="355" t="s">
        <v>6</v>
      </c>
      <c r="F20" s="355" t="s">
        <v>642</v>
      </c>
      <c r="G20" s="356">
        <v>1542.2</v>
      </c>
      <c r="H20" s="356">
        <v>900</v>
      </c>
      <c r="I20" s="356">
        <v>642.20000000000005</v>
      </c>
      <c r="J20" s="356">
        <v>0</v>
      </c>
      <c r="K20" s="357">
        <v>0.50555555555555554</v>
      </c>
      <c r="L20" s="358">
        <v>0.50555555555555554</v>
      </c>
      <c r="M20" s="359" t="s">
        <v>112</v>
      </c>
      <c r="N20" s="358">
        <v>0</v>
      </c>
      <c r="O20" s="360">
        <v>0</v>
      </c>
      <c r="P20" s="358">
        <v>8.3333335816860199E-2</v>
      </c>
      <c r="Q20" s="358">
        <v>0</v>
      </c>
      <c r="R20" s="357">
        <v>0.58888889137241573</v>
      </c>
      <c r="S20" s="358">
        <v>0</v>
      </c>
      <c r="T20" s="359" t="s">
        <v>112</v>
      </c>
      <c r="U20" s="358">
        <v>0</v>
      </c>
      <c r="V20" s="360">
        <v>900</v>
      </c>
      <c r="W20" s="358">
        <v>8.3333335816860199E-2</v>
      </c>
      <c r="X20" s="358">
        <v>0</v>
      </c>
      <c r="Y20" s="358">
        <v>0</v>
      </c>
      <c r="Z20" s="357">
        <v>0.67222222718927593</v>
      </c>
      <c r="AA20" s="358">
        <v>0.66875000000000007</v>
      </c>
      <c r="AB20" s="359" t="s">
        <v>718</v>
      </c>
      <c r="AC20" s="358">
        <v>3.4722089767456055E-3</v>
      </c>
      <c r="AD20" s="360">
        <v>0</v>
      </c>
      <c r="AE20" s="357">
        <v>0</v>
      </c>
      <c r="AF20" s="358">
        <v>0.53472222222222221</v>
      </c>
      <c r="AG20" s="358">
        <v>0</v>
      </c>
      <c r="AH20" s="362">
        <v>0.54710648148148144</v>
      </c>
      <c r="AI20" s="362">
        <v>0.54734953703703704</v>
      </c>
      <c r="AJ20" s="354" t="s">
        <v>719</v>
      </c>
      <c r="AK20" s="362">
        <v>2.4300813674926758E-4</v>
      </c>
      <c r="AL20" s="363">
        <v>21</v>
      </c>
      <c r="AM20" s="364">
        <v>0.55092592592592593</v>
      </c>
      <c r="AN20" s="362">
        <v>0.55156250000000007</v>
      </c>
      <c r="AO20" s="359" t="s">
        <v>719</v>
      </c>
      <c r="AP20" s="362">
        <v>6.3657760620117188E-4</v>
      </c>
      <c r="AQ20" s="363">
        <v>55</v>
      </c>
      <c r="AR20" s="357">
        <v>0</v>
      </c>
      <c r="AS20" s="358">
        <v>0</v>
      </c>
      <c r="AT20" s="358">
        <v>0</v>
      </c>
      <c r="AU20" s="365">
        <v>14.4</v>
      </c>
      <c r="AV20" s="365">
        <v>0</v>
      </c>
      <c r="AW20" s="365">
        <v>0</v>
      </c>
      <c r="AX20" s="359">
        <v>0</v>
      </c>
      <c r="AY20" s="359">
        <v>0</v>
      </c>
      <c r="AZ20" s="363">
        <v>43.2</v>
      </c>
      <c r="BA20" s="357">
        <v>0</v>
      </c>
      <c r="BB20" s="358">
        <v>0.61458333333333337</v>
      </c>
      <c r="BC20" s="358">
        <v>0</v>
      </c>
      <c r="BD20" s="362">
        <v>0.62312500000000004</v>
      </c>
      <c r="BE20" s="362">
        <v>0.62391203703703701</v>
      </c>
      <c r="BF20" s="354" t="s">
        <v>719</v>
      </c>
      <c r="BG20" s="362">
        <v>7.8701972961425781E-4</v>
      </c>
      <c r="BH20" s="363">
        <v>68</v>
      </c>
      <c r="BI20" s="364">
        <v>0.6350810185185185</v>
      </c>
      <c r="BJ20" s="362">
        <v>0.63378472222222226</v>
      </c>
      <c r="BK20" s="359" t="s">
        <v>718</v>
      </c>
      <c r="BL20" s="362">
        <v>1.2962818145751953E-3</v>
      </c>
      <c r="BM20" s="363">
        <v>112</v>
      </c>
      <c r="BN20" s="364">
        <v>0.64513888888888893</v>
      </c>
      <c r="BO20" s="362">
        <v>0.64910879629629636</v>
      </c>
      <c r="BP20" s="359" t="s">
        <v>719</v>
      </c>
      <c r="BQ20" s="362">
        <v>3.9699077606201172E-3</v>
      </c>
      <c r="BR20" s="363">
        <v>343</v>
      </c>
      <c r="BS20" s="366">
        <v>0</v>
      </c>
      <c r="BT20" s="363">
        <v>0</v>
      </c>
      <c r="BU20" s="357">
        <v>0.51944444444444449</v>
      </c>
      <c r="BV20" s="361">
        <v>0</v>
      </c>
      <c r="BW20" s="357">
        <v>0.52361111111111114</v>
      </c>
      <c r="BX20" s="361">
        <v>0</v>
      </c>
      <c r="BY20" s="357">
        <v>0.57222222222222219</v>
      </c>
      <c r="BZ20" s="361">
        <v>0</v>
      </c>
      <c r="CA20" s="357">
        <v>0.58680558204650879</v>
      </c>
      <c r="CB20" s="358">
        <v>0.58888888888888891</v>
      </c>
      <c r="CC20" s="358">
        <v>8.3333333333333332E-3</v>
      </c>
      <c r="CD20" s="359" t="s">
        <v>719</v>
      </c>
      <c r="CE20" s="358">
        <v>2.0833015441894531E-3</v>
      </c>
      <c r="CF20" s="361">
        <v>0</v>
      </c>
    </row>
    <row r="21" spans="1:84" s="22" customFormat="1" x14ac:dyDescent="0.25">
      <c r="A21" s="593">
        <v>23</v>
      </c>
      <c r="B21" s="381" t="s">
        <v>662</v>
      </c>
      <c r="C21" s="381" t="s">
        <v>664</v>
      </c>
      <c r="D21" s="381" t="s">
        <v>665</v>
      </c>
      <c r="E21" s="381" t="s">
        <v>6</v>
      </c>
      <c r="F21" s="381" t="s">
        <v>642</v>
      </c>
      <c r="G21" s="382">
        <v>1657.6</v>
      </c>
      <c r="H21" s="382">
        <v>900</v>
      </c>
      <c r="I21" s="382">
        <v>757.6</v>
      </c>
      <c r="J21" s="382">
        <v>0</v>
      </c>
      <c r="K21" s="383">
        <v>0.51597222222222217</v>
      </c>
      <c r="L21" s="152">
        <v>0.51597222222222217</v>
      </c>
      <c r="M21" s="384" t="s">
        <v>112</v>
      </c>
      <c r="N21" s="152">
        <v>0</v>
      </c>
      <c r="O21" s="385">
        <v>0</v>
      </c>
      <c r="P21" s="152">
        <v>8.3333335816860199E-2</v>
      </c>
      <c r="Q21" s="152">
        <v>0</v>
      </c>
      <c r="R21" s="383">
        <v>0.59930555803908236</v>
      </c>
      <c r="S21" s="152">
        <v>0</v>
      </c>
      <c r="T21" s="384" t="s">
        <v>112</v>
      </c>
      <c r="U21" s="152">
        <v>0</v>
      </c>
      <c r="V21" s="385">
        <v>900</v>
      </c>
      <c r="W21" s="152">
        <v>8.3333335816860199E-2</v>
      </c>
      <c r="X21" s="152">
        <v>1.6666666666666607E-2</v>
      </c>
      <c r="Y21" s="152">
        <v>1.6666666666666607E-2</v>
      </c>
      <c r="Z21" s="383">
        <v>0.68263889385594256</v>
      </c>
      <c r="AA21" s="152">
        <v>0.68541666666666667</v>
      </c>
      <c r="AB21" s="384" t="s">
        <v>719</v>
      </c>
      <c r="AC21" s="152">
        <v>2.7777552604675293E-3</v>
      </c>
      <c r="AD21" s="385">
        <v>0</v>
      </c>
      <c r="AE21" s="383">
        <v>0</v>
      </c>
      <c r="AF21" s="152">
        <v>0.54583333333333328</v>
      </c>
      <c r="AG21" s="152">
        <v>0</v>
      </c>
      <c r="AH21" s="386">
        <v>0.55821759259259252</v>
      </c>
      <c r="AI21" s="386">
        <v>0.55862268518518521</v>
      </c>
      <c r="AJ21" s="380" t="s">
        <v>719</v>
      </c>
      <c r="AK21" s="386">
        <v>4.0507316589355469E-4</v>
      </c>
      <c r="AL21" s="387">
        <v>35</v>
      </c>
      <c r="AM21" s="388">
        <v>0.5621990740740741</v>
      </c>
      <c r="AN21" s="386">
        <v>0.56284722222222217</v>
      </c>
      <c r="AO21" s="384" t="s">
        <v>719</v>
      </c>
      <c r="AP21" s="386">
        <v>6.4814090728759766E-4</v>
      </c>
      <c r="AQ21" s="387">
        <v>56</v>
      </c>
      <c r="AR21" s="383">
        <v>0.61388888888888882</v>
      </c>
      <c r="AS21" s="152">
        <v>0.63055555555555554</v>
      </c>
      <c r="AT21" s="152">
        <v>1.6666666666666607E-2</v>
      </c>
      <c r="AU21" s="389">
        <v>45.2</v>
      </c>
      <c r="AV21" s="389">
        <v>0</v>
      </c>
      <c r="AW21" s="389">
        <v>0</v>
      </c>
      <c r="AX21" s="384">
        <v>0</v>
      </c>
      <c r="AY21" s="384">
        <v>0</v>
      </c>
      <c r="AZ21" s="387">
        <v>135.60000000000002</v>
      </c>
      <c r="BA21" s="383">
        <v>0</v>
      </c>
      <c r="BB21" s="152">
        <v>0.63611111111111118</v>
      </c>
      <c r="BC21" s="152">
        <v>0</v>
      </c>
      <c r="BD21" s="386">
        <v>0.64465277777777785</v>
      </c>
      <c r="BE21" s="386">
        <v>0.64357638888888891</v>
      </c>
      <c r="BF21" s="380" t="s">
        <v>718</v>
      </c>
      <c r="BG21" s="386">
        <v>1.0764002799987793E-3</v>
      </c>
      <c r="BH21" s="387">
        <v>93</v>
      </c>
      <c r="BI21" s="388">
        <v>0.65474537037037039</v>
      </c>
      <c r="BJ21" s="386">
        <v>0.65954861111111118</v>
      </c>
      <c r="BK21" s="384" t="s">
        <v>719</v>
      </c>
      <c r="BL21" s="386">
        <v>4.8032402992248535E-3</v>
      </c>
      <c r="BM21" s="387">
        <v>415</v>
      </c>
      <c r="BN21" s="388">
        <v>0.67090277777777785</v>
      </c>
      <c r="BO21" s="386">
        <v>0.67116898148148152</v>
      </c>
      <c r="BP21" s="384" t="s">
        <v>719</v>
      </c>
      <c r="BQ21" s="386">
        <v>2.6619434356689453E-4</v>
      </c>
      <c r="BR21" s="387">
        <v>23</v>
      </c>
      <c r="BS21" s="390">
        <v>0</v>
      </c>
      <c r="BT21" s="387">
        <v>0</v>
      </c>
      <c r="BU21" s="383">
        <v>0.52986111111111112</v>
      </c>
      <c r="BV21" s="391">
        <v>0</v>
      </c>
      <c r="BW21" s="383">
        <v>0.53402777777777777</v>
      </c>
      <c r="BX21" s="391">
        <v>0</v>
      </c>
      <c r="BY21" s="383">
        <v>0.58611111111111114</v>
      </c>
      <c r="BZ21" s="391">
        <v>0</v>
      </c>
      <c r="CA21" s="383">
        <v>0.59722220897674561</v>
      </c>
      <c r="CB21" s="152">
        <v>0.59652777777777777</v>
      </c>
      <c r="CC21" s="152">
        <v>8.3333333333333332E-3</v>
      </c>
      <c r="CD21" s="384" t="s">
        <v>718</v>
      </c>
      <c r="CE21" s="152">
        <v>6.9445371627807617E-4</v>
      </c>
      <c r="CF21" s="391">
        <v>0</v>
      </c>
    </row>
    <row r="22" spans="1:84" s="367" customFormat="1" hidden="1" x14ac:dyDescent="0.25">
      <c r="A22" s="592">
        <v>12</v>
      </c>
      <c r="B22" s="355" t="s">
        <v>120</v>
      </c>
      <c r="C22" s="355" t="s">
        <v>599</v>
      </c>
      <c r="D22" s="355" t="s">
        <v>616</v>
      </c>
      <c r="E22" s="355" t="s">
        <v>6</v>
      </c>
      <c r="F22" s="355" t="s">
        <v>643</v>
      </c>
      <c r="G22" s="356" t="e">
        <v>#VALUE!</v>
      </c>
      <c r="H22" s="356" t="e">
        <v>#VALUE!</v>
      </c>
      <c r="I22" s="356">
        <v>7200</v>
      </c>
      <c r="J22" s="356">
        <v>0</v>
      </c>
      <c r="K22" s="357">
        <v>0.5083333333333333</v>
      </c>
      <c r="L22" s="358" t="s">
        <v>693</v>
      </c>
      <c r="M22" s="359" t="e">
        <v>#VALUE!</v>
      </c>
      <c r="N22" s="358" t="e">
        <v>#VALUE!</v>
      </c>
      <c r="O22" s="360" t="e">
        <v>#VALUE!</v>
      </c>
      <c r="P22" s="358">
        <v>8.3333335816860199E-2</v>
      </c>
      <c r="Q22" s="358">
        <v>0</v>
      </c>
      <c r="R22" s="357" t="e">
        <v>#VALUE!</v>
      </c>
      <c r="S22" s="358">
        <v>0</v>
      </c>
      <c r="T22" s="359" t="s">
        <v>112</v>
      </c>
      <c r="U22" s="358">
        <v>0</v>
      </c>
      <c r="V22" s="360">
        <v>900</v>
      </c>
      <c r="W22" s="358">
        <v>8.3333335816860199E-2</v>
      </c>
      <c r="X22" s="358">
        <v>0</v>
      </c>
      <c r="Y22" s="358">
        <v>0</v>
      </c>
      <c r="Z22" s="357" t="e">
        <v>#VALUE!</v>
      </c>
      <c r="AA22" s="358">
        <v>0</v>
      </c>
      <c r="AB22" s="359" t="s">
        <v>112</v>
      </c>
      <c r="AC22" s="358">
        <v>0</v>
      </c>
      <c r="AD22" s="360" t="s">
        <v>723</v>
      </c>
      <c r="AE22" s="357">
        <v>0</v>
      </c>
      <c r="AF22" s="358">
        <v>0</v>
      </c>
      <c r="AG22" s="358">
        <v>0</v>
      </c>
      <c r="AH22" s="362">
        <v>0</v>
      </c>
      <c r="AI22" s="362">
        <v>0</v>
      </c>
      <c r="AJ22" s="354" t="s">
        <v>112</v>
      </c>
      <c r="AK22" s="362">
        <v>0</v>
      </c>
      <c r="AL22" s="363">
        <v>1800</v>
      </c>
      <c r="AM22" s="364">
        <v>0</v>
      </c>
      <c r="AN22" s="362">
        <v>0</v>
      </c>
      <c r="AO22" s="359" t="s">
        <v>112</v>
      </c>
      <c r="AP22" s="362">
        <v>0</v>
      </c>
      <c r="AQ22" s="363">
        <v>0</v>
      </c>
      <c r="AR22" s="357">
        <v>0</v>
      </c>
      <c r="AS22" s="358">
        <v>0</v>
      </c>
      <c r="AT22" s="358">
        <v>0</v>
      </c>
      <c r="AU22" s="365">
        <v>0</v>
      </c>
      <c r="AV22" s="365">
        <v>0</v>
      </c>
      <c r="AW22" s="365">
        <v>0</v>
      </c>
      <c r="AX22" s="359">
        <v>0</v>
      </c>
      <c r="AY22" s="359">
        <v>0</v>
      </c>
      <c r="AZ22" s="363">
        <v>1800</v>
      </c>
      <c r="BA22" s="357">
        <v>0</v>
      </c>
      <c r="BB22" s="358">
        <v>0</v>
      </c>
      <c r="BC22" s="358">
        <v>0</v>
      </c>
      <c r="BD22" s="362">
        <v>0</v>
      </c>
      <c r="BE22" s="362">
        <v>0</v>
      </c>
      <c r="BF22" s="354" t="s">
        <v>112</v>
      </c>
      <c r="BG22" s="362">
        <v>0</v>
      </c>
      <c r="BH22" s="363">
        <v>1800</v>
      </c>
      <c r="BI22" s="364">
        <v>0</v>
      </c>
      <c r="BJ22" s="362">
        <v>0</v>
      </c>
      <c r="BK22" s="359" t="s">
        <v>112</v>
      </c>
      <c r="BL22" s="362">
        <v>0</v>
      </c>
      <c r="BM22" s="363">
        <v>1800</v>
      </c>
      <c r="BN22" s="364">
        <v>0</v>
      </c>
      <c r="BO22" s="362">
        <v>0</v>
      </c>
      <c r="BP22" s="359" t="s">
        <v>112</v>
      </c>
      <c r="BQ22" s="362">
        <v>0</v>
      </c>
      <c r="BR22" s="363">
        <v>0</v>
      </c>
      <c r="BS22" s="366">
        <v>0</v>
      </c>
      <c r="BT22" s="363">
        <v>0</v>
      </c>
      <c r="BU22" s="357">
        <v>0</v>
      </c>
      <c r="BV22" s="361">
        <v>900</v>
      </c>
      <c r="BW22" s="357">
        <v>0</v>
      </c>
      <c r="BX22" s="361">
        <v>900</v>
      </c>
      <c r="BY22" s="357">
        <v>0</v>
      </c>
      <c r="BZ22" s="361">
        <v>900</v>
      </c>
      <c r="CA22" s="357" t="e">
        <v>#VALUE!</v>
      </c>
      <c r="CB22" s="358">
        <v>0</v>
      </c>
      <c r="CC22" s="358">
        <v>8.3333333333333332E-3</v>
      </c>
      <c r="CD22" s="359" t="e">
        <v>#VALUE!</v>
      </c>
      <c r="CE22" s="358">
        <v>0</v>
      </c>
      <c r="CF22" s="361">
        <v>900</v>
      </c>
    </row>
    <row r="23" spans="1:84" s="22" customFormat="1" x14ac:dyDescent="0.25">
      <c r="A23" s="592">
        <v>26</v>
      </c>
      <c r="B23" s="355" t="s">
        <v>39</v>
      </c>
      <c r="C23" s="355" t="s">
        <v>216</v>
      </c>
      <c r="D23" s="355" t="s">
        <v>41</v>
      </c>
      <c r="E23" s="355" t="s">
        <v>6</v>
      </c>
      <c r="F23" s="355" t="s">
        <v>642</v>
      </c>
      <c r="G23" s="356">
        <v>3050.3</v>
      </c>
      <c r="H23" s="356">
        <v>0</v>
      </c>
      <c r="I23" s="356">
        <v>2750.3</v>
      </c>
      <c r="J23" s="356">
        <v>300</v>
      </c>
      <c r="K23" s="357">
        <v>0.51805555555555549</v>
      </c>
      <c r="L23" s="358">
        <v>0.5180555555555556</v>
      </c>
      <c r="M23" s="359" t="s">
        <v>112</v>
      </c>
      <c r="N23" s="358">
        <v>0</v>
      </c>
      <c r="O23" s="360">
        <v>0</v>
      </c>
      <c r="P23" s="358">
        <v>8.3333335816860199E-2</v>
      </c>
      <c r="Q23" s="358">
        <v>2.0833611488342285E-3</v>
      </c>
      <c r="R23" s="357">
        <v>0.6013888913724158</v>
      </c>
      <c r="S23" s="358">
        <v>0.6020833333333333</v>
      </c>
      <c r="T23" s="359" t="s">
        <v>719</v>
      </c>
      <c r="U23" s="358">
        <v>6.9445371627807617E-4</v>
      </c>
      <c r="V23" s="360">
        <v>0</v>
      </c>
      <c r="W23" s="358">
        <v>8.3333335816860199E-2</v>
      </c>
      <c r="X23" s="358">
        <v>0</v>
      </c>
      <c r="Y23" s="358">
        <v>0</v>
      </c>
      <c r="Z23" s="357">
        <v>0.6854166691501935</v>
      </c>
      <c r="AA23" s="358">
        <v>0.68541666666666667</v>
      </c>
      <c r="AB23" s="359" t="s">
        <v>718</v>
      </c>
      <c r="AC23" s="358">
        <v>0</v>
      </c>
      <c r="AD23" s="360">
        <v>0</v>
      </c>
      <c r="AE23" s="357">
        <v>0.54861111111111105</v>
      </c>
      <c r="AF23" s="358">
        <v>0.55069444444444449</v>
      </c>
      <c r="AG23" s="358">
        <v>2.0833611488342285E-3</v>
      </c>
      <c r="AH23" s="362">
        <v>0.56307870370370372</v>
      </c>
      <c r="AI23" s="362">
        <v>0.56172453703703706</v>
      </c>
      <c r="AJ23" s="354" t="s">
        <v>718</v>
      </c>
      <c r="AK23" s="362">
        <v>1.3541579246520996E-3</v>
      </c>
      <c r="AL23" s="363">
        <v>117</v>
      </c>
      <c r="AM23" s="364">
        <v>0.56530092592592596</v>
      </c>
      <c r="AN23" s="362">
        <v>0.56716435185185188</v>
      </c>
      <c r="AO23" s="359" t="s">
        <v>719</v>
      </c>
      <c r="AP23" s="362">
        <v>1.8634200096130371E-3</v>
      </c>
      <c r="AQ23" s="363">
        <v>161</v>
      </c>
      <c r="AR23" s="357">
        <v>0</v>
      </c>
      <c r="AS23" s="358">
        <v>0</v>
      </c>
      <c r="AT23" s="358">
        <v>0</v>
      </c>
      <c r="AU23" s="365">
        <v>24.1</v>
      </c>
      <c r="AV23" s="365">
        <v>0</v>
      </c>
      <c r="AW23" s="365">
        <v>0</v>
      </c>
      <c r="AX23" s="359">
        <v>0</v>
      </c>
      <c r="AY23" s="359">
        <v>0</v>
      </c>
      <c r="AZ23" s="363">
        <v>72.300000000000011</v>
      </c>
      <c r="BA23" s="357">
        <v>0</v>
      </c>
      <c r="BB23" s="358">
        <v>0.64097222222222217</v>
      </c>
      <c r="BC23" s="358">
        <v>0</v>
      </c>
      <c r="BD23" s="362">
        <v>0.64951388888888884</v>
      </c>
      <c r="BE23" s="362">
        <v>0.66039351851851846</v>
      </c>
      <c r="BF23" s="354" t="s">
        <v>719</v>
      </c>
      <c r="BG23" s="362">
        <v>1.0879635810852051E-2</v>
      </c>
      <c r="BH23" s="363">
        <v>600</v>
      </c>
      <c r="BI23" s="364">
        <v>0.67156249999999995</v>
      </c>
      <c r="BJ23" s="362">
        <v>0</v>
      </c>
      <c r="BK23" s="359" t="s">
        <v>112</v>
      </c>
      <c r="BL23" s="362">
        <v>0</v>
      </c>
      <c r="BM23" s="363">
        <v>1800</v>
      </c>
      <c r="BN23" s="364">
        <v>0</v>
      </c>
      <c r="BO23" s="362">
        <v>0.67189814814814808</v>
      </c>
      <c r="BP23" s="359" t="s">
        <v>112</v>
      </c>
      <c r="BQ23" s="362">
        <v>0</v>
      </c>
      <c r="BR23" s="363">
        <v>0</v>
      </c>
      <c r="BS23" s="366" t="s">
        <v>713</v>
      </c>
      <c r="BT23" s="363">
        <v>300</v>
      </c>
      <c r="BU23" s="357">
        <v>0.53402777777777777</v>
      </c>
      <c r="BV23" s="361">
        <v>0</v>
      </c>
      <c r="BW23" s="357">
        <v>0.53819444444444442</v>
      </c>
      <c r="BX23" s="361">
        <v>0</v>
      </c>
      <c r="BY23" s="357">
        <v>0.58888888888888891</v>
      </c>
      <c r="BZ23" s="361">
        <v>0</v>
      </c>
      <c r="CA23" s="357">
        <v>0.59930557012557983</v>
      </c>
      <c r="CB23" s="358">
        <v>0.60138888888888886</v>
      </c>
      <c r="CC23" s="358">
        <v>8.3333333333333332E-3</v>
      </c>
      <c r="CD23" s="359" t="s">
        <v>719</v>
      </c>
      <c r="CE23" s="358">
        <v>2.0833015441894531E-3</v>
      </c>
      <c r="CF23" s="361">
        <v>0</v>
      </c>
    </row>
    <row r="24" spans="1:84" s="367" customFormat="1" x14ac:dyDescent="0.25">
      <c r="A24" s="593">
        <v>27</v>
      </c>
      <c r="B24" s="381" t="s">
        <v>607</v>
      </c>
      <c r="C24" s="381" t="s">
        <v>227</v>
      </c>
      <c r="D24" s="381" t="s">
        <v>228</v>
      </c>
      <c r="E24" s="381" t="s">
        <v>6</v>
      </c>
      <c r="F24" s="381" t="s">
        <v>642</v>
      </c>
      <c r="G24" s="382">
        <v>3627.6</v>
      </c>
      <c r="H24" s="382">
        <v>900</v>
      </c>
      <c r="I24" s="382">
        <v>2697.6</v>
      </c>
      <c r="J24" s="382">
        <v>30</v>
      </c>
      <c r="K24" s="383">
        <v>0.51874999999999993</v>
      </c>
      <c r="L24" s="152">
        <v>0.51874999999999993</v>
      </c>
      <c r="M24" s="384" t="s">
        <v>112</v>
      </c>
      <c r="N24" s="152">
        <v>0</v>
      </c>
      <c r="O24" s="385">
        <v>0</v>
      </c>
      <c r="P24" s="152">
        <v>8.3333335816860199E-2</v>
      </c>
      <c r="Q24" s="152">
        <v>0</v>
      </c>
      <c r="R24" s="383">
        <v>0.60208333581686013</v>
      </c>
      <c r="S24" s="152">
        <v>0.6020833333333333</v>
      </c>
      <c r="T24" s="384" t="s">
        <v>112</v>
      </c>
      <c r="U24" s="152">
        <v>0</v>
      </c>
      <c r="V24" s="385">
        <v>0</v>
      </c>
      <c r="W24" s="152">
        <v>8.3333335816860199E-2</v>
      </c>
      <c r="X24" s="152">
        <v>0</v>
      </c>
      <c r="Y24" s="152">
        <v>0</v>
      </c>
      <c r="Z24" s="383">
        <v>0.6854166691501935</v>
      </c>
      <c r="AA24" s="152">
        <v>0.68541666666666667</v>
      </c>
      <c r="AB24" s="384" t="s">
        <v>718</v>
      </c>
      <c r="AC24" s="152">
        <v>0</v>
      </c>
      <c r="AD24" s="385">
        <v>0</v>
      </c>
      <c r="AE24" s="383">
        <v>0</v>
      </c>
      <c r="AF24" s="152">
        <v>0.5493055555555556</v>
      </c>
      <c r="AG24" s="152">
        <v>0</v>
      </c>
      <c r="AH24" s="386">
        <v>0.56168981481481484</v>
      </c>
      <c r="AI24" s="386">
        <v>0.56201388888888892</v>
      </c>
      <c r="AJ24" s="380" t="s">
        <v>719</v>
      </c>
      <c r="AK24" s="386">
        <v>3.2407045364379883E-4</v>
      </c>
      <c r="AL24" s="387">
        <v>28</v>
      </c>
      <c r="AM24" s="388">
        <v>0.56559027777777782</v>
      </c>
      <c r="AN24" s="386">
        <v>0.5667592592592593</v>
      </c>
      <c r="AO24" s="384" t="s">
        <v>719</v>
      </c>
      <c r="AP24" s="386">
        <v>1.1690258979797363E-3</v>
      </c>
      <c r="AQ24" s="387">
        <v>101</v>
      </c>
      <c r="AR24" s="383">
        <v>0</v>
      </c>
      <c r="AS24" s="152">
        <v>0</v>
      </c>
      <c r="AT24" s="152">
        <v>0</v>
      </c>
      <c r="AU24" s="389">
        <v>36.200000000000003</v>
      </c>
      <c r="AV24" s="389">
        <v>0</v>
      </c>
      <c r="AW24" s="389">
        <v>0</v>
      </c>
      <c r="AX24" s="384">
        <v>0</v>
      </c>
      <c r="AY24" s="384" t="s">
        <v>705</v>
      </c>
      <c r="AZ24" s="387">
        <v>168.60000000000002</v>
      </c>
      <c r="BA24" s="383">
        <v>0</v>
      </c>
      <c r="BB24" s="152">
        <v>0.6381944444444444</v>
      </c>
      <c r="BC24" s="152">
        <v>0</v>
      </c>
      <c r="BD24" s="386">
        <v>0.64673611111111107</v>
      </c>
      <c r="BE24" s="386">
        <v>0.6564120370370371</v>
      </c>
      <c r="BF24" s="380" t="s">
        <v>719</v>
      </c>
      <c r="BG24" s="386">
        <v>9.6759796142578125E-3</v>
      </c>
      <c r="BH24" s="387">
        <v>600</v>
      </c>
      <c r="BI24" s="388">
        <v>0.66758101851851859</v>
      </c>
      <c r="BJ24" s="386">
        <v>0</v>
      </c>
      <c r="BK24" s="384" t="s">
        <v>112</v>
      </c>
      <c r="BL24" s="386">
        <v>0</v>
      </c>
      <c r="BM24" s="387">
        <v>1800</v>
      </c>
      <c r="BN24" s="388">
        <v>0</v>
      </c>
      <c r="BO24" s="386">
        <v>0.66787037037037045</v>
      </c>
      <c r="BP24" s="384" t="s">
        <v>112</v>
      </c>
      <c r="BQ24" s="386">
        <v>0</v>
      </c>
      <c r="BR24" s="387">
        <v>0</v>
      </c>
      <c r="BS24" s="390" t="s">
        <v>709</v>
      </c>
      <c r="BT24" s="387">
        <v>30</v>
      </c>
      <c r="BU24" s="383">
        <v>0.53472222222222221</v>
      </c>
      <c r="BV24" s="391">
        <v>0</v>
      </c>
      <c r="BW24" s="383">
        <v>0</v>
      </c>
      <c r="BX24" s="391">
        <v>900</v>
      </c>
      <c r="BY24" s="383">
        <v>0.58819444444444446</v>
      </c>
      <c r="BZ24" s="391">
        <v>0</v>
      </c>
      <c r="CA24" s="383">
        <v>0.60000002384185791</v>
      </c>
      <c r="CB24" s="152">
        <v>0.60069444444444442</v>
      </c>
      <c r="CC24" s="152">
        <v>8.3333333333333332E-3</v>
      </c>
      <c r="CD24" s="384" t="s">
        <v>112</v>
      </c>
      <c r="CE24" s="152">
        <v>6.9439411163330078E-4</v>
      </c>
      <c r="CF24" s="391">
        <v>0</v>
      </c>
    </row>
    <row r="25" spans="1:84" s="22" customFormat="1" x14ac:dyDescent="0.25">
      <c r="A25" s="592">
        <v>24</v>
      </c>
      <c r="B25" s="355" t="s">
        <v>666</v>
      </c>
      <c r="C25" s="355" t="s">
        <v>668</v>
      </c>
      <c r="D25" s="355" t="s">
        <v>670</v>
      </c>
      <c r="E25" s="355" t="s">
        <v>725</v>
      </c>
      <c r="F25" s="355" t="s">
        <v>550</v>
      </c>
      <c r="G25" s="356">
        <v>108.9</v>
      </c>
      <c r="H25" s="356">
        <v>0</v>
      </c>
      <c r="I25" s="356">
        <v>108.9</v>
      </c>
      <c r="J25" s="356">
        <v>0</v>
      </c>
      <c r="K25" s="357">
        <v>0.51666666666666661</v>
      </c>
      <c r="L25" s="358">
        <v>0.51666666666666672</v>
      </c>
      <c r="M25" s="359" t="s">
        <v>112</v>
      </c>
      <c r="N25" s="358">
        <v>0</v>
      </c>
      <c r="O25" s="360">
        <v>0</v>
      </c>
      <c r="P25" s="358">
        <v>8.3333335816860199E-2</v>
      </c>
      <c r="Q25" s="358">
        <v>3.4722089767456055E-3</v>
      </c>
      <c r="R25" s="357">
        <v>0.60000000248352692</v>
      </c>
      <c r="S25" s="358">
        <v>0.6</v>
      </c>
      <c r="T25" s="359" t="s">
        <v>112</v>
      </c>
      <c r="U25" s="358">
        <v>0</v>
      </c>
      <c r="V25" s="360">
        <v>0</v>
      </c>
      <c r="W25" s="358">
        <v>8.3333335816860199E-2</v>
      </c>
      <c r="X25" s="358">
        <v>0</v>
      </c>
      <c r="Y25" s="358">
        <v>0</v>
      </c>
      <c r="Z25" s="357">
        <v>0.68333333581686018</v>
      </c>
      <c r="AA25" s="358">
        <v>0.68125000000000002</v>
      </c>
      <c r="AB25" s="359" t="s">
        <v>718</v>
      </c>
      <c r="AC25" s="358">
        <v>2.0833611488342285E-3</v>
      </c>
      <c r="AD25" s="360">
        <v>0</v>
      </c>
      <c r="AE25" s="357">
        <v>0.54513888888888895</v>
      </c>
      <c r="AF25" s="358">
        <v>0.54861111111111105</v>
      </c>
      <c r="AG25" s="358">
        <v>3.4722089767456055E-3</v>
      </c>
      <c r="AH25" s="362">
        <v>0.56099537037037028</v>
      </c>
      <c r="AI25" s="362">
        <v>0.5611342592592593</v>
      </c>
      <c r="AJ25" s="354" t="s">
        <v>719</v>
      </c>
      <c r="AK25" s="362">
        <v>1.3887882232666016E-4</v>
      </c>
      <c r="AL25" s="363">
        <v>12</v>
      </c>
      <c r="AM25" s="364">
        <v>0.5647106481481482</v>
      </c>
      <c r="AN25" s="362">
        <v>0.56473379629629628</v>
      </c>
      <c r="AO25" s="359" t="s">
        <v>719</v>
      </c>
      <c r="AP25" s="362">
        <v>2.3126602172851563E-5</v>
      </c>
      <c r="AQ25" s="363">
        <v>2</v>
      </c>
      <c r="AR25" s="357">
        <v>0</v>
      </c>
      <c r="AS25" s="358">
        <v>0</v>
      </c>
      <c r="AT25" s="358">
        <v>0</v>
      </c>
      <c r="AU25" s="365">
        <v>23.3</v>
      </c>
      <c r="AV25" s="365">
        <v>0</v>
      </c>
      <c r="AW25" s="365">
        <v>1</v>
      </c>
      <c r="AX25" s="359">
        <v>0</v>
      </c>
      <c r="AY25" s="359">
        <v>0</v>
      </c>
      <c r="AZ25" s="363">
        <v>84.9</v>
      </c>
      <c r="BA25" s="357">
        <v>0</v>
      </c>
      <c r="BB25" s="358">
        <v>0.63680555555555551</v>
      </c>
      <c r="BC25" s="358">
        <v>0</v>
      </c>
      <c r="BD25" s="362">
        <v>0.64534722222222218</v>
      </c>
      <c r="BE25" s="362">
        <v>0.64538194444444441</v>
      </c>
      <c r="BF25" s="354" t="s">
        <v>719</v>
      </c>
      <c r="BG25" s="362">
        <v>3.4689903259277344E-5</v>
      </c>
      <c r="BH25" s="363">
        <v>3</v>
      </c>
      <c r="BI25" s="364">
        <v>0.6565509259259259</v>
      </c>
      <c r="BJ25" s="362">
        <v>0.65653935185185186</v>
      </c>
      <c r="BK25" s="359" t="s">
        <v>718</v>
      </c>
      <c r="BL25" s="362">
        <v>1.1563301086425781E-5</v>
      </c>
      <c r="BM25" s="363">
        <v>1</v>
      </c>
      <c r="BN25" s="364">
        <v>0.66789351851851853</v>
      </c>
      <c r="BO25" s="362">
        <v>0.66796296296296298</v>
      </c>
      <c r="BP25" s="359" t="s">
        <v>719</v>
      </c>
      <c r="BQ25" s="362">
        <v>6.9439411163330078E-5</v>
      </c>
      <c r="BR25" s="363">
        <v>6</v>
      </c>
      <c r="BS25" s="366">
        <v>0</v>
      </c>
      <c r="BT25" s="363">
        <v>0</v>
      </c>
      <c r="BU25" s="357">
        <v>0.53194444444444444</v>
      </c>
      <c r="BV25" s="361">
        <v>0</v>
      </c>
      <c r="BW25" s="357">
        <v>0.53472222222222221</v>
      </c>
      <c r="BX25" s="361">
        <v>0</v>
      </c>
      <c r="BY25" s="357">
        <v>0.58680555555555558</v>
      </c>
      <c r="BZ25" s="361">
        <v>0</v>
      </c>
      <c r="CA25" s="357">
        <v>0.59791666269302368</v>
      </c>
      <c r="CB25" s="358">
        <v>0.59583333333333333</v>
      </c>
      <c r="CC25" s="358">
        <v>8.3333333333333332E-3</v>
      </c>
      <c r="CD25" s="359" t="s">
        <v>718</v>
      </c>
      <c r="CE25" s="358">
        <v>2.0833015441894531E-3</v>
      </c>
      <c r="CF25" s="361">
        <v>0</v>
      </c>
    </row>
    <row r="26" spans="1:84" s="367" customFormat="1" x14ac:dyDescent="0.25">
      <c r="A26" s="592">
        <v>20</v>
      </c>
      <c r="B26" s="355" t="s">
        <v>556</v>
      </c>
      <c r="C26" s="355" t="s">
        <v>570</v>
      </c>
      <c r="D26" s="355" t="s">
        <v>580</v>
      </c>
      <c r="E26" s="355" t="s">
        <v>579</v>
      </c>
      <c r="F26" s="355" t="s">
        <v>550</v>
      </c>
      <c r="G26" s="356">
        <v>297.89999999999998</v>
      </c>
      <c r="H26" s="356">
        <v>120</v>
      </c>
      <c r="I26" s="356">
        <v>177.9</v>
      </c>
      <c r="J26" s="356">
        <v>0</v>
      </c>
      <c r="K26" s="357">
        <v>0.51388888888888884</v>
      </c>
      <c r="L26" s="358">
        <v>0.51388888888888895</v>
      </c>
      <c r="M26" s="359" t="s">
        <v>112</v>
      </c>
      <c r="N26" s="358">
        <v>0</v>
      </c>
      <c r="O26" s="360">
        <v>0</v>
      </c>
      <c r="P26" s="358">
        <v>8.3333335816860199E-2</v>
      </c>
      <c r="Q26" s="358">
        <v>0</v>
      </c>
      <c r="R26" s="357">
        <v>0.59722222470574915</v>
      </c>
      <c r="S26" s="358">
        <v>0.59722222222222221</v>
      </c>
      <c r="T26" s="359" t="s">
        <v>112</v>
      </c>
      <c r="U26" s="358">
        <v>0</v>
      </c>
      <c r="V26" s="360">
        <v>0</v>
      </c>
      <c r="W26" s="358">
        <v>8.3333335816860199E-2</v>
      </c>
      <c r="X26" s="358">
        <v>0</v>
      </c>
      <c r="Y26" s="358">
        <v>0</v>
      </c>
      <c r="Z26" s="357">
        <v>0.68055555803908241</v>
      </c>
      <c r="AA26" s="358">
        <v>0.67222222222222217</v>
      </c>
      <c r="AB26" s="359" t="s">
        <v>718</v>
      </c>
      <c r="AC26" s="358">
        <v>8.3333849906921387E-3</v>
      </c>
      <c r="AD26" s="360">
        <v>0</v>
      </c>
      <c r="AE26" s="357">
        <v>0</v>
      </c>
      <c r="AF26" s="358">
        <v>0.54097222222222219</v>
      </c>
      <c r="AG26" s="358">
        <v>0</v>
      </c>
      <c r="AH26" s="362">
        <v>0.55335648148148142</v>
      </c>
      <c r="AI26" s="362">
        <v>0.55333333333333334</v>
      </c>
      <c r="AJ26" s="354" t="s">
        <v>718</v>
      </c>
      <c r="AK26" s="362">
        <v>2.3126602172851563E-5</v>
      </c>
      <c r="AL26" s="363">
        <v>2</v>
      </c>
      <c r="AM26" s="364">
        <v>0.55690972222222224</v>
      </c>
      <c r="AN26" s="362">
        <v>0.55692129629629628</v>
      </c>
      <c r="AO26" s="359" t="s">
        <v>719</v>
      </c>
      <c r="AP26" s="362">
        <v>1.1563301086425781E-5</v>
      </c>
      <c r="AQ26" s="363">
        <v>1</v>
      </c>
      <c r="AR26" s="357">
        <v>0</v>
      </c>
      <c r="AS26" s="358">
        <v>0</v>
      </c>
      <c r="AT26" s="358">
        <v>0</v>
      </c>
      <c r="AU26" s="365">
        <v>24.3</v>
      </c>
      <c r="AV26" s="365">
        <v>0</v>
      </c>
      <c r="AW26" s="365">
        <v>2</v>
      </c>
      <c r="AX26" s="359">
        <v>0</v>
      </c>
      <c r="AY26" s="359" t="s">
        <v>705</v>
      </c>
      <c r="AZ26" s="363">
        <v>162.9</v>
      </c>
      <c r="BA26" s="357">
        <v>0</v>
      </c>
      <c r="BB26" s="358">
        <v>0.62638888888888888</v>
      </c>
      <c r="BC26" s="358">
        <v>0</v>
      </c>
      <c r="BD26" s="362">
        <v>0.63493055555555555</v>
      </c>
      <c r="BE26" s="362">
        <v>0.63493055555555555</v>
      </c>
      <c r="BF26" s="354" t="s">
        <v>112</v>
      </c>
      <c r="BG26" s="362">
        <v>0</v>
      </c>
      <c r="BH26" s="363">
        <v>0</v>
      </c>
      <c r="BI26" s="364">
        <v>0.64609953703703704</v>
      </c>
      <c r="BJ26" s="362">
        <v>0.64611111111111108</v>
      </c>
      <c r="BK26" s="359" t="s">
        <v>719</v>
      </c>
      <c r="BL26" s="362">
        <v>1.1622905731201172E-5</v>
      </c>
      <c r="BM26" s="363">
        <v>1</v>
      </c>
      <c r="BN26" s="364">
        <v>0.65746527777777775</v>
      </c>
      <c r="BO26" s="362">
        <v>0.65733796296296299</v>
      </c>
      <c r="BP26" s="359" t="s">
        <v>718</v>
      </c>
      <c r="BQ26" s="362">
        <v>1.2731552124023438E-4</v>
      </c>
      <c r="BR26" s="363">
        <v>11</v>
      </c>
      <c r="BS26" s="366">
        <v>0</v>
      </c>
      <c r="BT26" s="363">
        <v>0</v>
      </c>
      <c r="BU26" s="357">
        <v>0.52569444444444446</v>
      </c>
      <c r="BV26" s="361">
        <v>0</v>
      </c>
      <c r="BW26" s="357">
        <v>0.52986111111111112</v>
      </c>
      <c r="BX26" s="361">
        <v>0</v>
      </c>
      <c r="BY26" s="357">
        <v>0.57708333333333328</v>
      </c>
      <c r="BZ26" s="361">
        <v>0</v>
      </c>
      <c r="CA26" s="357">
        <v>0.59513890743255615</v>
      </c>
      <c r="CB26" s="358">
        <v>0.5854166666666667</v>
      </c>
      <c r="CC26" s="358">
        <v>8.3333333333333332E-3</v>
      </c>
      <c r="CD26" s="359" t="s">
        <v>718</v>
      </c>
      <c r="CE26" s="358">
        <v>9.7222328186035156E-3</v>
      </c>
      <c r="CF26" s="361">
        <v>120</v>
      </c>
    </row>
    <row r="27" spans="1:84" s="22" customFormat="1" hidden="1" x14ac:dyDescent="0.25">
      <c r="A27" s="592" t="s">
        <v>629</v>
      </c>
      <c r="B27" s="355" t="s">
        <v>619</v>
      </c>
      <c r="C27" s="355" t="s">
        <v>121</v>
      </c>
      <c r="D27" s="355" t="s">
        <v>214</v>
      </c>
      <c r="E27" s="355" t="s">
        <v>208</v>
      </c>
      <c r="F27" s="355" t="s">
        <v>550</v>
      </c>
      <c r="G27" s="356">
        <v>554.29999999999995</v>
      </c>
      <c r="H27" s="356">
        <v>0</v>
      </c>
      <c r="I27" s="356">
        <v>554.29999999999995</v>
      </c>
      <c r="J27" s="356">
        <v>0</v>
      </c>
      <c r="K27" s="357">
        <v>0.49027777777777781</v>
      </c>
      <c r="L27" s="358">
        <v>0.49027777777777781</v>
      </c>
      <c r="M27" s="359" t="s">
        <v>112</v>
      </c>
      <c r="N27" s="358">
        <v>0</v>
      </c>
      <c r="O27" s="360">
        <v>0</v>
      </c>
      <c r="P27" s="358">
        <v>8.3333335816860199E-2</v>
      </c>
      <c r="Q27" s="358">
        <v>0</v>
      </c>
      <c r="R27" s="357">
        <v>0.57361111359463801</v>
      </c>
      <c r="S27" s="358">
        <v>0.57361111111111118</v>
      </c>
      <c r="T27" s="359" t="s">
        <v>112</v>
      </c>
      <c r="U27" s="358">
        <v>0</v>
      </c>
      <c r="V27" s="360">
        <v>0</v>
      </c>
      <c r="W27" s="358">
        <v>8.3333335816860199E-2</v>
      </c>
      <c r="X27" s="358">
        <v>0</v>
      </c>
      <c r="Y27" s="358">
        <v>0</v>
      </c>
      <c r="Z27" s="357">
        <v>0.65694444692797138</v>
      </c>
      <c r="AA27" s="358">
        <v>0.65277777777777779</v>
      </c>
      <c r="AB27" s="359" t="s">
        <v>718</v>
      </c>
      <c r="AC27" s="358">
        <v>4.1666626930236816E-3</v>
      </c>
      <c r="AD27" s="360">
        <v>0</v>
      </c>
      <c r="AE27" s="357">
        <v>0</v>
      </c>
      <c r="AF27" s="358">
        <v>0.51527777777777783</v>
      </c>
      <c r="AG27" s="358">
        <v>0</v>
      </c>
      <c r="AH27" s="362">
        <v>0.52766203703703707</v>
      </c>
      <c r="AI27" s="362">
        <v>0.52923611111111113</v>
      </c>
      <c r="AJ27" s="354" t="s">
        <v>719</v>
      </c>
      <c r="AK27" s="362">
        <v>1.574099063873291E-3</v>
      </c>
      <c r="AL27" s="363">
        <v>136</v>
      </c>
      <c r="AM27" s="364">
        <v>0.53281250000000002</v>
      </c>
      <c r="AN27" s="362">
        <v>0.53263888888888888</v>
      </c>
      <c r="AO27" s="359" t="s">
        <v>718</v>
      </c>
      <c r="AP27" s="362">
        <v>1.735687255859375E-4</v>
      </c>
      <c r="AQ27" s="363">
        <v>15</v>
      </c>
      <c r="AR27" s="357">
        <v>0</v>
      </c>
      <c r="AS27" s="358">
        <v>0.58472222222222225</v>
      </c>
      <c r="AT27" s="358">
        <v>0</v>
      </c>
      <c r="AU27" s="365">
        <v>5.0999999999999996</v>
      </c>
      <c r="AV27" s="365">
        <v>0</v>
      </c>
      <c r="AW27" s="365">
        <v>2</v>
      </c>
      <c r="AX27" s="359">
        <v>0</v>
      </c>
      <c r="AY27" s="359">
        <v>0</v>
      </c>
      <c r="AZ27" s="363">
        <v>45.3</v>
      </c>
      <c r="BA27" s="357">
        <v>0</v>
      </c>
      <c r="BB27" s="358">
        <v>0.6069444444444444</v>
      </c>
      <c r="BC27" s="358">
        <v>0</v>
      </c>
      <c r="BD27" s="362">
        <v>0.61548611111111107</v>
      </c>
      <c r="BE27" s="362">
        <v>0.6149189814814815</v>
      </c>
      <c r="BF27" s="354" t="s">
        <v>718</v>
      </c>
      <c r="BG27" s="362">
        <v>5.6707859039306641E-4</v>
      </c>
      <c r="BH27" s="363">
        <v>49</v>
      </c>
      <c r="BI27" s="364">
        <v>0.62608796296296299</v>
      </c>
      <c r="BJ27" s="362">
        <v>0.62449074074074074</v>
      </c>
      <c r="BK27" s="359" t="s">
        <v>718</v>
      </c>
      <c r="BL27" s="362">
        <v>1.5972256660461426E-3</v>
      </c>
      <c r="BM27" s="363">
        <v>138</v>
      </c>
      <c r="BN27" s="364">
        <v>0.6358449074074074</v>
      </c>
      <c r="BO27" s="362">
        <v>0.63386574074074076</v>
      </c>
      <c r="BP27" s="359" t="s">
        <v>718</v>
      </c>
      <c r="BQ27" s="362">
        <v>1.9791722297668457E-3</v>
      </c>
      <c r="BR27" s="363">
        <v>171</v>
      </c>
      <c r="BS27" s="366">
        <v>0</v>
      </c>
      <c r="BT27" s="363">
        <v>0</v>
      </c>
      <c r="BU27" s="357">
        <v>0.50138888888888888</v>
      </c>
      <c r="BV27" s="361">
        <v>0</v>
      </c>
      <c r="BW27" s="357">
        <v>0.50486111111111109</v>
      </c>
      <c r="BX27" s="361">
        <v>0</v>
      </c>
      <c r="BY27" s="357">
        <v>0.55486111111111114</v>
      </c>
      <c r="BZ27" s="361">
        <v>0</v>
      </c>
      <c r="CA27" s="357">
        <v>0.57152777910232544</v>
      </c>
      <c r="CB27" s="358">
        <v>0.56388888888888888</v>
      </c>
      <c r="CC27" s="358">
        <v>8.3333333333333332E-3</v>
      </c>
      <c r="CD27" s="359" t="s">
        <v>718</v>
      </c>
      <c r="CE27" s="358">
        <v>7.6388716697692871E-3</v>
      </c>
      <c r="CF27" s="361">
        <v>0</v>
      </c>
    </row>
    <row r="28" spans="1:84" s="367" customFormat="1" x14ac:dyDescent="0.25">
      <c r="A28" s="593">
        <v>19</v>
      </c>
      <c r="B28" s="381" t="s">
        <v>220</v>
      </c>
      <c r="C28" s="381" t="s">
        <v>222</v>
      </c>
      <c r="D28" s="381" t="s">
        <v>28</v>
      </c>
      <c r="E28" s="381" t="s">
        <v>6</v>
      </c>
      <c r="F28" s="381" t="s">
        <v>550</v>
      </c>
      <c r="G28" s="382">
        <v>1176.9000000000001</v>
      </c>
      <c r="H28" s="382">
        <v>0</v>
      </c>
      <c r="I28" s="382">
        <v>1176.9000000000001</v>
      </c>
      <c r="J28" s="382">
        <v>0</v>
      </c>
      <c r="K28" s="383">
        <v>0.5131944444444444</v>
      </c>
      <c r="L28" s="152">
        <v>0.5131944444444444</v>
      </c>
      <c r="M28" s="384" t="s">
        <v>112</v>
      </c>
      <c r="N28" s="152">
        <v>0</v>
      </c>
      <c r="O28" s="385">
        <v>0</v>
      </c>
      <c r="P28" s="152">
        <v>8.3333335816860199E-2</v>
      </c>
      <c r="Q28" s="152">
        <v>1.3889074325561523E-3</v>
      </c>
      <c r="R28" s="383">
        <v>0.5965277802613046</v>
      </c>
      <c r="S28" s="152">
        <v>0.59652777777777777</v>
      </c>
      <c r="T28" s="384" t="s">
        <v>112</v>
      </c>
      <c r="U28" s="152">
        <v>0</v>
      </c>
      <c r="V28" s="385">
        <v>0</v>
      </c>
      <c r="W28" s="152">
        <v>8.3333335816860199E-2</v>
      </c>
      <c r="X28" s="152">
        <v>1.7361111111111049E-2</v>
      </c>
      <c r="Y28" s="152">
        <v>1.7361111111111049E-2</v>
      </c>
      <c r="Z28" s="383">
        <v>0.67986111359463797</v>
      </c>
      <c r="AA28" s="152">
        <v>0.69652777777777775</v>
      </c>
      <c r="AB28" s="384" t="s">
        <v>719</v>
      </c>
      <c r="AC28" s="152">
        <v>1.6666650772094727E-2</v>
      </c>
      <c r="AD28" s="385">
        <v>0</v>
      </c>
      <c r="AE28" s="383">
        <v>0.54027777777777775</v>
      </c>
      <c r="AF28" s="152">
        <v>0.54166666666666663</v>
      </c>
      <c r="AG28" s="152">
        <v>1.3889074325561523E-3</v>
      </c>
      <c r="AH28" s="386">
        <v>0.55405092592592586</v>
      </c>
      <c r="AI28" s="386">
        <v>0.55563657407407407</v>
      </c>
      <c r="AJ28" s="380" t="s">
        <v>719</v>
      </c>
      <c r="AK28" s="386">
        <v>1.5856623649597168E-3</v>
      </c>
      <c r="AL28" s="387">
        <v>137</v>
      </c>
      <c r="AM28" s="388">
        <v>0.55921296296296297</v>
      </c>
      <c r="AN28" s="386">
        <v>0.56123842592592588</v>
      </c>
      <c r="AO28" s="384" t="s">
        <v>719</v>
      </c>
      <c r="AP28" s="386">
        <v>2.0254254341125488E-3</v>
      </c>
      <c r="AQ28" s="387">
        <v>175</v>
      </c>
      <c r="AR28" s="383">
        <v>0.61111111111111105</v>
      </c>
      <c r="AS28" s="152">
        <v>0.62847222222222221</v>
      </c>
      <c r="AT28" s="152">
        <v>1.7361111111111049E-2</v>
      </c>
      <c r="AU28" s="389">
        <v>30.3</v>
      </c>
      <c r="AV28" s="389">
        <v>0</v>
      </c>
      <c r="AW28" s="389">
        <v>0</v>
      </c>
      <c r="AX28" s="384">
        <v>0</v>
      </c>
      <c r="AY28" s="384">
        <v>0</v>
      </c>
      <c r="AZ28" s="387">
        <v>90.9</v>
      </c>
      <c r="BA28" s="383">
        <v>0</v>
      </c>
      <c r="BB28" s="152">
        <v>0.63472222222222219</v>
      </c>
      <c r="BC28" s="152">
        <v>0</v>
      </c>
      <c r="BD28" s="386">
        <v>0.64326388888888886</v>
      </c>
      <c r="BE28" s="386">
        <v>0.64197916666666666</v>
      </c>
      <c r="BF28" s="380" t="s">
        <v>718</v>
      </c>
      <c r="BG28" s="386">
        <v>1.2847185134887695E-3</v>
      </c>
      <c r="BH28" s="387">
        <v>111</v>
      </c>
      <c r="BI28" s="388">
        <v>0.65314814814814814</v>
      </c>
      <c r="BJ28" s="386">
        <v>0.65387731481481481</v>
      </c>
      <c r="BK28" s="384" t="s">
        <v>719</v>
      </c>
      <c r="BL28" s="386">
        <v>7.2914361953735352E-4</v>
      </c>
      <c r="BM28" s="387">
        <v>63</v>
      </c>
      <c r="BN28" s="388">
        <v>0.66523148148148148</v>
      </c>
      <c r="BO28" s="386">
        <v>0.67552083333333324</v>
      </c>
      <c r="BP28" s="384" t="s">
        <v>719</v>
      </c>
      <c r="BQ28" s="386">
        <v>1.0289371013641357E-2</v>
      </c>
      <c r="BR28" s="387">
        <v>600</v>
      </c>
      <c r="BS28" s="390">
        <v>0</v>
      </c>
      <c r="BT28" s="387">
        <v>0</v>
      </c>
      <c r="BU28" s="383">
        <v>0.52777777777777779</v>
      </c>
      <c r="BV28" s="391">
        <v>0</v>
      </c>
      <c r="BW28" s="383">
        <v>0.53263888888888888</v>
      </c>
      <c r="BX28" s="391">
        <v>0</v>
      </c>
      <c r="BY28" s="383">
        <v>0.58124999999999993</v>
      </c>
      <c r="BZ28" s="391">
        <v>0</v>
      </c>
      <c r="CA28" s="383">
        <v>0.59444445371627808</v>
      </c>
      <c r="CB28" s="152">
        <v>0.59583333333333333</v>
      </c>
      <c r="CC28" s="152">
        <v>8.3333333333333332E-3</v>
      </c>
      <c r="CD28" s="384" t="s">
        <v>719</v>
      </c>
      <c r="CE28" s="152">
        <v>1.3889074325561523E-3</v>
      </c>
      <c r="CF28" s="391">
        <v>0</v>
      </c>
    </row>
    <row r="29" spans="1:84" s="367" customFormat="1" x14ac:dyDescent="0.25">
      <c r="A29" s="592">
        <v>22</v>
      </c>
      <c r="B29" s="355" t="s">
        <v>656</v>
      </c>
      <c r="C29" s="355" t="s">
        <v>658</v>
      </c>
      <c r="D29" s="355" t="s">
        <v>661</v>
      </c>
      <c r="E29" s="355" t="s">
        <v>660</v>
      </c>
      <c r="F29" s="355" t="s">
        <v>550</v>
      </c>
      <c r="G29" s="356">
        <v>2610.3000000000002</v>
      </c>
      <c r="H29" s="356">
        <v>0</v>
      </c>
      <c r="I29" s="356">
        <v>2610.3000000000002</v>
      </c>
      <c r="J29" s="356">
        <v>0</v>
      </c>
      <c r="K29" s="357">
        <v>0.51527777777777772</v>
      </c>
      <c r="L29" s="358">
        <v>0.51527777777777783</v>
      </c>
      <c r="M29" s="359" t="s">
        <v>112</v>
      </c>
      <c r="N29" s="358">
        <v>0</v>
      </c>
      <c r="O29" s="360">
        <v>0</v>
      </c>
      <c r="P29" s="358">
        <v>8.3333335816860199E-2</v>
      </c>
      <c r="Q29" s="358">
        <v>2.0833015441894531E-3</v>
      </c>
      <c r="R29" s="357">
        <v>0.59861111359463803</v>
      </c>
      <c r="S29" s="358">
        <v>0.59861111111111109</v>
      </c>
      <c r="T29" s="359" t="s">
        <v>112</v>
      </c>
      <c r="U29" s="358">
        <v>0</v>
      </c>
      <c r="V29" s="360">
        <v>0</v>
      </c>
      <c r="W29" s="358">
        <v>8.3333335816860199E-2</v>
      </c>
      <c r="X29" s="358">
        <v>0</v>
      </c>
      <c r="Y29" s="358">
        <v>0</v>
      </c>
      <c r="Z29" s="357">
        <v>0.68194444692797129</v>
      </c>
      <c r="AA29" s="358">
        <v>0.67499999999999993</v>
      </c>
      <c r="AB29" s="359" t="s">
        <v>718</v>
      </c>
      <c r="AC29" s="358">
        <v>6.9444179534912109E-3</v>
      </c>
      <c r="AD29" s="360">
        <v>0</v>
      </c>
      <c r="AE29" s="357">
        <v>0.54583333333333328</v>
      </c>
      <c r="AF29" s="358">
        <v>0.54791666666666672</v>
      </c>
      <c r="AG29" s="358">
        <v>2.0833015441894531E-3</v>
      </c>
      <c r="AH29" s="362">
        <v>0.56030092592592595</v>
      </c>
      <c r="AI29" s="362">
        <v>0.56027777777777776</v>
      </c>
      <c r="AJ29" s="354" t="s">
        <v>718</v>
      </c>
      <c r="AK29" s="362">
        <v>2.3186206817626953E-5</v>
      </c>
      <c r="AL29" s="363">
        <v>2</v>
      </c>
      <c r="AM29" s="364">
        <v>0.56385416666666666</v>
      </c>
      <c r="AN29" s="362">
        <v>0.56431712962962965</v>
      </c>
      <c r="AO29" s="359" t="s">
        <v>719</v>
      </c>
      <c r="AP29" s="362">
        <v>4.6294927597045898E-4</v>
      </c>
      <c r="AQ29" s="363">
        <v>40</v>
      </c>
      <c r="AR29" s="357">
        <v>0</v>
      </c>
      <c r="AS29" s="358">
        <v>0</v>
      </c>
      <c r="AT29" s="358">
        <v>0</v>
      </c>
      <c r="AU29" s="365">
        <v>56.1</v>
      </c>
      <c r="AV29" s="365">
        <v>0</v>
      </c>
      <c r="AW29" s="365">
        <v>0</v>
      </c>
      <c r="AX29" s="359">
        <v>0</v>
      </c>
      <c r="AY29" s="359">
        <v>0</v>
      </c>
      <c r="AZ29" s="363">
        <v>168.3</v>
      </c>
      <c r="BA29" s="357">
        <v>0</v>
      </c>
      <c r="BB29" s="358">
        <v>0.62916666666666665</v>
      </c>
      <c r="BC29" s="358">
        <v>0</v>
      </c>
      <c r="BD29" s="362">
        <v>0.63770833333333332</v>
      </c>
      <c r="BE29" s="362">
        <v>0.64837962962962969</v>
      </c>
      <c r="BF29" s="354" t="s">
        <v>719</v>
      </c>
      <c r="BG29" s="362">
        <v>1.0671317577362061E-2</v>
      </c>
      <c r="BH29" s="363">
        <v>600</v>
      </c>
      <c r="BI29" s="364">
        <v>0.65954861111111118</v>
      </c>
      <c r="BJ29" s="362">
        <v>0</v>
      </c>
      <c r="BK29" s="359" t="s">
        <v>112</v>
      </c>
      <c r="BL29" s="362">
        <v>0</v>
      </c>
      <c r="BM29" s="363">
        <v>1800</v>
      </c>
      <c r="BN29" s="364">
        <v>0</v>
      </c>
      <c r="BO29" s="362">
        <v>0.65969907407407413</v>
      </c>
      <c r="BP29" s="359" t="s">
        <v>112</v>
      </c>
      <c r="BQ29" s="362">
        <v>0</v>
      </c>
      <c r="BR29" s="363">
        <v>0</v>
      </c>
      <c r="BS29" s="366">
        <v>0</v>
      </c>
      <c r="BT29" s="363">
        <v>0</v>
      </c>
      <c r="BU29" s="357">
        <v>0.52986111111111112</v>
      </c>
      <c r="BV29" s="361">
        <v>0</v>
      </c>
      <c r="BW29" s="357">
        <v>0.53402777777777777</v>
      </c>
      <c r="BX29" s="361">
        <v>0</v>
      </c>
      <c r="BY29" s="357">
        <v>0.5854166666666667</v>
      </c>
      <c r="BZ29" s="361">
        <v>0</v>
      </c>
      <c r="CA29" s="357">
        <v>0.59652775526046753</v>
      </c>
      <c r="CB29" s="358">
        <v>0.59375</v>
      </c>
      <c r="CC29" s="358">
        <v>8.3333333333333332E-3</v>
      </c>
      <c r="CD29" s="359" t="s">
        <v>718</v>
      </c>
      <c r="CE29" s="358">
        <v>2.7777552604675293E-3</v>
      </c>
      <c r="CF29" s="361">
        <v>0</v>
      </c>
    </row>
    <row r="30" spans="1:84" s="22" customFormat="1" hidden="1" x14ac:dyDescent="0.25">
      <c r="A30" s="593">
        <v>21</v>
      </c>
      <c r="B30" s="381" t="s">
        <v>560</v>
      </c>
      <c r="C30" s="381" t="s">
        <v>572</v>
      </c>
      <c r="D30" s="381" t="s">
        <v>583</v>
      </c>
      <c r="E30" s="381" t="s">
        <v>582</v>
      </c>
      <c r="F30" s="381" t="s">
        <v>550</v>
      </c>
      <c r="G30" s="382" t="e">
        <v>#VALUE!</v>
      </c>
      <c r="H30" s="382" t="e">
        <v>#VALUE!</v>
      </c>
      <c r="I30" s="382">
        <v>7200</v>
      </c>
      <c r="J30" s="382">
        <v>0</v>
      </c>
      <c r="K30" s="383">
        <v>0.51458333333333328</v>
      </c>
      <c r="L30" s="152" t="s">
        <v>693</v>
      </c>
      <c r="M30" s="384" t="e">
        <v>#VALUE!</v>
      </c>
      <c r="N30" s="152" t="e">
        <v>#VALUE!</v>
      </c>
      <c r="O30" s="385" t="e">
        <v>#VALUE!</v>
      </c>
      <c r="P30" s="152">
        <v>8.3333335816860199E-2</v>
      </c>
      <c r="Q30" s="152">
        <v>0</v>
      </c>
      <c r="R30" s="383" t="e">
        <v>#VALUE!</v>
      </c>
      <c r="S30" s="152">
        <v>0</v>
      </c>
      <c r="T30" s="384" t="s">
        <v>112</v>
      </c>
      <c r="U30" s="152">
        <v>0</v>
      </c>
      <c r="V30" s="385">
        <v>900</v>
      </c>
      <c r="W30" s="152">
        <v>8.3333335816860199E-2</v>
      </c>
      <c r="X30" s="152">
        <v>0</v>
      </c>
      <c r="Y30" s="152">
        <v>0</v>
      </c>
      <c r="Z30" s="383" t="e">
        <v>#VALUE!</v>
      </c>
      <c r="AA30" s="152">
        <v>0</v>
      </c>
      <c r="AB30" s="384" t="s">
        <v>112</v>
      </c>
      <c r="AC30" s="152">
        <v>0</v>
      </c>
      <c r="AD30" s="385" t="s">
        <v>723</v>
      </c>
      <c r="AE30" s="383">
        <v>0</v>
      </c>
      <c r="AF30" s="152">
        <v>0</v>
      </c>
      <c r="AG30" s="152">
        <v>0</v>
      </c>
      <c r="AH30" s="386">
        <v>0</v>
      </c>
      <c r="AI30" s="386">
        <v>0</v>
      </c>
      <c r="AJ30" s="380" t="s">
        <v>112</v>
      </c>
      <c r="AK30" s="386">
        <v>0</v>
      </c>
      <c r="AL30" s="387">
        <v>1800</v>
      </c>
      <c r="AM30" s="388">
        <v>0</v>
      </c>
      <c r="AN30" s="386">
        <v>0</v>
      </c>
      <c r="AO30" s="384" t="s">
        <v>112</v>
      </c>
      <c r="AP30" s="386">
        <v>0</v>
      </c>
      <c r="AQ30" s="387">
        <v>0</v>
      </c>
      <c r="AR30" s="383">
        <v>0</v>
      </c>
      <c r="AS30" s="152">
        <v>0</v>
      </c>
      <c r="AT30" s="152">
        <v>0</v>
      </c>
      <c r="AU30" s="389">
        <v>0</v>
      </c>
      <c r="AV30" s="389">
        <v>0</v>
      </c>
      <c r="AW30" s="389">
        <v>0</v>
      </c>
      <c r="AX30" s="384">
        <v>0</v>
      </c>
      <c r="AY30" s="384">
        <v>0</v>
      </c>
      <c r="AZ30" s="387">
        <v>1800</v>
      </c>
      <c r="BA30" s="383">
        <v>0</v>
      </c>
      <c r="BB30" s="152">
        <v>0</v>
      </c>
      <c r="BC30" s="152">
        <v>0</v>
      </c>
      <c r="BD30" s="386">
        <v>0</v>
      </c>
      <c r="BE30" s="386">
        <v>0</v>
      </c>
      <c r="BF30" s="380" t="s">
        <v>112</v>
      </c>
      <c r="BG30" s="386">
        <v>0</v>
      </c>
      <c r="BH30" s="387">
        <v>1800</v>
      </c>
      <c r="BI30" s="388">
        <v>0</v>
      </c>
      <c r="BJ30" s="386">
        <v>0</v>
      </c>
      <c r="BK30" s="384" t="s">
        <v>112</v>
      </c>
      <c r="BL30" s="386">
        <v>0</v>
      </c>
      <c r="BM30" s="387">
        <v>1800</v>
      </c>
      <c r="BN30" s="388">
        <v>0</v>
      </c>
      <c r="BO30" s="386">
        <v>0</v>
      </c>
      <c r="BP30" s="384" t="s">
        <v>112</v>
      </c>
      <c r="BQ30" s="386">
        <v>0</v>
      </c>
      <c r="BR30" s="387">
        <v>0</v>
      </c>
      <c r="BS30" s="390">
        <v>0</v>
      </c>
      <c r="BT30" s="387">
        <v>0</v>
      </c>
      <c r="BU30" s="383">
        <v>0</v>
      </c>
      <c r="BV30" s="391">
        <v>900</v>
      </c>
      <c r="BW30" s="383">
        <v>0</v>
      </c>
      <c r="BX30" s="391">
        <v>900</v>
      </c>
      <c r="BY30" s="383">
        <v>0</v>
      </c>
      <c r="BZ30" s="391">
        <v>900</v>
      </c>
      <c r="CA30" s="383" t="e">
        <v>#VALUE!</v>
      </c>
      <c r="CB30" s="152">
        <v>0</v>
      </c>
      <c r="CC30" s="152">
        <v>8.3333333333333332E-3</v>
      </c>
      <c r="CD30" s="384" t="e">
        <v>#VALUE!</v>
      </c>
      <c r="CE30" s="152">
        <v>0</v>
      </c>
      <c r="CF30" s="391">
        <v>900</v>
      </c>
    </row>
    <row r="31" spans="1:84" s="367" customFormat="1" x14ac:dyDescent="0.25">
      <c r="A31" s="593">
        <v>5</v>
      </c>
      <c r="B31" s="381" t="s">
        <v>562</v>
      </c>
      <c r="C31" s="381" t="s">
        <v>573</v>
      </c>
      <c r="D31" s="381" t="s">
        <v>585</v>
      </c>
      <c r="E31" s="381" t="s">
        <v>721</v>
      </c>
      <c r="F31" s="381" t="s">
        <v>549</v>
      </c>
      <c r="G31" s="382">
        <v>124.5</v>
      </c>
      <c r="H31" s="382">
        <v>0</v>
      </c>
      <c r="I31" s="382">
        <v>124.5</v>
      </c>
      <c r="J31" s="382">
        <v>0</v>
      </c>
      <c r="K31" s="383">
        <v>0.50347222222222221</v>
      </c>
      <c r="L31" s="152">
        <v>0.50347222222222221</v>
      </c>
      <c r="M31" s="384" t="s">
        <v>112</v>
      </c>
      <c r="N31" s="152">
        <v>0</v>
      </c>
      <c r="O31" s="385">
        <v>0</v>
      </c>
      <c r="P31" s="152">
        <v>8.3333335816860199E-2</v>
      </c>
      <c r="Q31" s="152">
        <v>0</v>
      </c>
      <c r="R31" s="383">
        <v>0.58680555803908241</v>
      </c>
      <c r="S31" s="152">
        <v>0.58680555555555558</v>
      </c>
      <c r="T31" s="384" t="s">
        <v>112</v>
      </c>
      <c r="U31" s="152">
        <v>0</v>
      </c>
      <c r="V31" s="385">
        <v>0</v>
      </c>
      <c r="W31" s="152">
        <v>8.3333335816860199E-2</v>
      </c>
      <c r="X31" s="152">
        <v>4.1666626930236816E-3</v>
      </c>
      <c r="Y31" s="152">
        <v>4.1666626930236816E-3</v>
      </c>
      <c r="Z31" s="383">
        <v>0.67013889137241578</v>
      </c>
      <c r="AA31" s="152">
        <v>0.6645833333333333</v>
      </c>
      <c r="AB31" s="384" t="s">
        <v>718</v>
      </c>
      <c r="AC31" s="152">
        <v>5.555570125579834E-3</v>
      </c>
      <c r="AD31" s="385">
        <v>0</v>
      </c>
      <c r="AE31" s="383">
        <v>0</v>
      </c>
      <c r="AF31" s="152">
        <v>0.52986111111111112</v>
      </c>
      <c r="AG31" s="152">
        <v>0</v>
      </c>
      <c r="AH31" s="386">
        <v>0.54224537037037035</v>
      </c>
      <c r="AI31" s="386">
        <v>0.54224537037037035</v>
      </c>
      <c r="AJ31" s="380" t="s">
        <v>112</v>
      </c>
      <c r="AK31" s="386">
        <v>0</v>
      </c>
      <c r="AL31" s="387">
        <v>0</v>
      </c>
      <c r="AM31" s="388">
        <v>0.54582175925925924</v>
      </c>
      <c r="AN31" s="386">
        <v>0.54583333333333328</v>
      </c>
      <c r="AO31" s="384" t="s">
        <v>719</v>
      </c>
      <c r="AP31" s="386">
        <v>1.1563301086425781E-5</v>
      </c>
      <c r="AQ31" s="387">
        <v>1</v>
      </c>
      <c r="AR31" s="383">
        <v>0</v>
      </c>
      <c r="AS31" s="152">
        <v>0</v>
      </c>
      <c r="AT31" s="152">
        <v>0</v>
      </c>
      <c r="AU31" s="389">
        <v>28.5</v>
      </c>
      <c r="AV31" s="389">
        <v>0</v>
      </c>
      <c r="AW31" s="389">
        <v>2</v>
      </c>
      <c r="AX31" s="384">
        <v>0</v>
      </c>
      <c r="AY31" s="384">
        <v>0</v>
      </c>
      <c r="AZ31" s="387">
        <v>115.5</v>
      </c>
      <c r="BA31" s="383">
        <v>0.60763888888888895</v>
      </c>
      <c r="BB31" s="152">
        <v>0.6118055555555556</v>
      </c>
      <c r="BC31" s="152">
        <v>4.1666626930236816E-3</v>
      </c>
      <c r="BD31" s="386">
        <v>0.62034722222222227</v>
      </c>
      <c r="BE31" s="386">
        <v>0.62040509259259258</v>
      </c>
      <c r="BF31" s="380" t="s">
        <v>719</v>
      </c>
      <c r="BG31" s="386">
        <v>5.7876110076904297E-5</v>
      </c>
      <c r="BH31" s="387">
        <v>5</v>
      </c>
      <c r="BI31" s="388">
        <v>0.63157407407407407</v>
      </c>
      <c r="BJ31" s="386">
        <v>0.63156250000000003</v>
      </c>
      <c r="BK31" s="384" t="s">
        <v>718</v>
      </c>
      <c r="BL31" s="386">
        <v>1.1622905731201172E-5</v>
      </c>
      <c r="BM31" s="387">
        <v>1</v>
      </c>
      <c r="BN31" s="388">
        <v>0.64291666666666669</v>
      </c>
      <c r="BO31" s="386">
        <v>0.6428935185185185</v>
      </c>
      <c r="BP31" s="384" t="s">
        <v>718</v>
      </c>
      <c r="BQ31" s="386">
        <v>2.3186206817626953E-5</v>
      </c>
      <c r="BR31" s="387">
        <v>2</v>
      </c>
      <c r="BS31" s="390">
        <v>0</v>
      </c>
      <c r="BT31" s="387">
        <v>0</v>
      </c>
      <c r="BU31" s="383">
        <v>0.51736111111111105</v>
      </c>
      <c r="BV31" s="391">
        <v>0</v>
      </c>
      <c r="BW31" s="383">
        <v>0.52083333333333337</v>
      </c>
      <c r="BX31" s="391">
        <v>0</v>
      </c>
      <c r="BY31" s="383">
        <v>0.56736111111111109</v>
      </c>
      <c r="BZ31" s="391">
        <v>0</v>
      </c>
      <c r="CA31" s="383">
        <v>0.58472222089767456</v>
      </c>
      <c r="CB31" s="152">
        <v>0.57986111111111105</v>
      </c>
      <c r="CC31" s="152">
        <v>8.3333333333333332E-3</v>
      </c>
      <c r="CD31" s="384" t="s">
        <v>718</v>
      </c>
      <c r="CE31" s="152">
        <v>4.8611164093017578E-3</v>
      </c>
      <c r="CF31" s="391">
        <v>0</v>
      </c>
    </row>
    <row r="32" spans="1:84" s="22" customFormat="1" x14ac:dyDescent="0.25">
      <c r="A32" s="593">
        <v>1</v>
      </c>
      <c r="B32" s="381" t="s">
        <v>551</v>
      </c>
      <c r="C32" s="381" t="s">
        <v>568</v>
      </c>
      <c r="D32" s="381" t="s">
        <v>577</v>
      </c>
      <c r="E32" s="381" t="s">
        <v>208</v>
      </c>
      <c r="F32" s="381" t="s">
        <v>549</v>
      </c>
      <c r="G32" s="382">
        <v>577.5</v>
      </c>
      <c r="H32" s="382">
        <v>0</v>
      </c>
      <c r="I32" s="382">
        <v>577.5</v>
      </c>
      <c r="J32" s="382">
        <v>0</v>
      </c>
      <c r="K32" s="383">
        <v>0.52013888888888882</v>
      </c>
      <c r="L32" s="152">
        <v>0.52013888888888882</v>
      </c>
      <c r="M32" s="384" t="s">
        <v>112</v>
      </c>
      <c r="N32" s="152">
        <v>0</v>
      </c>
      <c r="O32" s="385">
        <v>0</v>
      </c>
      <c r="P32" s="152">
        <v>8.3333335816860199E-2</v>
      </c>
      <c r="Q32" s="152">
        <v>2.0833611488342285E-3</v>
      </c>
      <c r="R32" s="383">
        <v>0.60347222470574902</v>
      </c>
      <c r="S32" s="152">
        <v>0.60347222222222219</v>
      </c>
      <c r="T32" s="384" t="s">
        <v>112</v>
      </c>
      <c r="U32" s="152">
        <v>0</v>
      </c>
      <c r="V32" s="385">
        <v>0</v>
      </c>
      <c r="W32" s="152">
        <v>8.3333335816860199E-2</v>
      </c>
      <c r="X32" s="152">
        <v>1.7361111111111049E-2</v>
      </c>
      <c r="Y32" s="152">
        <v>1.7361111111111049E-2</v>
      </c>
      <c r="Z32" s="383">
        <v>0.68680555803908239</v>
      </c>
      <c r="AA32" s="152">
        <v>0.69305555555555554</v>
      </c>
      <c r="AB32" s="384" t="s">
        <v>719</v>
      </c>
      <c r="AC32" s="152">
        <v>6.2500238418579102E-3</v>
      </c>
      <c r="AD32" s="385">
        <v>0</v>
      </c>
      <c r="AE32" s="383">
        <v>0.54791666666666672</v>
      </c>
      <c r="AF32" s="152">
        <v>0.54999999999999993</v>
      </c>
      <c r="AG32" s="152">
        <v>2.0833611488342285E-3</v>
      </c>
      <c r="AH32" s="386">
        <v>0.56238425925925917</v>
      </c>
      <c r="AI32" s="386">
        <v>0.56440972222222219</v>
      </c>
      <c r="AJ32" s="380" t="s">
        <v>719</v>
      </c>
      <c r="AK32" s="386">
        <v>2.0254850387573242E-3</v>
      </c>
      <c r="AL32" s="387">
        <v>175</v>
      </c>
      <c r="AM32" s="388">
        <v>0.56798611111111108</v>
      </c>
      <c r="AN32" s="386">
        <v>0.5680439814814815</v>
      </c>
      <c r="AO32" s="384" t="s">
        <v>719</v>
      </c>
      <c r="AP32" s="386">
        <v>5.7876110076904297E-5</v>
      </c>
      <c r="AQ32" s="387">
        <v>5</v>
      </c>
      <c r="AR32" s="383">
        <v>0.62083333333333335</v>
      </c>
      <c r="AS32" s="152">
        <v>0.6381944444444444</v>
      </c>
      <c r="AT32" s="152">
        <v>1.7361111111111049E-2</v>
      </c>
      <c r="AU32" s="389">
        <v>111.5</v>
      </c>
      <c r="AV32" s="389">
        <v>0</v>
      </c>
      <c r="AW32" s="389">
        <v>0</v>
      </c>
      <c r="AX32" s="384">
        <v>0</v>
      </c>
      <c r="AY32" s="384">
        <v>0</v>
      </c>
      <c r="AZ32" s="387">
        <v>334.5</v>
      </c>
      <c r="BA32" s="383">
        <v>0</v>
      </c>
      <c r="BB32" s="152">
        <v>0.64583333333333337</v>
      </c>
      <c r="BC32" s="152">
        <v>0</v>
      </c>
      <c r="BD32" s="386">
        <v>0.65437500000000004</v>
      </c>
      <c r="BE32" s="386">
        <v>0.65487268518518515</v>
      </c>
      <c r="BF32" s="380" t="s">
        <v>719</v>
      </c>
      <c r="BG32" s="386">
        <v>4.9763917922973633E-4</v>
      </c>
      <c r="BH32" s="387">
        <v>43</v>
      </c>
      <c r="BI32" s="388">
        <v>0.66604166666666664</v>
      </c>
      <c r="BJ32" s="386">
        <v>0.66621527777777778</v>
      </c>
      <c r="BK32" s="384" t="s">
        <v>719</v>
      </c>
      <c r="BL32" s="386">
        <v>1.7362833023071289E-4</v>
      </c>
      <c r="BM32" s="387">
        <v>15</v>
      </c>
      <c r="BN32" s="388">
        <v>0.67756944444444445</v>
      </c>
      <c r="BO32" s="386">
        <v>0.67762731481481486</v>
      </c>
      <c r="BP32" s="384" t="s">
        <v>719</v>
      </c>
      <c r="BQ32" s="386">
        <v>5.7876110076904297E-5</v>
      </c>
      <c r="BR32" s="387">
        <v>5</v>
      </c>
      <c r="BS32" s="390">
        <v>0</v>
      </c>
      <c r="BT32" s="387">
        <v>0</v>
      </c>
      <c r="BU32" s="383">
        <v>0.53333333333333333</v>
      </c>
      <c r="BV32" s="391">
        <v>0</v>
      </c>
      <c r="BW32" s="383">
        <v>0.53749999999999998</v>
      </c>
      <c r="BX32" s="391">
        <v>0</v>
      </c>
      <c r="BY32" s="383">
        <v>0.59166666666666667</v>
      </c>
      <c r="BZ32" s="391">
        <v>0</v>
      </c>
      <c r="CA32" s="383">
        <v>0.60138887166976929</v>
      </c>
      <c r="CB32" s="152">
        <v>0.6020833333333333</v>
      </c>
      <c r="CC32" s="152">
        <v>8.3333333333333332E-3</v>
      </c>
      <c r="CD32" s="384" t="s">
        <v>719</v>
      </c>
      <c r="CE32" s="152">
        <v>6.9445371627807617E-4</v>
      </c>
      <c r="CF32" s="391">
        <v>0</v>
      </c>
    </row>
    <row r="33" spans="1:84" s="367" customFormat="1" x14ac:dyDescent="0.25">
      <c r="A33" s="593">
        <v>7</v>
      </c>
      <c r="B33" s="381" t="s">
        <v>566</v>
      </c>
      <c r="C33" s="381" t="s">
        <v>575</v>
      </c>
      <c r="D33" s="381" t="s">
        <v>587</v>
      </c>
      <c r="E33" s="381" t="s">
        <v>722</v>
      </c>
      <c r="F33" s="381" t="s">
        <v>549</v>
      </c>
      <c r="G33" s="382">
        <v>862.3</v>
      </c>
      <c r="H33" s="382">
        <v>0</v>
      </c>
      <c r="I33" s="382">
        <v>862.3</v>
      </c>
      <c r="J33" s="382">
        <v>0</v>
      </c>
      <c r="K33" s="383">
        <v>0.50486111111111109</v>
      </c>
      <c r="L33" s="152">
        <v>0.50486111111111109</v>
      </c>
      <c r="M33" s="384" t="s">
        <v>112</v>
      </c>
      <c r="N33" s="152">
        <v>0</v>
      </c>
      <c r="O33" s="385">
        <v>0</v>
      </c>
      <c r="P33" s="152">
        <v>8.3333335816860199E-2</v>
      </c>
      <c r="Q33" s="152">
        <v>0</v>
      </c>
      <c r="R33" s="383">
        <v>0.58819444692797129</v>
      </c>
      <c r="S33" s="152">
        <v>0.58819444444444446</v>
      </c>
      <c r="T33" s="384" t="s">
        <v>112</v>
      </c>
      <c r="U33" s="152">
        <v>0</v>
      </c>
      <c r="V33" s="385">
        <v>0</v>
      </c>
      <c r="W33" s="152">
        <v>8.3333335816860199E-2</v>
      </c>
      <c r="X33" s="152">
        <v>0</v>
      </c>
      <c r="Y33" s="152">
        <v>0</v>
      </c>
      <c r="Z33" s="383">
        <v>0.67152778026130466</v>
      </c>
      <c r="AA33" s="152">
        <v>0.66736111111111107</v>
      </c>
      <c r="AB33" s="384" t="s">
        <v>718</v>
      </c>
      <c r="AC33" s="152">
        <v>4.1666626930236816E-3</v>
      </c>
      <c r="AD33" s="385">
        <v>0</v>
      </c>
      <c r="AE33" s="383">
        <v>0</v>
      </c>
      <c r="AF33" s="152">
        <v>0.53402777777777777</v>
      </c>
      <c r="AG33" s="152">
        <v>0</v>
      </c>
      <c r="AH33" s="386">
        <v>0.546412037037037</v>
      </c>
      <c r="AI33" s="386">
        <v>0.54736111111111108</v>
      </c>
      <c r="AJ33" s="380" t="s">
        <v>719</v>
      </c>
      <c r="AK33" s="386">
        <v>9.4908475875854492E-4</v>
      </c>
      <c r="AL33" s="387">
        <v>82</v>
      </c>
      <c r="AM33" s="388">
        <v>0.55093749999999997</v>
      </c>
      <c r="AN33" s="386">
        <v>0.55094907407407401</v>
      </c>
      <c r="AO33" s="384" t="s">
        <v>719</v>
      </c>
      <c r="AP33" s="386">
        <v>1.1622905731201172E-5</v>
      </c>
      <c r="AQ33" s="387">
        <v>1</v>
      </c>
      <c r="AR33" s="383">
        <v>0</v>
      </c>
      <c r="AS33" s="152">
        <v>0.60833333333333328</v>
      </c>
      <c r="AT33" s="152">
        <v>0</v>
      </c>
      <c r="AU33" s="389">
        <v>30.1</v>
      </c>
      <c r="AV33" s="389">
        <v>0</v>
      </c>
      <c r="AW33" s="389">
        <v>0</v>
      </c>
      <c r="AX33" s="384">
        <v>0</v>
      </c>
      <c r="AY33" s="384" t="s">
        <v>705</v>
      </c>
      <c r="AZ33" s="387">
        <v>150.30000000000001</v>
      </c>
      <c r="BA33" s="383">
        <v>0</v>
      </c>
      <c r="BB33" s="152">
        <v>0.61527777777777781</v>
      </c>
      <c r="BC33" s="152">
        <v>0</v>
      </c>
      <c r="BD33" s="386">
        <v>0.62381944444444448</v>
      </c>
      <c r="BE33" s="386">
        <v>0.62988425925925928</v>
      </c>
      <c r="BF33" s="380" t="s">
        <v>719</v>
      </c>
      <c r="BG33" s="386">
        <v>6.0647726058959961E-3</v>
      </c>
      <c r="BH33" s="387">
        <v>524</v>
      </c>
      <c r="BI33" s="388">
        <v>0.64105324074074077</v>
      </c>
      <c r="BJ33" s="386">
        <v>0.64143518518518516</v>
      </c>
      <c r="BK33" s="384" t="s">
        <v>719</v>
      </c>
      <c r="BL33" s="386">
        <v>3.8194656372070313E-4</v>
      </c>
      <c r="BM33" s="387">
        <v>33</v>
      </c>
      <c r="BN33" s="388">
        <v>0.65278935185185183</v>
      </c>
      <c r="BO33" s="386">
        <v>0.65362268518518518</v>
      </c>
      <c r="BP33" s="384" t="s">
        <v>719</v>
      </c>
      <c r="BQ33" s="386">
        <v>8.3333253860473633E-4</v>
      </c>
      <c r="BR33" s="387">
        <v>72</v>
      </c>
      <c r="BS33" s="390">
        <v>0</v>
      </c>
      <c r="BT33" s="387">
        <v>0</v>
      </c>
      <c r="BU33" s="383">
        <v>0.52083333333333337</v>
      </c>
      <c r="BV33" s="391">
        <v>0</v>
      </c>
      <c r="BW33" s="383">
        <v>0.52430555555555558</v>
      </c>
      <c r="BX33" s="391">
        <v>0</v>
      </c>
      <c r="BY33" s="383">
        <v>0.57430555555555551</v>
      </c>
      <c r="BZ33" s="391">
        <v>0</v>
      </c>
      <c r="CA33" s="383">
        <v>0.58611112833023071</v>
      </c>
      <c r="CB33" s="152">
        <v>0.58124999999999993</v>
      </c>
      <c r="CC33" s="152">
        <v>8.3333333333333332E-3</v>
      </c>
      <c r="CD33" s="384" t="s">
        <v>718</v>
      </c>
      <c r="CE33" s="152">
        <v>4.8611164093017578E-3</v>
      </c>
      <c r="CF33" s="391">
        <v>0</v>
      </c>
    </row>
    <row r="34" spans="1:84" s="22" customFormat="1" x14ac:dyDescent="0.25">
      <c r="A34" s="592">
        <v>6</v>
      </c>
      <c r="B34" s="355" t="s">
        <v>564</v>
      </c>
      <c r="C34" s="355" t="s">
        <v>574</v>
      </c>
      <c r="D34" s="355" t="s">
        <v>586</v>
      </c>
      <c r="E34" s="355" t="s">
        <v>208</v>
      </c>
      <c r="F34" s="355" t="s">
        <v>549</v>
      </c>
      <c r="G34" s="356">
        <v>2525.1</v>
      </c>
      <c r="H34" s="356">
        <v>0</v>
      </c>
      <c r="I34" s="356">
        <v>2525.1</v>
      </c>
      <c r="J34" s="356">
        <v>0</v>
      </c>
      <c r="K34" s="357">
        <v>0.50416666666666665</v>
      </c>
      <c r="L34" s="358">
        <v>0.50416666666666665</v>
      </c>
      <c r="M34" s="359" t="s">
        <v>112</v>
      </c>
      <c r="N34" s="358">
        <v>0</v>
      </c>
      <c r="O34" s="360">
        <v>0</v>
      </c>
      <c r="P34" s="358">
        <v>8.3333335816860199E-2</v>
      </c>
      <c r="Q34" s="358">
        <v>0</v>
      </c>
      <c r="R34" s="357">
        <v>0.58750000248352685</v>
      </c>
      <c r="S34" s="358">
        <v>0.58750000000000002</v>
      </c>
      <c r="T34" s="359" t="s">
        <v>112</v>
      </c>
      <c r="U34" s="358">
        <v>0</v>
      </c>
      <c r="V34" s="360">
        <v>0</v>
      </c>
      <c r="W34" s="358">
        <v>8.3333335816860199E-2</v>
      </c>
      <c r="X34" s="358">
        <v>0</v>
      </c>
      <c r="Y34" s="358">
        <v>0</v>
      </c>
      <c r="Z34" s="357">
        <v>0.67083333581686022</v>
      </c>
      <c r="AA34" s="358">
        <v>0.66388888888888886</v>
      </c>
      <c r="AB34" s="359" t="s">
        <v>718</v>
      </c>
      <c r="AC34" s="358">
        <v>6.9444775581359863E-3</v>
      </c>
      <c r="AD34" s="360">
        <v>0</v>
      </c>
      <c r="AE34" s="357">
        <v>0</v>
      </c>
      <c r="AF34" s="358">
        <v>0.53680555555555554</v>
      </c>
      <c r="AG34" s="358">
        <v>0</v>
      </c>
      <c r="AH34" s="362">
        <v>0.54918981481481477</v>
      </c>
      <c r="AI34" s="362">
        <v>0.54951388888888886</v>
      </c>
      <c r="AJ34" s="354" t="s">
        <v>719</v>
      </c>
      <c r="AK34" s="362">
        <v>3.2407045364379883E-4</v>
      </c>
      <c r="AL34" s="363">
        <v>28</v>
      </c>
      <c r="AM34" s="364">
        <v>0.55309027777777775</v>
      </c>
      <c r="AN34" s="362">
        <v>0.55306712962962956</v>
      </c>
      <c r="AO34" s="359" t="s">
        <v>718</v>
      </c>
      <c r="AP34" s="362">
        <v>2.3126602172851563E-5</v>
      </c>
      <c r="AQ34" s="363">
        <v>2</v>
      </c>
      <c r="AR34" s="357">
        <v>0</v>
      </c>
      <c r="AS34" s="358">
        <v>0</v>
      </c>
      <c r="AT34" s="358">
        <v>0</v>
      </c>
      <c r="AU34" s="365">
        <v>21.7</v>
      </c>
      <c r="AV34" s="365">
        <v>0</v>
      </c>
      <c r="AW34" s="365">
        <v>2</v>
      </c>
      <c r="AX34" s="359">
        <v>0</v>
      </c>
      <c r="AY34" s="359">
        <v>0</v>
      </c>
      <c r="AZ34" s="363">
        <v>95.1</v>
      </c>
      <c r="BA34" s="357">
        <v>0</v>
      </c>
      <c r="BB34" s="358">
        <v>0.61319444444444449</v>
      </c>
      <c r="BC34" s="358">
        <v>0</v>
      </c>
      <c r="BD34" s="362">
        <v>0.62173611111111116</v>
      </c>
      <c r="BE34" s="362">
        <v>0.63062499999999999</v>
      </c>
      <c r="BF34" s="354" t="s">
        <v>719</v>
      </c>
      <c r="BG34" s="362">
        <v>8.8889002799987793E-3</v>
      </c>
      <c r="BH34" s="363">
        <v>600</v>
      </c>
      <c r="BI34" s="364">
        <v>0.64179398148148148</v>
      </c>
      <c r="BJ34" s="362">
        <v>0</v>
      </c>
      <c r="BK34" s="359" t="s">
        <v>112</v>
      </c>
      <c r="BL34" s="362">
        <v>0</v>
      </c>
      <c r="BM34" s="363">
        <v>1800</v>
      </c>
      <c r="BN34" s="364">
        <v>0</v>
      </c>
      <c r="BO34" s="362">
        <v>0.64148148148148143</v>
      </c>
      <c r="BP34" s="359" t="s">
        <v>112</v>
      </c>
      <c r="BQ34" s="362">
        <v>0</v>
      </c>
      <c r="BR34" s="363">
        <v>0</v>
      </c>
      <c r="BS34" s="366">
        <v>0</v>
      </c>
      <c r="BT34" s="363">
        <v>0</v>
      </c>
      <c r="BU34" s="357">
        <v>0.52083333333333337</v>
      </c>
      <c r="BV34" s="361">
        <v>0</v>
      </c>
      <c r="BW34" s="357">
        <v>0.52569444444444446</v>
      </c>
      <c r="BX34" s="361">
        <v>0</v>
      </c>
      <c r="BY34" s="357">
        <v>0.57430555555555551</v>
      </c>
      <c r="BZ34" s="361">
        <v>0</v>
      </c>
      <c r="CA34" s="357">
        <v>0.58541667461395264</v>
      </c>
      <c r="CB34" s="358">
        <v>0.58333333333333337</v>
      </c>
      <c r="CC34" s="358">
        <v>8.3333333333333332E-3</v>
      </c>
      <c r="CD34" s="359" t="s">
        <v>718</v>
      </c>
      <c r="CE34" s="358">
        <v>2.0833611488342285E-3</v>
      </c>
      <c r="CF34" s="361">
        <v>0</v>
      </c>
    </row>
    <row r="35" spans="1:84" s="367" customFormat="1" x14ac:dyDescent="0.25">
      <c r="A35" s="592">
        <v>4</v>
      </c>
      <c r="B35" s="355" t="s">
        <v>558</v>
      </c>
      <c r="C35" s="355" t="s">
        <v>571</v>
      </c>
      <c r="D35" s="355" t="s">
        <v>581</v>
      </c>
      <c r="E35" s="355" t="s">
        <v>208</v>
      </c>
      <c r="F35" s="355" t="s">
        <v>549</v>
      </c>
      <c r="G35" s="356">
        <v>2549.1</v>
      </c>
      <c r="H35" s="356">
        <v>0</v>
      </c>
      <c r="I35" s="356">
        <v>2549.1</v>
      </c>
      <c r="J35" s="356">
        <v>0</v>
      </c>
      <c r="K35" s="357">
        <v>0.50277777777777777</v>
      </c>
      <c r="L35" s="358">
        <v>0.50277777777777777</v>
      </c>
      <c r="M35" s="359" t="s">
        <v>112</v>
      </c>
      <c r="N35" s="358">
        <v>0</v>
      </c>
      <c r="O35" s="360">
        <v>0</v>
      </c>
      <c r="P35" s="358">
        <v>8.3333335816860199E-2</v>
      </c>
      <c r="Q35" s="358">
        <v>1.3889074325561523E-3</v>
      </c>
      <c r="R35" s="357">
        <v>0.58611111359463797</v>
      </c>
      <c r="S35" s="358">
        <v>0.58611111111111114</v>
      </c>
      <c r="T35" s="359" t="s">
        <v>112</v>
      </c>
      <c r="U35" s="358">
        <v>0</v>
      </c>
      <c r="V35" s="360">
        <v>0</v>
      </c>
      <c r="W35" s="358">
        <v>8.3333335816860199E-2</v>
      </c>
      <c r="X35" s="358">
        <v>5.555570125579834E-3</v>
      </c>
      <c r="Y35" s="358">
        <v>5.555570125579834E-3</v>
      </c>
      <c r="Z35" s="357">
        <v>0.66944444692797134</v>
      </c>
      <c r="AA35" s="358">
        <v>0.66249999999999998</v>
      </c>
      <c r="AB35" s="359" t="s">
        <v>718</v>
      </c>
      <c r="AC35" s="358">
        <v>6.9444179534912109E-3</v>
      </c>
      <c r="AD35" s="360">
        <v>0</v>
      </c>
      <c r="AE35" s="357">
        <v>0.53194444444444444</v>
      </c>
      <c r="AF35" s="358">
        <v>0.53333333333333333</v>
      </c>
      <c r="AG35" s="358">
        <v>1.3889074325561523E-3</v>
      </c>
      <c r="AH35" s="362">
        <v>0.54571759259259256</v>
      </c>
      <c r="AI35" s="362">
        <v>0.54592592592592593</v>
      </c>
      <c r="AJ35" s="354" t="s">
        <v>719</v>
      </c>
      <c r="AK35" s="362">
        <v>2.0831823348999023E-4</v>
      </c>
      <c r="AL35" s="363">
        <v>18</v>
      </c>
      <c r="AM35" s="364">
        <v>0.54950231481481482</v>
      </c>
      <c r="AN35" s="362">
        <v>0.54953703703703705</v>
      </c>
      <c r="AO35" s="359" t="s">
        <v>719</v>
      </c>
      <c r="AP35" s="362">
        <v>3.4749507904052734E-5</v>
      </c>
      <c r="AQ35" s="363">
        <v>3</v>
      </c>
      <c r="AR35" s="357">
        <v>0</v>
      </c>
      <c r="AS35" s="358">
        <v>0.60069444444444442</v>
      </c>
      <c r="AT35" s="358">
        <v>0</v>
      </c>
      <c r="AU35" s="365">
        <v>7.7</v>
      </c>
      <c r="AV35" s="365">
        <v>0</v>
      </c>
      <c r="AW35" s="365">
        <v>3</v>
      </c>
      <c r="AX35" s="359">
        <v>0</v>
      </c>
      <c r="AY35" s="359" t="s">
        <v>705</v>
      </c>
      <c r="AZ35" s="363">
        <v>128.1</v>
      </c>
      <c r="BA35" s="357">
        <v>0.60555555555555551</v>
      </c>
      <c r="BB35" s="358">
        <v>0.61111111111111105</v>
      </c>
      <c r="BC35" s="358">
        <v>5.555570125579834E-3</v>
      </c>
      <c r="BD35" s="362">
        <v>0.61965277777777772</v>
      </c>
      <c r="BE35" s="362">
        <v>0.58716435185185178</v>
      </c>
      <c r="BF35" s="354" t="s">
        <v>718</v>
      </c>
      <c r="BG35" s="362">
        <v>3.2488405704498291E-2</v>
      </c>
      <c r="BH35" s="363">
        <v>600</v>
      </c>
      <c r="BI35" s="364">
        <v>0.59833333333333327</v>
      </c>
      <c r="BJ35" s="362">
        <v>0</v>
      </c>
      <c r="BK35" s="359" t="s">
        <v>112</v>
      </c>
      <c r="BL35" s="362">
        <v>0</v>
      </c>
      <c r="BM35" s="363">
        <v>1800</v>
      </c>
      <c r="BN35" s="364">
        <v>0</v>
      </c>
      <c r="BO35" s="362">
        <v>0.64020833333333338</v>
      </c>
      <c r="BP35" s="359" t="s">
        <v>112</v>
      </c>
      <c r="BQ35" s="362">
        <v>0</v>
      </c>
      <c r="BR35" s="363">
        <v>0</v>
      </c>
      <c r="BS35" s="366">
        <v>0</v>
      </c>
      <c r="BT35" s="363">
        <v>0</v>
      </c>
      <c r="BU35" s="357">
        <v>0.51944444444444449</v>
      </c>
      <c r="BV35" s="361">
        <v>0</v>
      </c>
      <c r="BW35" s="357">
        <v>0.5229166666666667</v>
      </c>
      <c r="BX35" s="361">
        <v>0</v>
      </c>
      <c r="BY35" s="357">
        <v>0.57222222222222219</v>
      </c>
      <c r="BZ35" s="361">
        <v>0</v>
      </c>
      <c r="CA35" s="357">
        <v>0.58402776718139648</v>
      </c>
      <c r="CB35" s="358">
        <v>0.57986111111111105</v>
      </c>
      <c r="CC35" s="358">
        <v>8.3333333333333332E-3</v>
      </c>
      <c r="CD35" s="359" t="s">
        <v>718</v>
      </c>
      <c r="CE35" s="358">
        <v>4.1666626930236816E-3</v>
      </c>
      <c r="CF35" s="361">
        <v>0</v>
      </c>
    </row>
    <row r="36" spans="1:84" s="22" customFormat="1" x14ac:dyDescent="0.25">
      <c r="A36" s="593">
        <v>3</v>
      </c>
      <c r="B36" s="381" t="s">
        <v>555</v>
      </c>
      <c r="C36" s="381" t="s">
        <v>210</v>
      </c>
      <c r="D36" s="381" t="s">
        <v>212</v>
      </c>
      <c r="E36" s="381" t="s">
        <v>720</v>
      </c>
      <c r="F36" s="381" t="s">
        <v>549</v>
      </c>
      <c r="G36" s="382">
        <v>3986.8</v>
      </c>
      <c r="H36" s="382">
        <v>2700</v>
      </c>
      <c r="I36" s="382">
        <v>986.8</v>
      </c>
      <c r="J36" s="382">
        <v>300</v>
      </c>
      <c r="K36" s="383">
        <v>0.50208333333333333</v>
      </c>
      <c r="L36" s="152">
        <v>0.50208333333333333</v>
      </c>
      <c r="M36" s="384" t="s">
        <v>112</v>
      </c>
      <c r="N36" s="152">
        <v>0</v>
      </c>
      <c r="O36" s="385">
        <v>0</v>
      </c>
      <c r="P36" s="152">
        <v>8.3333335816860199E-2</v>
      </c>
      <c r="Q36" s="152">
        <v>0</v>
      </c>
      <c r="R36" s="383">
        <v>0.58541666915019352</v>
      </c>
      <c r="S36" s="152">
        <v>0</v>
      </c>
      <c r="T36" s="384" t="s">
        <v>112</v>
      </c>
      <c r="U36" s="152">
        <v>0</v>
      </c>
      <c r="V36" s="385">
        <v>900</v>
      </c>
      <c r="W36" s="152">
        <v>8.3333335816860199E-2</v>
      </c>
      <c r="X36" s="152">
        <v>6.2499642372131348E-3</v>
      </c>
      <c r="Y36" s="152">
        <v>6.2499642372131348E-3</v>
      </c>
      <c r="Z36" s="383">
        <v>0.66875000496705372</v>
      </c>
      <c r="AA36" s="152">
        <v>0.66736111111111107</v>
      </c>
      <c r="AB36" s="384" t="s">
        <v>718</v>
      </c>
      <c r="AC36" s="152">
        <v>1.388847827911377E-3</v>
      </c>
      <c r="AD36" s="385">
        <v>0</v>
      </c>
      <c r="AE36" s="383">
        <v>0</v>
      </c>
      <c r="AF36" s="152">
        <v>0.52777777777777779</v>
      </c>
      <c r="AG36" s="152">
        <v>0</v>
      </c>
      <c r="AH36" s="386">
        <v>0.54016203703703702</v>
      </c>
      <c r="AI36" s="386">
        <v>0.54026620370370371</v>
      </c>
      <c r="AJ36" s="380" t="s">
        <v>719</v>
      </c>
      <c r="AK36" s="386">
        <v>1.0418891906738281E-4</v>
      </c>
      <c r="AL36" s="387">
        <v>9</v>
      </c>
      <c r="AM36" s="388">
        <v>0.5438425925925926</v>
      </c>
      <c r="AN36" s="386">
        <v>0.54553240740740738</v>
      </c>
      <c r="AO36" s="384" t="s">
        <v>719</v>
      </c>
      <c r="AP36" s="386">
        <v>1.6897916793823242E-3</v>
      </c>
      <c r="AQ36" s="387">
        <v>146</v>
      </c>
      <c r="AR36" s="383">
        <v>0</v>
      </c>
      <c r="AS36" s="152">
        <v>0.59930555555555554</v>
      </c>
      <c r="AT36" s="152">
        <v>0</v>
      </c>
      <c r="AU36" s="389">
        <v>31.6</v>
      </c>
      <c r="AV36" s="389">
        <v>0</v>
      </c>
      <c r="AW36" s="389">
        <v>2</v>
      </c>
      <c r="AX36" s="384">
        <v>0</v>
      </c>
      <c r="AY36" s="384">
        <v>0</v>
      </c>
      <c r="AZ36" s="387">
        <v>124.80000000000001</v>
      </c>
      <c r="BA36" s="383">
        <v>0.60416666666666663</v>
      </c>
      <c r="BB36" s="152">
        <v>0.61041666666666672</v>
      </c>
      <c r="BC36" s="152">
        <v>6.2499642372131348E-3</v>
      </c>
      <c r="BD36" s="386">
        <v>0.61895833333333339</v>
      </c>
      <c r="BE36" s="386">
        <v>0.61908564814814815</v>
      </c>
      <c r="BF36" s="380" t="s">
        <v>719</v>
      </c>
      <c r="BG36" s="386">
        <v>1.2731552124023438E-4</v>
      </c>
      <c r="BH36" s="387">
        <v>11</v>
      </c>
      <c r="BI36" s="388">
        <v>0.63025462962962964</v>
      </c>
      <c r="BJ36" s="386">
        <v>0.64131944444444444</v>
      </c>
      <c r="BK36" s="384" t="s">
        <v>719</v>
      </c>
      <c r="BL36" s="386">
        <v>1.1064827442169189E-2</v>
      </c>
      <c r="BM36" s="387">
        <v>600</v>
      </c>
      <c r="BN36" s="388">
        <v>0.65267361111111111</v>
      </c>
      <c r="BO36" s="386">
        <v>0.65156249999999993</v>
      </c>
      <c r="BP36" s="384" t="s">
        <v>718</v>
      </c>
      <c r="BQ36" s="386">
        <v>1.1110901832580566E-3</v>
      </c>
      <c r="BR36" s="387">
        <v>96</v>
      </c>
      <c r="BS36" s="390" t="s">
        <v>712</v>
      </c>
      <c r="BT36" s="387">
        <v>300</v>
      </c>
      <c r="BU36" s="383">
        <v>0</v>
      </c>
      <c r="BV36" s="391">
        <v>900</v>
      </c>
      <c r="BW36" s="383">
        <v>0</v>
      </c>
      <c r="BX36" s="391">
        <v>900</v>
      </c>
      <c r="BY36" s="383">
        <v>0.56874999999999998</v>
      </c>
      <c r="BZ36" s="391">
        <v>0</v>
      </c>
      <c r="CA36" s="383">
        <v>0.58333331346511841</v>
      </c>
      <c r="CB36" s="152">
        <v>0.58402777777777781</v>
      </c>
      <c r="CC36" s="152">
        <v>8.3333333333333332E-3</v>
      </c>
      <c r="CD36" s="384" t="s">
        <v>719</v>
      </c>
      <c r="CE36" s="152">
        <v>6.9445371627807617E-4</v>
      </c>
      <c r="CF36" s="391">
        <v>0</v>
      </c>
    </row>
    <row r="37" spans="1:84" s="367" customFormat="1" x14ac:dyDescent="0.25">
      <c r="A37" s="592">
        <v>2</v>
      </c>
      <c r="B37" s="355" t="s">
        <v>553</v>
      </c>
      <c r="C37" s="355" t="s">
        <v>569</v>
      </c>
      <c r="D37" s="355" t="s">
        <v>578</v>
      </c>
      <c r="E37" s="355" t="s">
        <v>6</v>
      </c>
      <c r="F37" s="355" t="s">
        <v>549</v>
      </c>
      <c r="G37" s="356">
        <v>6999</v>
      </c>
      <c r="H37" s="356">
        <v>2700</v>
      </c>
      <c r="I37" s="356">
        <v>4299</v>
      </c>
      <c r="J37" s="356">
        <v>0</v>
      </c>
      <c r="K37" s="357">
        <v>0.50138888888888888</v>
      </c>
      <c r="L37" s="358">
        <v>0.50138888888888888</v>
      </c>
      <c r="M37" s="359" t="s">
        <v>112</v>
      </c>
      <c r="N37" s="358">
        <v>0</v>
      </c>
      <c r="O37" s="360">
        <v>0</v>
      </c>
      <c r="P37" s="358">
        <v>8.3333335816860199E-2</v>
      </c>
      <c r="Q37" s="358">
        <v>0</v>
      </c>
      <c r="R37" s="357">
        <v>0.58472222470574908</v>
      </c>
      <c r="S37" s="358">
        <v>0</v>
      </c>
      <c r="T37" s="359" t="s">
        <v>112</v>
      </c>
      <c r="U37" s="358">
        <v>0</v>
      </c>
      <c r="V37" s="360">
        <v>900</v>
      </c>
      <c r="W37" s="358">
        <v>8.3333335816860199E-2</v>
      </c>
      <c r="X37" s="358">
        <v>1.8749992052713993E-2</v>
      </c>
      <c r="Y37" s="358">
        <v>1.8749992052713993E-2</v>
      </c>
      <c r="Z37" s="357">
        <v>0.66805556052260928</v>
      </c>
      <c r="AA37" s="358">
        <v>0.66111111111111109</v>
      </c>
      <c r="AB37" s="359" t="s">
        <v>718</v>
      </c>
      <c r="AC37" s="358">
        <v>6.9444179534912109E-3</v>
      </c>
      <c r="AD37" s="360">
        <v>0</v>
      </c>
      <c r="AE37" s="357">
        <v>0</v>
      </c>
      <c r="AF37" s="358">
        <v>0.52708333333333335</v>
      </c>
      <c r="AG37" s="358">
        <v>0</v>
      </c>
      <c r="AH37" s="362">
        <v>0.53946759259259258</v>
      </c>
      <c r="AI37" s="362">
        <v>0</v>
      </c>
      <c r="AJ37" s="354" t="s">
        <v>112</v>
      </c>
      <c r="AK37" s="362">
        <v>0</v>
      </c>
      <c r="AL37" s="363">
        <v>1800</v>
      </c>
      <c r="AM37" s="364">
        <v>0</v>
      </c>
      <c r="AN37" s="362">
        <v>0.54322916666666665</v>
      </c>
      <c r="AO37" s="359" t="s">
        <v>112</v>
      </c>
      <c r="AP37" s="362">
        <v>0</v>
      </c>
      <c r="AQ37" s="363">
        <v>0</v>
      </c>
      <c r="AR37" s="357">
        <v>0.58680555555555558</v>
      </c>
      <c r="AS37" s="358">
        <v>0.59722222222222221</v>
      </c>
      <c r="AT37" s="358">
        <v>1.041666666666663E-2</v>
      </c>
      <c r="AU37" s="365">
        <v>18</v>
      </c>
      <c r="AV37" s="365">
        <v>0</v>
      </c>
      <c r="AW37" s="365">
        <v>3</v>
      </c>
      <c r="AX37" s="359">
        <v>0</v>
      </c>
      <c r="AY37" s="359">
        <v>0</v>
      </c>
      <c r="AZ37" s="363">
        <v>99</v>
      </c>
      <c r="BA37" s="357">
        <v>0.60138888888888886</v>
      </c>
      <c r="BB37" s="358">
        <v>0.60972222222222217</v>
      </c>
      <c r="BC37" s="358">
        <v>8.3333253860473633E-3</v>
      </c>
      <c r="BD37" s="362">
        <v>0.61826388888888884</v>
      </c>
      <c r="BE37" s="362">
        <v>0.62910879629629635</v>
      </c>
      <c r="BF37" s="354" t="s">
        <v>719</v>
      </c>
      <c r="BG37" s="362">
        <v>1.0844886302947998E-2</v>
      </c>
      <c r="BH37" s="363">
        <v>600</v>
      </c>
      <c r="BI37" s="364">
        <v>0.64027777777777783</v>
      </c>
      <c r="BJ37" s="362">
        <v>0</v>
      </c>
      <c r="BK37" s="359" t="s">
        <v>112</v>
      </c>
      <c r="BL37" s="362">
        <v>0</v>
      </c>
      <c r="BM37" s="363">
        <v>1800</v>
      </c>
      <c r="BN37" s="364">
        <v>0</v>
      </c>
      <c r="BO37" s="362">
        <v>0.64628472222222222</v>
      </c>
      <c r="BP37" s="359" t="s">
        <v>112</v>
      </c>
      <c r="BQ37" s="362">
        <v>0</v>
      </c>
      <c r="BR37" s="363">
        <v>0</v>
      </c>
      <c r="BS37" s="366">
        <v>0</v>
      </c>
      <c r="BT37" s="363">
        <v>0</v>
      </c>
      <c r="BU37" s="357">
        <v>0.51527777777777783</v>
      </c>
      <c r="BV37" s="361">
        <v>0</v>
      </c>
      <c r="BW37" s="357">
        <v>0</v>
      </c>
      <c r="BX37" s="361">
        <v>900</v>
      </c>
      <c r="BY37" s="357">
        <v>0</v>
      </c>
      <c r="BZ37" s="361">
        <v>900</v>
      </c>
      <c r="CA37" s="357">
        <v>0.58263885974884033</v>
      </c>
      <c r="CB37" s="358">
        <v>0.5756944444444444</v>
      </c>
      <c r="CC37" s="358">
        <v>8.3333333333333332E-3</v>
      </c>
      <c r="CD37" s="359" t="s">
        <v>718</v>
      </c>
      <c r="CE37" s="358">
        <v>6.9444179534912109E-3</v>
      </c>
      <c r="CF37" s="361">
        <v>0</v>
      </c>
    </row>
    <row r="38" spans="1:84" s="22" customFormat="1" hidden="1" x14ac:dyDescent="0.25">
      <c r="A38" s="593" t="s">
        <v>112</v>
      </c>
      <c r="B38" s="381">
        <v>0</v>
      </c>
      <c r="C38" s="381">
        <v>0</v>
      </c>
      <c r="D38" s="381">
        <v>0</v>
      </c>
      <c r="E38" s="381">
        <v>0</v>
      </c>
      <c r="F38" s="381">
        <v>0</v>
      </c>
      <c r="G38" s="382" t="s">
        <v>112</v>
      </c>
      <c r="H38" s="382" t="s">
        <v>726</v>
      </c>
      <c r="I38" s="382">
        <v>7200</v>
      </c>
      <c r="J38" s="382">
        <v>0</v>
      </c>
      <c r="K38" s="383">
        <v>0.52013888888888882</v>
      </c>
      <c r="L38" s="152">
        <v>0</v>
      </c>
      <c r="M38" s="384" t="s">
        <v>112</v>
      </c>
      <c r="N38" s="152">
        <v>0</v>
      </c>
      <c r="O38" s="385" t="s">
        <v>726</v>
      </c>
      <c r="P38" s="152">
        <v>8.3333335816860199E-2</v>
      </c>
      <c r="Q38" s="152">
        <v>0</v>
      </c>
      <c r="R38" s="383">
        <v>0.60347222470574902</v>
      </c>
      <c r="S38" s="152">
        <v>0</v>
      </c>
      <c r="T38" s="384" t="s">
        <v>112</v>
      </c>
      <c r="U38" s="152">
        <v>0</v>
      </c>
      <c r="V38" s="385">
        <v>900</v>
      </c>
      <c r="W38" s="152">
        <v>8.3333335816860199E-2</v>
      </c>
      <c r="X38" s="152">
        <v>0</v>
      </c>
      <c r="Y38" s="152">
        <v>0</v>
      </c>
      <c r="Z38" s="383">
        <v>0.68680556052260922</v>
      </c>
      <c r="AA38" s="152">
        <v>0</v>
      </c>
      <c r="AB38" s="384" t="s">
        <v>112</v>
      </c>
      <c r="AC38" s="152">
        <v>0</v>
      </c>
      <c r="AD38" s="385" t="s">
        <v>723</v>
      </c>
      <c r="AE38" s="383">
        <v>0</v>
      </c>
      <c r="AF38" s="152">
        <v>0</v>
      </c>
      <c r="AG38" s="152">
        <v>0</v>
      </c>
      <c r="AH38" s="386">
        <v>0</v>
      </c>
      <c r="AI38" s="386">
        <v>0</v>
      </c>
      <c r="AJ38" s="380" t="s">
        <v>112</v>
      </c>
      <c r="AK38" s="386">
        <v>0</v>
      </c>
      <c r="AL38" s="387">
        <v>1800</v>
      </c>
      <c r="AM38" s="388">
        <v>0</v>
      </c>
      <c r="AN38" s="386">
        <v>0</v>
      </c>
      <c r="AO38" s="384" t="s">
        <v>112</v>
      </c>
      <c r="AP38" s="386">
        <v>0</v>
      </c>
      <c r="AQ38" s="387">
        <v>0</v>
      </c>
      <c r="AR38" s="383">
        <v>0</v>
      </c>
      <c r="AS38" s="152">
        <v>0</v>
      </c>
      <c r="AT38" s="152">
        <v>0</v>
      </c>
      <c r="AU38" s="389">
        <v>0</v>
      </c>
      <c r="AV38" s="389">
        <v>0</v>
      </c>
      <c r="AW38" s="389">
        <v>0</v>
      </c>
      <c r="AX38" s="384">
        <v>0</v>
      </c>
      <c r="AY38" s="384">
        <v>0</v>
      </c>
      <c r="AZ38" s="387">
        <v>1800</v>
      </c>
      <c r="BA38" s="383">
        <v>0</v>
      </c>
      <c r="BB38" s="152">
        <v>0</v>
      </c>
      <c r="BC38" s="152">
        <v>0</v>
      </c>
      <c r="BD38" s="386">
        <v>0</v>
      </c>
      <c r="BE38" s="386">
        <v>0</v>
      </c>
      <c r="BF38" s="380" t="s">
        <v>112</v>
      </c>
      <c r="BG38" s="386">
        <v>0</v>
      </c>
      <c r="BH38" s="387">
        <v>1800</v>
      </c>
      <c r="BI38" s="388">
        <v>0</v>
      </c>
      <c r="BJ38" s="386">
        <v>0</v>
      </c>
      <c r="BK38" s="384" t="s">
        <v>112</v>
      </c>
      <c r="BL38" s="386">
        <v>0</v>
      </c>
      <c r="BM38" s="387">
        <v>1800</v>
      </c>
      <c r="BN38" s="388">
        <v>0</v>
      </c>
      <c r="BO38" s="386">
        <v>0</v>
      </c>
      <c r="BP38" s="384" t="s">
        <v>112</v>
      </c>
      <c r="BQ38" s="386">
        <v>0</v>
      </c>
      <c r="BR38" s="387">
        <v>0</v>
      </c>
      <c r="BS38" s="390">
        <v>0</v>
      </c>
      <c r="BT38" s="387">
        <v>0</v>
      </c>
      <c r="BU38" s="383">
        <v>0</v>
      </c>
      <c r="BV38" s="391">
        <v>900</v>
      </c>
      <c r="BW38" s="383">
        <v>0</v>
      </c>
      <c r="BX38" s="391">
        <v>900</v>
      </c>
      <c r="BY38" s="383">
        <v>0</v>
      </c>
      <c r="BZ38" s="391">
        <v>900</v>
      </c>
      <c r="CA38" s="383">
        <v>0.60138887166976929</v>
      </c>
      <c r="CB38" s="152">
        <v>0</v>
      </c>
      <c r="CC38" s="152">
        <v>8.3333333333333332E-3</v>
      </c>
      <c r="CD38" s="384" t="s">
        <v>112</v>
      </c>
      <c r="CE38" s="152">
        <v>0</v>
      </c>
      <c r="CF38" s="391">
        <v>900</v>
      </c>
    </row>
    <row r="39" spans="1:84" s="367" customFormat="1" hidden="1" x14ac:dyDescent="0.25">
      <c r="A39" s="592" t="s">
        <v>112</v>
      </c>
      <c r="B39" s="355">
        <v>0</v>
      </c>
      <c r="C39" s="355">
        <v>0</v>
      </c>
      <c r="D39" s="355">
        <v>0</v>
      </c>
      <c r="E39" s="355">
        <v>0</v>
      </c>
      <c r="F39" s="355">
        <v>0</v>
      </c>
      <c r="G39" s="356" t="s">
        <v>112</v>
      </c>
      <c r="H39" s="356" t="s">
        <v>726</v>
      </c>
      <c r="I39" s="356">
        <v>7200</v>
      </c>
      <c r="J39" s="356">
        <v>0</v>
      </c>
      <c r="K39" s="357">
        <v>0.52013888888888882</v>
      </c>
      <c r="L39" s="358">
        <v>0</v>
      </c>
      <c r="M39" s="359" t="s">
        <v>112</v>
      </c>
      <c r="N39" s="358">
        <v>0</v>
      </c>
      <c r="O39" s="360" t="s">
        <v>726</v>
      </c>
      <c r="P39" s="358">
        <v>8.3333335816860199E-2</v>
      </c>
      <c r="Q39" s="358">
        <v>0</v>
      </c>
      <c r="R39" s="357">
        <v>0.60347222470574902</v>
      </c>
      <c r="S39" s="358">
        <v>0</v>
      </c>
      <c r="T39" s="359" t="s">
        <v>112</v>
      </c>
      <c r="U39" s="358">
        <v>0</v>
      </c>
      <c r="V39" s="360">
        <v>900</v>
      </c>
      <c r="W39" s="358">
        <v>8.3333335816860199E-2</v>
      </c>
      <c r="X39" s="358">
        <v>0</v>
      </c>
      <c r="Y39" s="358">
        <v>0</v>
      </c>
      <c r="Z39" s="357">
        <v>0.68680556052260922</v>
      </c>
      <c r="AA39" s="358">
        <v>0</v>
      </c>
      <c r="AB39" s="359" t="s">
        <v>112</v>
      </c>
      <c r="AC39" s="358">
        <v>0</v>
      </c>
      <c r="AD39" s="360" t="s">
        <v>723</v>
      </c>
      <c r="AE39" s="357">
        <v>0</v>
      </c>
      <c r="AF39" s="358">
        <v>0</v>
      </c>
      <c r="AG39" s="358">
        <v>0</v>
      </c>
      <c r="AH39" s="362">
        <v>0</v>
      </c>
      <c r="AI39" s="362">
        <v>0</v>
      </c>
      <c r="AJ39" s="354" t="s">
        <v>112</v>
      </c>
      <c r="AK39" s="362">
        <v>0</v>
      </c>
      <c r="AL39" s="363">
        <v>1800</v>
      </c>
      <c r="AM39" s="364">
        <v>0</v>
      </c>
      <c r="AN39" s="362">
        <v>0</v>
      </c>
      <c r="AO39" s="359" t="s">
        <v>112</v>
      </c>
      <c r="AP39" s="362">
        <v>0</v>
      </c>
      <c r="AQ39" s="363">
        <v>0</v>
      </c>
      <c r="AR39" s="357">
        <v>0</v>
      </c>
      <c r="AS39" s="358">
        <v>0</v>
      </c>
      <c r="AT39" s="358">
        <v>0</v>
      </c>
      <c r="AU39" s="365">
        <v>0</v>
      </c>
      <c r="AV39" s="365">
        <v>0</v>
      </c>
      <c r="AW39" s="365">
        <v>0</v>
      </c>
      <c r="AX39" s="359">
        <v>0</v>
      </c>
      <c r="AY39" s="359">
        <v>0</v>
      </c>
      <c r="AZ39" s="363">
        <v>1800</v>
      </c>
      <c r="BA39" s="357">
        <v>0</v>
      </c>
      <c r="BB39" s="358">
        <v>0</v>
      </c>
      <c r="BC39" s="358">
        <v>0</v>
      </c>
      <c r="BD39" s="362">
        <v>0</v>
      </c>
      <c r="BE39" s="362">
        <v>0</v>
      </c>
      <c r="BF39" s="354" t="s">
        <v>112</v>
      </c>
      <c r="BG39" s="362">
        <v>0</v>
      </c>
      <c r="BH39" s="363">
        <v>1800</v>
      </c>
      <c r="BI39" s="364">
        <v>0</v>
      </c>
      <c r="BJ39" s="362">
        <v>0</v>
      </c>
      <c r="BK39" s="359" t="s">
        <v>112</v>
      </c>
      <c r="BL39" s="362">
        <v>0</v>
      </c>
      <c r="BM39" s="363">
        <v>1800</v>
      </c>
      <c r="BN39" s="364">
        <v>0</v>
      </c>
      <c r="BO39" s="362">
        <v>0</v>
      </c>
      <c r="BP39" s="359" t="s">
        <v>112</v>
      </c>
      <c r="BQ39" s="362">
        <v>0</v>
      </c>
      <c r="BR39" s="363">
        <v>0</v>
      </c>
      <c r="BS39" s="366">
        <v>0</v>
      </c>
      <c r="BT39" s="363">
        <v>0</v>
      </c>
      <c r="BU39" s="357">
        <v>0</v>
      </c>
      <c r="BV39" s="361">
        <v>900</v>
      </c>
      <c r="BW39" s="357">
        <v>0</v>
      </c>
      <c r="BX39" s="361">
        <v>900</v>
      </c>
      <c r="BY39" s="357">
        <v>0</v>
      </c>
      <c r="BZ39" s="361">
        <v>900</v>
      </c>
      <c r="CA39" s="357">
        <v>0.60138887166976929</v>
      </c>
      <c r="CB39" s="358">
        <v>0</v>
      </c>
      <c r="CC39" s="358">
        <v>8.3333333333333332E-3</v>
      </c>
      <c r="CD39" s="359" t="s">
        <v>112</v>
      </c>
      <c r="CE39" s="358">
        <v>0</v>
      </c>
      <c r="CF39" s="361">
        <v>900</v>
      </c>
    </row>
    <row r="40" spans="1:84" s="22" customFormat="1" hidden="1" x14ac:dyDescent="0.25">
      <c r="A40" s="593" t="s">
        <v>112</v>
      </c>
      <c r="B40" s="381">
        <v>0</v>
      </c>
      <c r="C40" s="381">
        <v>0</v>
      </c>
      <c r="D40" s="381">
        <v>0</v>
      </c>
      <c r="E40" s="381">
        <v>0</v>
      </c>
      <c r="F40" s="381">
        <v>0</v>
      </c>
      <c r="G40" s="382" t="s">
        <v>112</v>
      </c>
      <c r="H40" s="382" t="s">
        <v>726</v>
      </c>
      <c r="I40" s="382">
        <v>7200</v>
      </c>
      <c r="J40" s="382">
        <v>0</v>
      </c>
      <c r="K40" s="383">
        <v>0.52013888888888882</v>
      </c>
      <c r="L40" s="152">
        <v>0</v>
      </c>
      <c r="M40" s="384" t="s">
        <v>112</v>
      </c>
      <c r="N40" s="152">
        <v>0</v>
      </c>
      <c r="O40" s="385" t="s">
        <v>726</v>
      </c>
      <c r="P40" s="152">
        <v>8.3333335816860199E-2</v>
      </c>
      <c r="Q40" s="152">
        <v>0</v>
      </c>
      <c r="R40" s="383">
        <v>0.60347222470574902</v>
      </c>
      <c r="S40" s="152">
        <v>0</v>
      </c>
      <c r="T40" s="384" t="s">
        <v>112</v>
      </c>
      <c r="U40" s="152">
        <v>0</v>
      </c>
      <c r="V40" s="385">
        <v>900</v>
      </c>
      <c r="W40" s="152">
        <v>8.3333335816860199E-2</v>
      </c>
      <c r="X40" s="152">
        <v>0</v>
      </c>
      <c r="Y40" s="152">
        <v>0</v>
      </c>
      <c r="Z40" s="383">
        <v>0.68680556052260922</v>
      </c>
      <c r="AA40" s="152">
        <v>0</v>
      </c>
      <c r="AB40" s="384" t="s">
        <v>112</v>
      </c>
      <c r="AC40" s="152">
        <v>0</v>
      </c>
      <c r="AD40" s="385" t="s">
        <v>723</v>
      </c>
      <c r="AE40" s="383">
        <v>0</v>
      </c>
      <c r="AF40" s="152">
        <v>0</v>
      </c>
      <c r="AG40" s="152">
        <v>0</v>
      </c>
      <c r="AH40" s="386">
        <v>0</v>
      </c>
      <c r="AI40" s="386">
        <v>0</v>
      </c>
      <c r="AJ40" s="380" t="s">
        <v>112</v>
      </c>
      <c r="AK40" s="386">
        <v>0</v>
      </c>
      <c r="AL40" s="387">
        <v>1800</v>
      </c>
      <c r="AM40" s="388">
        <v>0</v>
      </c>
      <c r="AN40" s="386">
        <v>0</v>
      </c>
      <c r="AO40" s="384" t="s">
        <v>112</v>
      </c>
      <c r="AP40" s="386">
        <v>0</v>
      </c>
      <c r="AQ40" s="387">
        <v>0</v>
      </c>
      <c r="AR40" s="383">
        <v>0</v>
      </c>
      <c r="AS40" s="152">
        <v>0</v>
      </c>
      <c r="AT40" s="152">
        <v>0</v>
      </c>
      <c r="AU40" s="389">
        <v>0</v>
      </c>
      <c r="AV40" s="389">
        <v>0</v>
      </c>
      <c r="AW40" s="389">
        <v>0</v>
      </c>
      <c r="AX40" s="384">
        <v>0</v>
      </c>
      <c r="AY40" s="384">
        <v>0</v>
      </c>
      <c r="AZ40" s="387">
        <v>1800</v>
      </c>
      <c r="BA40" s="383">
        <v>0</v>
      </c>
      <c r="BB40" s="152">
        <v>0</v>
      </c>
      <c r="BC40" s="152">
        <v>0</v>
      </c>
      <c r="BD40" s="386">
        <v>0</v>
      </c>
      <c r="BE40" s="386">
        <v>0</v>
      </c>
      <c r="BF40" s="380" t="s">
        <v>112</v>
      </c>
      <c r="BG40" s="386">
        <v>0</v>
      </c>
      <c r="BH40" s="387">
        <v>1800</v>
      </c>
      <c r="BI40" s="388">
        <v>0</v>
      </c>
      <c r="BJ40" s="386">
        <v>0</v>
      </c>
      <c r="BK40" s="384" t="s">
        <v>112</v>
      </c>
      <c r="BL40" s="386">
        <v>0</v>
      </c>
      <c r="BM40" s="387">
        <v>1800</v>
      </c>
      <c r="BN40" s="388">
        <v>0</v>
      </c>
      <c r="BO40" s="386">
        <v>0</v>
      </c>
      <c r="BP40" s="384" t="s">
        <v>112</v>
      </c>
      <c r="BQ40" s="386">
        <v>0</v>
      </c>
      <c r="BR40" s="387">
        <v>0</v>
      </c>
      <c r="BS40" s="390">
        <v>0</v>
      </c>
      <c r="BT40" s="387">
        <v>0</v>
      </c>
      <c r="BU40" s="383">
        <v>0</v>
      </c>
      <c r="BV40" s="391">
        <v>900</v>
      </c>
      <c r="BW40" s="383">
        <v>0</v>
      </c>
      <c r="BX40" s="391">
        <v>900</v>
      </c>
      <c r="BY40" s="383">
        <v>0</v>
      </c>
      <c r="BZ40" s="391">
        <v>900</v>
      </c>
      <c r="CA40" s="383">
        <v>0.60138887166976929</v>
      </c>
      <c r="CB40" s="152">
        <v>0</v>
      </c>
      <c r="CC40" s="152">
        <v>8.3333333333333332E-3</v>
      </c>
      <c r="CD40" s="384" t="s">
        <v>112</v>
      </c>
      <c r="CE40" s="152">
        <v>0</v>
      </c>
      <c r="CF40" s="391">
        <v>900</v>
      </c>
    </row>
    <row r="41" spans="1:84" s="367" customFormat="1" hidden="1" x14ac:dyDescent="0.25">
      <c r="A41" s="592" t="s">
        <v>112</v>
      </c>
      <c r="B41" s="355">
        <v>0</v>
      </c>
      <c r="C41" s="355">
        <v>0</v>
      </c>
      <c r="D41" s="355">
        <v>0</v>
      </c>
      <c r="E41" s="355">
        <v>0</v>
      </c>
      <c r="F41" s="355">
        <v>0</v>
      </c>
      <c r="G41" s="356" t="s">
        <v>112</v>
      </c>
      <c r="H41" s="356" t="s">
        <v>726</v>
      </c>
      <c r="I41" s="356">
        <v>7200</v>
      </c>
      <c r="J41" s="356">
        <v>0</v>
      </c>
      <c r="K41" s="357">
        <v>0.52013888888888882</v>
      </c>
      <c r="L41" s="358">
        <v>0</v>
      </c>
      <c r="M41" s="359" t="s">
        <v>112</v>
      </c>
      <c r="N41" s="358">
        <v>0</v>
      </c>
      <c r="O41" s="360" t="s">
        <v>726</v>
      </c>
      <c r="P41" s="358">
        <v>8.3333335816860199E-2</v>
      </c>
      <c r="Q41" s="358">
        <v>0</v>
      </c>
      <c r="R41" s="357">
        <v>0.60347222470574902</v>
      </c>
      <c r="S41" s="358">
        <v>0</v>
      </c>
      <c r="T41" s="359" t="s">
        <v>112</v>
      </c>
      <c r="U41" s="358">
        <v>0</v>
      </c>
      <c r="V41" s="360">
        <v>900</v>
      </c>
      <c r="W41" s="358">
        <v>8.3333335816860199E-2</v>
      </c>
      <c r="X41" s="358">
        <v>0</v>
      </c>
      <c r="Y41" s="358">
        <v>0</v>
      </c>
      <c r="Z41" s="357">
        <v>0.68680556052260922</v>
      </c>
      <c r="AA41" s="358">
        <v>0</v>
      </c>
      <c r="AB41" s="359" t="s">
        <v>112</v>
      </c>
      <c r="AC41" s="358">
        <v>0</v>
      </c>
      <c r="AD41" s="360" t="s">
        <v>723</v>
      </c>
      <c r="AE41" s="357">
        <v>0</v>
      </c>
      <c r="AF41" s="358">
        <v>0</v>
      </c>
      <c r="AG41" s="358">
        <v>0</v>
      </c>
      <c r="AH41" s="362">
        <v>0</v>
      </c>
      <c r="AI41" s="362">
        <v>0</v>
      </c>
      <c r="AJ41" s="354" t="s">
        <v>112</v>
      </c>
      <c r="AK41" s="362">
        <v>0</v>
      </c>
      <c r="AL41" s="363">
        <v>1800</v>
      </c>
      <c r="AM41" s="364">
        <v>0</v>
      </c>
      <c r="AN41" s="362">
        <v>0</v>
      </c>
      <c r="AO41" s="359" t="s">
        <v>112</v>
      </c>
      <c r="AP41" s="362">
        <v>0</v>
      </c>
      <c r="AQ41" s="363">
        <v>0</v>
      </c>
      <c r="AR41" s="357">
        <v>0</v>
      </c>
      <c r="AS41" s="358">
        <v>0</v>
      </c>
      <c r="AT41" s="358">
        <v>0</v>
      </c>
      <c r="AU41" s="365">
        <v>0</v>
      </c>
      <c r="AV41" s="365">
        <v>0</v>
      </c>
      <c r="AW41" s="365">
        <v>0</v>
      </c>
      <c r="AX41" s="359">
        <v>0</v>
      </c>
      <c r="AY41" s="359">
        <v>0</v>
      </c>
      <c r="AZ41" s="363">
        <v>1800</v>
      </c>
      <c r="BA41" s="357">
        <v>0</v>
      </c>
      <c r="BB41" s="358">
        <v>0</v>
      </c>
      <c r="BC41" s="358">
        <v>0</v>
      </c>
      <c r="BD41" s="362">
        <v>0</v>
      </c>
      <c r="BE41" s="362">
        <v>0</v>
      </c>
      <c r="BF41" s="354" t="s">
        <v>112</v>
      </c>
      <c r="BG41" s="362">
        <v>0</v>
      </c>
      <c r="BH41" s="363">
        <v>1800</v>
      </c>
      <c r="BI41" s="364">
        <v>0</v>
      </c>
      <c r="BJ41" s="362">
        <v>0</v>
      </c>
      <c r="BK41" s="359" t="s">
        <v>112</v>
      </c>
      <c r="BL41" s="362">
        <v>0</v>
      </c>
      <c r="BM41" s="363">
        <v>1800</v>
      </c>
      <c r="BN41" s="364">
        <v>0</v>
      </c>
      <c r="BO41" s="362">
        <v>0</v>
      </c>
      <c r="BP41" s="359" t="s">
        <v>112</v>
      </c>
      <c r="BQ41" s="362">
        <v>0</v>
      </c>
      <c r="BR41" s="363">
        <v>0</v>
      </c>
      <c r="BS41" s="366">
        <v>0</v>
      </c>
      <c r="BT41" s="363">
        <v>0</v>
      </c>
      <c r="BU41" s="357">
        <v>0</v>
      </c>
      <c r="BV41" s="361">
        <v>900</v>
      </c>
      <c r="BW41" s="357">
        <v>0</v>
      </c>
      <c r="BX41" s="361">
        <v>900</v>
      </c>
      <c r="BY41" s="357">
        <v>0</v>
      </c>
      <c r="BZ41" s="361">
        <v>900</v>
      </c>
      <c r="CA41" s="357">
        <v>0.60138887166976929</v>
      </c>
      <c r="CB41" s="358">
        <v>0</v>
      </c>
      <c r="CC41" s="358">
        <v>8.3333333333333332E-3</v>
      </c>
      <c r="CD41" s="359" t="s">
        <v>112</v>
      </c>
      <c r="CE41" s="358">
        <v>0</v>
      </c>
      <c r="CF41" s="361">
        <v>900</v>
      </c>
    </row>
    <row r="42" spans="1:84" s="22" customFormat="1" hidden="1" x14ac:dyDescent="0.25">
      <c r="A42" s="593" t="s">
        <v>112</v>
      </c>
      <c r="B42" s="381">
        <v>0</v>
      </c>
      <c r="C42" s="381">
        <v>0</v>
      </c>
      <c r="D42" s="381">
        <v>0</v>
      </c>
      <c r="E42" s="381">
        <v>0</v>
      </c>
      <c r="F42" s="381">
        <v>0</v>
      </c>
      <c r="G42" s="382" t="s">
        <v>112</v>
      </c>
      <c r="H42" s="382" t="s">
        <v>726</v>
      </c>
      <c r="I42" s="382">
        <v>7200</v>
      </c>
      <c r="J42" s="382">
        <v>0</v>
      </c>
      <c r="K42" s="383">
        <v>0.52013888888888882</v>
      </c>
      <c r="L42" s="152">
        <v>0</v>
      </c>
      <c r="M42" s="384" t="s">
        <v>112</v>
      </c>
      <c r="N42" s="152">
        <v>0</v>
      </c>
      <c r="O42" s="385" t="s">
        <v>726</v>
      </c>
      <c r="P42" s="152">
        <v>8.3333335816860199E-2</v>
      </c>
      <c r="Q42" s="152">
        <v>0</v>
      </c>
      <c r="R42" s="383">
        <v>0.60347222470574902</v>
      </c>
      <c r="S42" s="152">
        <v>0</v>
      </c>
      <c r="T42" s="384" t="s">
        <v>112</v>
      </c>
      <c r="U42" s="152">
        <v>0</v>
      </c>
      <c r="V42" s="385">
        <v>900</v>
      </c>
      <c r="W42" s="152">
        <v>8.3333335816860199E-2</v>
      </c>
      <c r="X42" s="152">
        <v>0</v>
      </c>
      <c r="Y42" s="152">
        <v>0</v>
      </c>
      <c r="Z42" s="383">
        <v>0.68680556052260922</v>
      </c>
      <c r="AA42" s="152">
        <v>0</v>
      </c>
      <c r="AB42" s="384" t="s">
        <v>112</v>
      </c>
      <c r="AC42" s="152">
        <v>0</v>
      </c>
      <c r="AD42" s="385" t="s">
        <v>723</v>
      </c>
      <c r="AE42" s="383">
        <v>0</v>
      </c>
      <c r="AF42" s="152">
        <v>0</v>
      </c>
      <c r="AG42" s="152">
        <v>0</v>
      </c>
      <c r="AH42" s="386">
        <v>0</v>
      </c>
      <c r="AI42" s="386">
        <v>0</v>
      </c>
      <c r="AJ42" s="380" t="s">
        <v>112</v>
      </c>
      <c r="AK42" s="386">
        <v>0</v>
      </c>
      <c r="AL42" s="387">
        <v>1800</v>
      </c>
      <c r="AM42" s="388">
        <v>0</v>
      </c>
      <c r="AN42" s="386">
        <v>0</v>
      </c>
      <c r="AO42" s="384" t="s">
        <v>112</v>
      </c>
      <c r="AP42" s="386">
        <v>0</v>
      </c>
      <c r="AQ42" s="387">
        <v>0</v>
      </c>
      <c r="AR42" s="383">
        <v>0</v>
      </c>
      <c r="AS42" s="152">
        <v>0</v>
      </c>
      <c r="AT42" s="152">
        <v>0</v>
      </c>
      <c r="AU42" s="389">
        <v>0</v>
      </c>
      <c r="AV42" s="389">
        <v>0</v>
      </c>
      <c r="AW42" s="389">
        <v>0</v>
      </c>
      <c r="AX42" s="384">
        <v>0</v>
      </c>
      <c r="AY42" s="384">
        <v>0</v>
      </c>
      <c r="AZ42" s="387">
        <v>1800</v>
      </c>
      <c r="BA42" s="383">
        <v>0</v>
      </c>
      <c r="BB42" s="152">
        <v>0</v>
      </c>
      <c r="BC42" s="152">
        <v>0</v>
      </c>
      <c r="BD42" s="386">
        <v>0</v>
      </c>
      <c r="BE42" s="386">
        <v>0</v>
      </c>
      <c r="BF42" s="380" t="s">
        <v>112</v>
      </c>
      <c r="BG42" s="386">
        <v>0</v>
      </c>
      <c r="BH42" s="387">
        <v>1800</v>
      </c>
      <c r="BI42" s="388">
        <v>0</v>
      </c>
      <c r="BJ42" s="386">
        <v>0</v>
      </c>
      <c r="BK42" s="384" t="s">
        <v>112</v>
      </c>
      <c r="BL42" s="386">
        <v>0</v>
      </c>
      <c r="BM42" s="387">
        <v>1800</v>
      </c>
      <c r="BN42" s="388">
        <v>0</v>
      </c>
      <c r="BO42" s="386">
        <v>0</v>
      </c>
      <c r="BP42" s="384" t="s">
        <v>112</v>
      </c>
      <c r="BQ42" s="386">
        <v>0</v>
      </c>
      <c r="BR42" s="387">
        <v>0</v>
      </c>
      <c r="BS42" s="390">
        <v>0</v>
      </c>
      <c r="BT42" s="387">
        <v>0</v>
      </c>
      <c r="BU42" s="383">
        <v>0</v>
      </c>
      <c r="BV42" s="391">
        <v>900</v>
      </c>
      <c r="BW42" s="383">
        <v>0</v>
      </c>
      <c r="BX42" s="391">
        <v>900</v>
      </c>
      <c r="BY42" s="383">
        <v>0</v>
      </c>
      <c r="BZ42" s="391">
        <v>900</v>
      </c>
      <c r="CA42" s="383">
        <v>0.60138887166976929</v>
      </c>
      <c r="CB42" s="152">
        <v>0</v>
      </c>
      <c r="CC42" s="152">
        <v>8.3333333333333332E-3</v>
      </c>
      <c r="CD42" s="384" t="s">
        <v>112</v>
      </c>
      <c r="CE42" s="152">
        <v>0</v>
      </c>
      <c r="CF42" s="391">
        <v>900</v>
      </c>
    </row>
    <row r="43" spans="1:84" s="367" customFormat="1" hidden="1" x14ac:dyDescent="0.25">
      <c r="A43" s="592" t="s">
        <v>112</v>
      </c>
      <c r="B43" s="355">
        <v>0</v>
      </c>
      <c r="C43" s="355">
        <v>0</v>
      </c>
      <c r="D43" s="355">
        <v>0</v>
      </c>
      <c r="E43" s="355">
        <v>0</v>
      </c>
      <c r="F43" s="355">
        <v>0</v>
      </c>
      <c r="G43" s="356" t="s">
        <v>112</v>
      </c>
      <c r="H43" s="356" t="s">
        <v>726</v>
      </c>
      <c r="I43" s="356">
        <v>7200</v>
      </c>
      <c r="J43" s="356">
        <v>0</v>
      </c>
      <c r="K43" s="357">
        <v>0.52013888888888882</v>
      </c>
      <c r="L43" s="358">
        <v>0</v>
      </c>
      <c r="M43" s="359" t="s">
        <v>112</v>
      </c>
      <c r="N43" s="358">
        <v>0</v>
      </c>
      <c r="O43" s="360" t="s">
        <v>726</v>
      </c>
      <c r="P43" s="358">
        <v>8.3333335816860199E-2</v>
      </c>
      <c r="Q43" s="358">
        <v>0</v>
      </c>
      <c r="R43" s="357">
        <v>0.60347222470574902</v>
      </c>
      <c r="S43" s="358">
        <v>0</v>
      </c>
      <c r="T43" s="359" t="s">
        <v>112</v>
      </c>
      <c r="U43" s="358">
        <v>0</v>
      </c>
      <c r="V43" s="360">
        <v>900</v>
      </c>
      <c r="W43" s="358">
        <v>8.3333335816860199E-2</v>
      </c>
      <c r="X43" s="358">
        <v>0</v>
      </c>
      <c r="Y43" s="358">
        <v>0</v>
      </c>
      <c r="Z43" s="357">
        <v>0.68680556052260922</v>
      </c>
      <c r="AA43" s="358">
        <v>0</v>
      </c>
      <c r="AB43" s="359" t="s">
        <v>112</v>
      </c>
      <c r="AC43" s="358">
        <v>0</v>
      </c>
      <c r="AD43" s="360" t="s">
        <v>723</v>
      </c>
      <c r="AE43" s="357">
        <v>0</v>
      </c>
      <c r="AF43" s="358">
        <v>0</v>
      </c>
      <c r="AG43" s="358">
        <v>0</v>
      </c>
      <c r="AH43" s="362">
        <v>0</v>
      </c>
      <c r="AI43" s="362">
        <v>0</v>
      </c>
      <c r="AJ43" s="354" t="s">
        <v>112</v>
      </c>
      <c r="AK43" s="362">
        <v>0</v>
      </c>
      <c r="AL43" s="363">
        <v>1800</v>
      </c>
      <c r="AM43" s="364">
        <v>0</v>
      </c>
      <c r="AN43" s="362">
        <v>0</v>
      </c>
      <c r="AO43" s="359" t="s">
        <v>112</v>
      </c>
      <c r="AP43" s="362">
        <v>0</v>
      </c>
      <c r="AQ43" s="363">
        <v>0</v>
      </c>
      <c r="AR43" s="357">
        <v>0</v>
      </c>
      <c r="AS43" s="358">
        <v>0</v>
      </c>
      <c r="AT43" s="358">
        <v>0</v>
      </c>
      <c r="AU43" s="365">
        <v>0</v>
      </c>
      <c r="AV43" s="365">
        <v>0</v>
      </c>
      <c r="AW43" s="365">
        <v>0</v>
      </c>
      <c r="AX43" s="359">
        <v>0</v>
      </c>
      <c r="AY43" s="359">
        <v>0</v>
      </c>
      <c r="AZ43" s="363">
        <v>1800</v>
      </c>
      <c r="BA43" s="357">
        <v>0</v>
      </c>
      <c r="BB43" s="358">
        <v>0</v>
      </c>
      <c r="BC43" s="358">
        <v>0</v>
      </c>
      <c r="BD43" s="362">
        <v>0</v>
      </c>
      <c r="BE43" s="362">
        <v>0</v>
      </c>
      <c r="BF43" s="354" t="s">
        <v>112</v>
      </c>
      <c r="BG43" s="362">
        <v>0</v>
      </c>
      <c r="BH43" s="363">
        <v>1800</v>
      </c>
      <c r="BI43" s="364">
        <v>0</v>
      </c>
      <c r="BJ43" s="362">
        <v>0</v>
      </c>
      <c r="BK43" s="359" t="s">
        <v>112</v>
      </c>
      <c r="BL43" s="362">
        <v>0</v>
      </c>
      <c r="BM43" s="363">
        <v>1800</v>
      </c>
      <c r="BN43" s="364">
        <v>0</v>
      </c>
      <c r="BO43" s="362">
        <v>0</v>
      </c>
      <c r="BP43" s="359" t="s">
        <v>112</v>
      </c>
      <c r="BQ43" s="362">
        <v>0</v>
      </c>
      <c r="BR43" s="363">
        <v>0</v>
      </c>
      <c r="BS43" s="366">
        <v>0</v>
      </c>
      <c r="BT43" s="363">
        <v>0</v>
      </c>
      <c r="BU43" s="357">
        <v>0</v>
      </c>
      <c r="BV43" s="361">
        <v>900</v>
      </c>
      <c r="BW43" s="357">
        <v>0</v>
      </c>
      <c r="BX43" s="361">
        <v>900</v>
      </c>
      <c r="BY43" s="357">
        <v>0</v>
      </c>
      <c r="BZ43" s="361">
        <v>900</v>
      </c>
      <c r="CA43" s="357">
        <v>0.60138887166976929</v>
      </c>
      <c r="CB43" s="358">
        <v>0</v>
      </c>
      <c r="CC43" s="358">
        <v>8.3333333333333332E-3</v>
      </c>
      <c r="CD43" s="359" t="s">
        <v>112</v>
      </c>
      <c r="CE43" s="358">
        <v>0</v>
      </c>
      <c r="CF43" s="361">
        <v>900</v>
      </c>
    </row>
    <row r="44" spans="1:84" s="22" customFormat="1" hidden="1" x14ac:dyDescent="0.25">
      <c r="A44" s="593" t="s">
        <v>112</v>
      </c>
      <c r="B44" s="381">
        <v>0</v>
      </c>
      <c r="C44" s="381">
        <v>0</v>
      </c>
      <c r="D44" s="381">
        <v>0</v>
      </c>
      <c r="E44" s="381">
        <v>0</v>
      </c>
      <c r="F44" s="381">
        <v>0</v>
      </c>
      <c r="G44" s="382" t="s">
        <v>112</v>
      </c>
      <c r="H44" s="382" t="s">
        <v>726</v>
      </c>
      <c r="I44" s="382">
        <v>7200</v>
      </c>
      <c r="J44" s="382">
        <v>0</v>
      </c>
      <c r="K44" s="383">
        <v>0.52013888888888882</v>
      </c>
      <c r="L44" s="152">
        <v>0</v>
      </c>
      <c r="M44" s="384" t="s">
        <v>112</v>
      </c>
      <c r="N44" s="152">
        <v>0</v>
      </c>
      <c r="O44" s="385" t="s">
        <v>726</v>
      </c>
      <c r="P44" s="152">
        <v>8.3333335816860199E-2</v>
      </c>
      <c r="Q44" s="152">
        <v>0</v>
      </c>
      <c r="R44" s="383">
        <v>0.60347222470574902</v>
      </c>
      <c r="S44" s="152">
        <v>0</v>
      </c>
      <c r="T44" s="384" t="s">
        <v>112</v>
      </c>
      <c r="U44" s="152">
        <v>0</v>
      </c>
      <c r="V44" s="385">
        <v>900</v>
      </c>
      <c r="W44" s="152">
        <v>8.3333335816860199E-2</v>
      </c>
      <c r="X44" s="152">
        <v>0</v>
      </c>
      <c r="Y44" s="152">
        <v>0</v>
      </c>
      <c r="Z44" s="383">
        <v>0.68680556052260922</v>
      </c>
      <c r="AA44" s="152">
        <v>0</v>
      </c>
      <c r="AB44" s="384" t="s">
        <v>112</v>
      </c>
      <c r="AC44" s="152">
        <v>0</v>
      </c>
      <c r="AD44" s="385" t="s">
        <v>723</v>
      </c>
      <c r="AE44" s="383">
        <v>0</v>
      </c>
      <c r="AF44" s="152">
        <v>0</v>
      </c>
      <c r="AG44" s="152">
        <v>0</v>
      </c>
      <c r="AH44" s="386">
        <v>0</v>
      </c>
      <c r="AI44" s="386">
        <v>0</v>
      </c>
      <c r="AJ44" s="380" t="s">
        <v>112</v>
      </c>
      <c r="AK44" s="386">
        <v>0</v>
      </c>
      <c r="AL44" s="387">
        <v>1800</v>
      </c>
      <c r="AM44" s="388">
        <v>0</v>
      </c>
      <c r="AN44" s="386">
        <v>0</v>
      </c>
      <c r="AO44" s="384" t="s">
        <v>112</v>
      </c>
      <c r="AP44" s="386">
        <v>0</v>
      </c>
      <c r="AQ44" s="387">
        <v>0</v>
      </c>
      <c r="AR44" s="383">
        <v>0</v>
      </c>
      <c r="AS44" s="152">
        <v>0</v>
      </c>
      <c r="AT44" s="152">
        <v>0</v>
      </c>
      <c r="AU44" s="389">
        <v>0</v>
      </c>
      <c r="AV44" s="389">
        <v>0</v>
      </c>
      <c r="AW44" s="389">
        <v>0</v>
      </c>
      <c r="AX44" s="384">
        <v>0</v>
      </c>
      <c r="AY44" s="384">
        <v>0</v>
      </c>
      <c r="AZ44" s="387">
        <v>1800</v>
      </c>
      <c r="BA44" s="383">
        <v>0</v>
      </c>
      <c r="BB44" s="152">
        <v>0</v>
      </c>
      <c r="BC44" s="152">
        <v>0</v>
      </c>
      <c r="BD44" s="386">
        <v>0</v>
      </c>
      <c r="BE44" s="386">
        <v>0</v>
      </c>
      <c r="BF44" s="380" t="s">
        <v>112</v>
      </c>
      <c r="BG44" s="386">
        <v>0</v>
      </c>
      <c r="BH44" s="387">
        <v>1800</v>
      </c>
      <c r="BI44" s="388">
        <v>0</v>
      </c>
      <c r="BJ44" s="386">
        <v>0</v>
      </c>
      <c r="BK44" s="384" t="s">
        <v>112</v>
      </c>
      <c r="BL44" s="386">
        <v>0</v>
      </c>
      <c r="BM44" s="387">
        <v>1800</v>
      </c>
      <c r="BN44" s="388">
        <v>0</v>
      </c>
      <c r="BO44" s="386">
        <v>0</v>
      </c>
      <c r="BP44" s="384" t="s">
        <v>112</v>
      </c>
      <c r="BQ44" s="386">
        <v>0</v>
      </c>
      <c r="BR44" s="387">
        <v>0</v>
      </c>
      <c r="BS44" s="390">
        <v>0</v>
      </c>
      <c r="BT44" s="387">
        <v>0</v>
      </c>
      <c r="BU44" s="383">
        <v>0</v>
      </c>
      <c r="BV44" s="391">
        <v>900</v>
      </c>
      <c r="BW44" s="383">
        <v>0</v>
      </c>
      <c r="BX44" s="391">
        <v>900</v>
      </c>
      <c r="BY44" s="383">
        <v>0</v>
      </c>
      <c r="BZ44" s="391">
        <v>900</v>
      </c>
      <c r="CA44" s="383">
        <v>0.60138887166976929</v>
      </c>
      <c r="CB44" s="152">
        <v>0</v>
      </c>
      <c r="CC44" s="152">
        <v>8.3333333333333332E-3</v>
      </c>
      <c r="CD44" s="384" t="s">
        <v>112</v>
      </c>
      <c r="CE44" s="152">
        <v>0</v>
      </c>
      <c r="CF44" s="391">
        <v>900</v>
      </c>
    </row>
    <row r="45" spans="1:84" s="367" customFormat="1" hidden="1" x14ac:dyDescent="0.25">
      <c r="A45" s="592" t="s">
        <v>112</v>
      </c>
      <c r="B45" s="355">
        <v>0</v>
      </c>
      <c r="C45" s="355">
        <v>0</v>
      </c>
      <c r="D45" s="355">
        <v>0</v>
      </c>
      <c r="E45" s="355">
        <v>0</v>
      </c>
      <c r="F45" s="355">
        <v>0</v>
      </c>
      <c r="G45" s="356" t="s">
        <v>112</v>
      </c>
      <c r="H45" s="356" t="s">
        <v>726</v>
      </c>
      <c r="I45" s="356">
        <v>7200</v>
      </c>
      <c r="J45" s="356">
        <v>0</v>
      </c>
      <c r="K45" s="357">
        <v>0.52013888888888882</v>
      </c>
      <c r="L45" s="358">
        <v>0</v>
      </c>
      <c r="M45" s="359" t="s">
        <v>112</v>
      </c>
      <c r="N45" s="358">
        <v>0</v>
      </c>
      <c r="O45" s="360" t="s">
        <v>726</v>
      </c>
      <c r="P45" s="358">
        <v>8.3333335816860199E-2</v>
      </c>
      <c r="Q45" s="358">
        <v>0</v>
      </c>
      <c r="R45" s="357">
        <v>0.60347222470574902</v>
      </c>
      <c r="S45" s="358">
        <v>0</v>
      </c>
      <c r="T45" s="359" t="s">
        <v>112</v>
      </c>
      <c r="U45" s="358">
        <v>0</v>
      </c>
      <c r="V45" s="360">
        <v>900</v>
      </c>
      <c r="W45" s="358">
        <v>8.3333335816860199E-2</v>
      </c>
      <c r="X45" s="358">
        <v>0</v>
      </c>
      <c r="Y45" s="358">
        <v>0</v>
      </c>
      <c r="Z45" s="357">
        <v>0.68680556052260922</v>
      </c>
      <c r="AA45" s="358">
        <v>0</v>
      </c>
      <c r="AB45" s="359" t="s">
        <v>112</v>
      </c>
      <c r="AC45" s="358">
        <v>0</v>
      </c>
      <c r="AD45" s="360" t="s">
        <v>723</v>
      </c>
      <c r="AE45" s="357">
        <v>0</v>
      </c>
      <c r="AF45" s="358">
        <v>0</v>
      </c>
      <c r="AG45" s="358">
        <v>0</v>
      </c>
      <c r="AH45" s="362">
        <v>0</v>
      </c>
      <c r="AI45" s="362">
        <v>0</v>
      </c>
      <c r="AJ45" s="354" t="s">
        <v>112</v>
      </c>
      <c r="AK45" s="362">
        <v>0</v>
      </c>
      <c r="AL45" s="363">
        <v>1800</v>
      </c>
      <c r="AM45" s="364">
        <v>0</v>
      </c>
      <c r="AN45" s="362">
        <v>0</v>
      </c>
      <c r="AO45" s="359" t="s">
        <v>112</v>
      </c>
      <c r="AP45" s="362">
        <v>0</v>
      </c>
      <c r="AQ45" s="363">
        <v>0</v>
      </c>
      <c r="AR45" s="357">
        <v>0</v>
      </c>
      <c r="AS45" s="358">
        <v>0</v>
      </c>
      <c r="AT45" s="358">
        <v>0</v>
      </c>
      <c r="AU45" s="365">
        <v>0</v>
      </c>
      <c r="AV45" s="365">
        <v>0</v>
      </c>
      <c r="AW45" s="365">
        <v>0</v>
      </c>
      <c r="AX45" s="359">
        <v>0</v>
      </c>
      <c r="AY45" s="359">
        <v>0</v>
      </c>
      <c r="AZ45" s="363">
        <v>1800</v>
      </c>
      <c r="BA45" s="357">
        <v>0</v>
      </c>
      <c r="BB45" s="358">
        <v>0</v>
      </c>
      <c r="BC45" s="358">
        <v>0</v>
      </c>
      <c r="BD45" s="362">
        <v>0</v>
      </c>
      <c r="BE45" s="362">
        <v>0</v>
      </c>
      <c r="BF45" s="354" t="s">
        <v>112</v>
      </c>
      <c r="BG45" s="362">
        <v>0</v>
      </c>
      <c r="BH45" s="363">
        <v>1800</v>
      </c>
      <c r="BI45" s="364">
        <v>0</v>
      </c>
      <c r="BJ45" s="362">
        <v>0</v>
      </c>
      <c r="BK45" s="359" t="s">
        <v>112</v>
      </c>
      <c r="BL45" s="362">
        <v>0</v>
      </c>
      <c r="BM45" s="363">
        <v>1800</v>
      </c>
      <c r="BN45" s="364">
        <v>0</v>
      </c>
      <c r="BO45" s="362">
        <v>0</v>
      </c>
      <c r="BP45" s="359" t="s">
        <v>112</v>
      </c>
      <c r="BQ45" s="362">
        <v>0</v>
      </c>
      <c r="BR45" s="363">
        <v>0</v>
      </c>
      <c r="BS45" s="366">
        <v>0</v>
      </c>
      <c r="BT45" s="363">
        <v>0</v>
      </c>
      <c r="BU45" s="357">
        <v>0</v>
      </c>
      <c r="BV45" s="361">
        <v>900</v>
      </c>
      <c r="BW45" s="357">
        <v>0</v>
      </c>
      <c r="BX45" s="361">
        <v>900</v>
      </c>
      <c r="BY45" s="357">
        <v>0</v>
      </c>
      <c r="BZ45" s="361">
        <v>900</v>
      </c>
      <c r="CA45" s="357">
        <v>0.60138887166976929</v>
      </c>
      <c r="CB45" s="358">
        <v>0</v>
      </c>
      <c r="CC45" s="358">
        <v>8.3333333333333332E-3</v>
      </c>
      <c r="CD45" s="359" t="s">
        <v>112</v>
      </c>
      <c r="CE45" s="358">
        <v>0</v>
      </c>
      <c r="CF45" s="361">
        <v>900</v>
      </c>
    </row>
    <row r="46" spans="1:84" s="22" customFormat="1" hidden="1" x14ac:dyDescent="0.25">
      <c r="A46" s="593" t="s">
        <v>112</v>
      </c>
      <c r="B46" s="381">
        <v>0</v>
      </c>
      <c r="C46" s="381">
        <v>0</v>
      </c>
      <c r="D46" s="381">
        <v>0</v>
      </c>
      <c r="E46" s="381">
        <v>0</v>
      </c>
      <c r="F46" s="381">
        <v>0</v>
      </c>
      <c r="G46" s="382" t="s">
        <v>112</v>
      </c>
      <c r="H46" s="382" t="s">
        <v>726</v>
      </c>
      <c r="I46" s="382">
        <v>7200</v>
      </c>
      <c r="J46" s="382">
        <v>0</v>
      </c>
      <c r="K46" s="383">
        <v>0.52013888888888882</v>
      </c>
      <c r="L46" s="152">
        <v>0</v>
      </c>
      <c r="M46" s="384" t="s">
        <v>112</v>
      </c>
      <c r="N46" s="152">
        <v>0</v>
      </c>
      <c r="O46" s="385" t="s">
        <v>726</v>
      </c>
      <c r="P46" s="152">
        <v>8.3333335816860199E-2</v>
      </c>
      <c r="Q46" s="152">
        <v>0</v>
      </c>
      <c r="R46" s="383">
        <v>0.60347222470574902</v>
      </c>
      <c r="S46" s="152">
        <v>0</v>
      </c>
      <c r="T46" s="384" t="s">
        <v>112</v>
      </c>
      <c r="U46" s="152">
        <v>0</v>
      </c>
      <c r="V46" s="385">
        <v>900</v>
      </c>
      <c r="W46" s="152">
        <v>8.3333335816860199E-2</v>
      </c>
      <c r="X46" s="152">
        <v>0</v>
      </c>
      <c r="Y46" s="152">
        <v>0</v>
      </c>
      <c r="Z46" s="383">
        <v>0.68680556052260922</v>
      </c>
      <c r="AA46" s="152">
        <v>0</v>
      </c>
      <c r="AB46" s="384" t="s">
        <v>112</v>
      </c>
      <c r="AC46" s="152">
        <v>0</v>
      </c>
      <c r="AD46" s="385" t="s">
        <v>723</v>
      </c>
      <c r="AE46" s="383">
        <v>0</v>
      </c>
      <c r="AF46" s="152">
        <v>0</v>
      </c>
      <c r="AG46" s="152">
        <v>0</v>
      </c>
      <c r="AH46" s="386">
        <v>0</v>
      </c>
      <c r="AI46" s="386">
        <v>0</v>
      </c>
      <c r="AJ46" s="380" t="s">
        <v>112</v>
      </c>
      <c r="AK46" s="386">
        <v>0</v>
      </c>
      <c r="AL46" s="387">
        <v>1800</v>
      </c>
      <c r="AM46" s="388">
        <v>0</v>
      </c>
      <c r="AN46" s="386">
        <v>0</v>
      </c>
      <c r="AO46" s="384" t="s">
        <v>112</v>
      </c>
      <c r="AP46" s="386">
        <v>0</v>
      </c>
      <c r="AQ46" s="387">
        <v>0</v>
      </c>
      <c r="AR46" s="383">
        <v>0</v>
      </c>
      <c r="AS46" s="152">
        <v>0</v>
      </c>
      <c r="AT46" s="152">
        <v>0</v>
      </c>
      <c r="AU46" s="389">
        <v>0</v>
      </c>
      <c r="AV46" s="389">
        <v>0</v>
      </c>
      <c r="AW46" s="389">
        <v>0</v>
      </c>
      <c r="AX46" s="384">
        <v>0</v>
      </c>
      <c r="AY46" s="384">
        <v>0</v>
      </c>
      <c r="AZ46" s="387">
        <v>1800</v>
      </c>
      <c r="BA46" s="383">
        <v>0</v>
      </c>
      <c r="BB46" s="152">
        <v>0</v>
      </c>
      <c r="BC46" s="152">
        <v>0</v>
      </c>
      <c r="BD46" s="386">
        <v>0</v>
      </c>
      <c r="BE46" s="386">
        <v>0</v>
      </c>
      <c r="BF46" s="380" t="s">
        <v>112</v>
      </c>
      <c r="BG46" s="386">
        <v>0</v>
      </c>
      <c r="BH46" s="387">
        <v>1800</v>
      </c>
      <c r="BI46" s="388">
        <v>0</v>
      </c>
      <c r="BJ46" s="386">
        <v>0</v>
      </c>
      <c r="BK46" s="384" t="s">
        <v>112</v>
      </c>
      <c r="BL46" s="386">
        <v>0</v>
      </c>
      <c r="BM46" s="387">
        <v>1800</v>
      </c>
      <c r="BN46" s="388">
        <v>0</v>
      </c>
      <c r="BO46" s="386">
        <v>0</v>
      </c>
      <c r="BP46" s="384" t="s">
        <v>112</v>
      </c>
      <c r="BQ46" s="386">
        <v>0</v>
      </c>
      <c r="BR46" s="387">
        <v>0</v>
      </c>
      <c r="BS46" s="390">
        <v>0</v>
      </c>
      <c r="BT46" s="387">
        <v>0</v>
      </c>
      <c r="BU46" s="383">
        <v>0</v>
      </c>
      <c r="BV46" s="391">
        <v>900</v>
      </c>
      <c r="BW46" s="383">
        <v>0</v>
      </c>
      <c r="BX46" s="391">
        <v>900</v>
      </c>
      <c r="BY46" s="383">
        <v>0</v>
      </c>
      <c r="BZ46" s="391">
        <v>900</v>
      </c>
      <c r="CA46" s="383">
        <v>0.60138887166976929</v>
      </c>
      <c r="CB46" s="152">
        <v>0</v>
      </c>
      <c r="CC46" s="152">
        <v>8.3333333333333332E-3</v>
      </c>
      <c r="CD46" s="384" t="s">
        <v>112</v>
      </c>
      <c r="CE46" s="152">
        <v>0</v>
      </c>
      <c r="CF46" s="391">
        <v>900</v>
      </c>
    </row>
    <row r="47" spans="1:84" s="367" customFormat="1" hidden="1" x14ac:dyDescent="0.25">
      <c r="A47" s="592" t="s">
        <v>112</v>
      </c>
      <c r="B47" s="355">
        <v>0</v>
      </c>
      <c r="C47" s="355">
        <v>0</v>
      </c>
      <c r="D47" s="355">
        <v>0</v>
      </c>
      <c r="E47" s="355">
        <v>0</v>
      </c>
      <c r="F47" s="355">
        <v>0</v>
      </c>
      <c r="G47" s="356" t="s">
        <v>112</v>
      </c>
      <c r="H47" s="356" t="s">
        <v>726</v>
      </c>
      <c r="I47" s="356">
        <v>7200</v>
      </c>
      <c r="J47" s="356">
        <v>0</v>
      </c>
      <c r="K47" s="357">
        <v>0.52013888888888882</v>
      </c>
      <c r="L47" s="358">
        <v>0</v>
      </c>
      <c r="M47" s="359" t="s">
        <v>112</v>
      </c>
      <c r="N47" s="358">
        <v>0</v>
      </c>
      <c r="O47" s="360" t="s">
        <v>726</v>
      </c>
      <c r="P47" s="358">
        <v>8.3333335816860199E-2</v>
      </c>
      <c r="Q47" s="358">
        <v>0</v>
      </c>
      <c r="R47" s="357">
        <v>0.60347222470574902</v>
      </c>
      <c r="S47" s="358">
        <v>0</v>
      </c>
      <c r="T47" s="359" t="s">
        <v>112</v>
      </c>
      <c r="U47" s="358">
        <v>0</v>
      </c>
      <c r="V47" s="360">
        <v>900</v>
      </c>
      <c r="W47" s="358">
        <v>8.3333335816860199E-2</v>
      </c>
      <c r="X47" s="358">
        <v>0</v>
      </c>
      <c r="Y47" s="358">
        <v>0</v>
      </c>
      <c r="Z47" s="357">
        <v>0.68680556052260922</v>
      </c>
      <c r="AA47" s="358">
        <v>0</v>
      </c>
      <c r="AB47" s="359" t="s">
        <v>112</v>
      </c>
      <c r="AC47" s="358">
        <v>0</v>
      </c>
      <c r="AD47" s="360" t="s">
        <v>723</v>
      </c>
      <c r="AE47" s="357">
        <v>0</v>
      </c>
      <c r="AF47" s="358">
        <v>0</v>
      </c>
      <c r="AG47" s="358">
        <v>0</v>
      </c>
      <c r="AH47" s="362">
        <v>0</v>
      </c>
      <c r="AI47" s="362">
        <v>0</v>
      </c>
      <c r="AJ47" s="354" t="s">
        <v>112</v>
      </c>
      <c r="AK47" s="362">
        <v>0</v>
      </c>
      <c r="AL47" s="363">
        <v>1800</v>
      </c>
      <c r="AM47" s="364">
        <v>0</v>
      </c>
      <c r="AN47" s="362">
        <v>0</v>
      </c>
      <c r="AO47" s="359" t="s">
        <v>112</v>
      </c>
      <c r="AP47" s="362">
        <v>0</v>
      </c>
      <c r="AQ47" s="363">
        <v>0</v>
      </c>
      <c r="AR47" s="357">
        <v>0</v>
      </c>
      <c r="AS47" s="358">
        <v>0</v>
      </c>
      <c r="AT47" s="358">
        <v>0</v>
      </c>
      <c r="AU47" s="365">
        <v>0</v>
      </c>
      <c r="AV47" s="365">
        <v>0</v>
      </c>
      <c r="AW47" s="365">
        <v>0</v>
      </c>
      <c r="AX47" s="359">
        <v>0</v>
      </c>
      <c r="AY47" s="359">
        <v>0</v>
      </c>
      <c r="AZ47" s="363">
        <v>1800</v>
      </c>
      <c r="BA47" s="357">
        <v>0</v>
      </c>
      <c r="BB47" s="358">
        <v>0</v>
      </c>
      <c r="BC47" s="358">
        <v>0</v>
      </c>
      <c r="BD47" s="362">
        <v>0</v>
      </c>
      <c r="BE47" s="362">
        <v>0</v>
      </c>
      <c r="BF47" s="354" t="s">
        <v>112</v>
      </c>
      <c r="BG47" s="362">
        <v>0</v>
      </c>
      <c r="BH47" s="363">
        <v>1800</v>
      </c>
      <c r="BI47" s="364">
        <v>0</v>
      </c>
      <c r="BJ47" s="362">
        <v>0</v>
      </c>
      <c r="BK47" s="359" t="s">
        <v>112</v>
      </c>
      <c r="BL47" s="362">
        <v>0</v>
      </c>
      <c r="BM47" s="363">
        <v>1800</v>
      </c>
      <c r="BN47" s="364">
        <v>0</v>
      </c>
      <c r="BO47" s="362">
        <v>0</v>
      </c>
      <c r="BP47" s="359" t="s">
        <v>112</v>
      </c>
      <c r="BQ47" s="362">
        <v>0</v>
      </c>
      <c r="BR47" s="363">
        <v>0</v>
      </c>
      <c r="BS47" s="366">
        <v>0</v>
      </c>
      <c r="BT47" s="363">
        <v>0</v>
      </c>
      <c r="BU47" s="357">
        <v>0</v>
      </c>
      <c r="BV47" s="361">
        <v>900</v>
      </c>
      <c r="BW47" s="357">
        <v>0</v>
      </c>
      <c r="BX47" s="361">
        <v>900</v>
      </c>
      <c r="BY47" s="357">
        <v>0</v>
      </c>
      <c r="BZ47" s="361">
        <v>900</v>
      </c>
      <c r="CA47" s="357">
        <v>0.60138887166976929</v>
      </c>
      <c r="CB47" s="358">
        <v>0</v>
      </c>
      <c r="CC47" s="358">
        <v>8.3333333333333332E-3</v>
      </c>
      <c r="CD47" s="359" t="s">
        <v>112</v>
      </c>
      <c r="CE47" s="358">
        <v>0</v>
      </c>
      <c r="CF47" s="361">
        <v>900</v>
      </c>
    </row>
    <row r="48" spans="1:84" s="22" customFormat="1" hidden="1" x14ac:dyDescent="0.25">
      <c r="A48" s="593" t="s">
        <v>112</v>
      </c>
      <c r="B48" s="381">
        <v>0</v>
      </c>
      <c r="C48" s="381">
        <v>0</v>
      </c>
      <c r="D48" s="381">
        <v>0</v>
      </c>
      <c r="E48" s="381">
        <v>0</v>
      </c>
      <c r="F48" s="381">
        <v>0</v>
      </c>
      <c r="G48" s="382" t="s">
        <v>112</v>
      </c>
      <c r="H48" s="382" t="s">
        <v>726</v>
      </c>
      <c r="I48" s="382">
        <v>7200</v>
      </c>
      <c r="J48" s="382">
        <v>0</v>
      </c>
      <c r="K48" s="383">
        <v>0.52013888888888882</v>
      </c>
      <c r="L48" s="152">
        <v>0</v>
      </c>
      <c r="M48" s="384" t="s">
        <v>112</v>
      </c>
      <c r="N48" s="152">
        <v>0</v>
      </c>
      <c r="O48" s="385" t="s">
        <v>726</v>
      </c>
      <c r="P48" s="152">
        <v>8.3333335816860199E-2</v>
      </c>
      <c r="Q48" s="152">
        <v>0</v>
      </c>
      <c r="R48" s="383">
        <v>0.60347222470574902</v>
      </c>
      <c r="S48" s="152">
        <v>0</v>
      </c>
      <c r="T48" s="384" t="s">
        <v>112</v>
      </c>
      <c r="U48" s="152">
        <v>0</v>
      </c>
      <c r="V48" s="385">
        <v>900</v>
      </c>
      <c r="W48" s="152">
        <v>8.3333335816860199E-2</v>
      </c>
      <c r="X48" s="152">
        <v>0</v>
      </c>
      <c r="Y48" s="152">
        <v>0</v>
      </c>
      <c r="Z48" s="383">
        <v>0.68680556052260922</v>
      </c>
      <c r="AA48" s="152">
        <v>0</v>
      </c>
      <c r="AB48" s="384" t="s">
        <v>112</v>
      </c>
      <c r="AC48" s="152">
        <v>0</v>
      </c>
      <c r="AD48" s="385" t="s">
        <v>723</v>
      </c>
      <c r="AE48" s="383">
        <v>0</v>
      </c>
      <c r="AF48" s="152">
        <v>0</v>
      </c>
      <c r="AG48" s="152">
        <v>0</v>
      </c>
      <c r="AH48" s="386">
        <v>0</v>
      </c>
      <c r="AI48" s="386">
        <v>0</v>
      </c>
      <c r="AJ48" s="380" t="s">
        <v>112</v>
      </c>
      <c r="AK48" s="386">
        <v>0</v>
      </c>
      <c r="AL48" s="387">
        <v>1800</v>
      </c>
      <c r="AM48" s="388">
        <v>0</v>
      </c>
      <c r="AN48" s="386">
        <v>0</v>
      </c>
      <c r="AO48" s="384" t="s">
        <v>112</v>
      </c>
      <c r="AP48" s="386">
        <v>0</v>
      </c>
      <c r="AQ48" s="387">
        <v>0</v>
      </c>
      <c r="AR48" s="383">
        <v>0</v>
      </c>
      <c r="AS48" s="152">
        <v>0</v>
      </c>
      <c r="AT48" s="152">
        <v>0</v>
      </c>
      <c r="AU48" s="389">
        <v>0</v>
      </c>
      <c r="AV48" s="389">
        <v>0</v>
      </c>
      <c r="AW48" s="389">
        <v>0</v>
      </c>
      <c r="AX48" s="384">
        <v>0</v>
      </c>
      <c r="AY48" s="384">
        <v>0</v>
      </c>
      <c r="AZ48" s="387">
        <v>1800</v>
      </c>
      <c r="BA48" s="383">
        <v>0</v>
      </c>
      <c r="BB48" s="152">
        <v>0</v>
      </c>
      <c r="BC48" s="152">
        <v>0</v>
      </c>
      <c r="BD48" s="386">
        <v>0</v>
      </c>
      <c r="BE48" s="386">
        <v>0</v>
      </c>
      <c r="BF48" s="380" t="s">
        <v>112</v>
      </c>
      <c r="BG48" s="386">
        <v>0</v>
      </c>
      <c r="BH48" s="387">
        <v>1800</v>
      </c>
      <c r="BI48" s="388">
        <v>0</v>
      </c>
      <c r="BJ48" s="386">
        <v>0</v>
      </c>
      <c r="BK48" s="384" t="s">
        <v>112</v>
      </c>
      <c r="BL48" s="386">
        <v>0</v>
      </c>
      <c r="BM48" s="387">
        <v>1800</v>
      </c>
      <c r="BN48" s="388">
        <v>0</v>
      </c>
      <c r="BO48" s="386">
        <v>0</v>
      </c>
      <c r="BP48" s="384" t="s">
        <v>112</v>
      </c>
      <c r="BQ48" s="386">
        <v>0</v>
      </c>
      <c r="BR48" s="387">
        <v>0</v>
      </c>
      <c r="BS48" s="390">
        <v>0</v>
      </c>
      <c r="BT48" s="387">
        <v>0</v>
      </c>
      <c r="BU48" s="383">
        <v>0</v>
      </c>
      <c r="BV48" s="391">
        <v>900</v>
      </c>
      <c r="BW48" s="383">
        <v>0</v>
      </c>
      <c r="BX48" s="391">
        <v>900</v>
      </c>
      <c r="BY48" s="383">
        <v>0</v>
      </c>
      <c r="BZ48" s="391">
        <v>900</v>
      </c>
      <c r="CA48" s="383">
        <v>0.60138887166976929</v>
      </c>
      <c r="CB48" s="152">
        <v>0</v>
      </c>
      <c r="CC48" s="152">
        <v>8.3333333333333332E-3</v>
      </c>
      <c r="CD48" s="384" t="s">
        <v>112</v>
      </c>
      <c r="CE48" s="152">
        <v>0</v>
      </c>
      <c r="CF48" s="391">
        <v>900</v>
      </c>
    </row>
    <row r="49" spans="1:84" s="367" customFormat="1" hidden="1" x14ac:dyDescent="0.25">
      <c r="A49" s="592" t="s">
        <v>112</v>
      </c>
      <c r="B49" s="355">
        <v>0</v>
      </c>
      <c r="C49" s="355">
        <v>0</v>
      </c>
      <c r="D49" s="355">
        <v>0</v>
      </c>
      <c r="E49" s="355">
        <v>0</v>
      </c>
      <c r="F49" s="355">
        <v>0</v>
      </c>
      <c r="G49" s="356" t="s">
        <v>112</v>
      </c>
      <c r="H49" s="356" t="s">
        <v>726</v>
      </c>
      <c r="I49" s="356">
        <v>7200</v>
      </c>
      <c r="J49" s="356">
        <v>0</v>
      </c>
      <c r="K49" s="357">
        <v>0.52013888888888882</v>
      </c>
      <c r="L49" s="358">
        <v>0</v>
      </c>
      <c r="M49" s="359" t="s">
        <v>112</v>
      </c>
      <c r="N49" s="358">
        <v>0</v>
      </c>
      <c r="O49" s="360" t="s">
        <v>726</v>
      </c>
      <c r="P49" s="358">
        <v>8.3333335816860199E-2</v>
      </c>
      <c r="Q49" s="358">
        <v>0</v>
      </c>
      <c r="R49" s="357">
        <v>0.60347222470574902</v>
      </c>
      <c r="S49" s="358">
        <v>0</v>
      </c>
      <c r="T49" s="359" t="s">
        <v>112</v>
      </c>
      <c r="U49" s="358">
        <v>0</v>
      </c>
      <c r="V49" s="360">
        <v>900</v>
      </c>
      <c r="W49" s="358">
        <v>8.3333335816860199E-2</v>
      </c>
      <c r="X49" s="358">
        <v>0</v>
      </c>
      <c r="Y49" s="358">
        <v>0</v>
      </c>
      <c r="Z49" s="357">
        <v>0.68680556052260922</v>
      </c>
      <c r="AA49" s="358">
        <v>0</v>
      </c>
      <c r="AB49" s="359" t="s">
        <v>112</v>
      </c>
      <c r="AC49" s="358">
        <v>0</v>
      </c>
      <c r="AD49" s="360" t="s">
        <v>723</v>
      </c>
      <c r="AE49" s="357">
        <v>0</v>
      </c>
      <c r="AF49" s="358">
        <v>0</v>
      </c>
      <c r="AG49" s="358">
        <v>0</v>
      </c>
      <c r="AH49" s="362">
        <v>0</v>
      </c>
      <c r="AI49" s="362">
        <v>0</v>
      </c>
      <c r="AJ49" s="354" t="s">
        <v>112</v>
      </c>
      <c r="AK49" s="362">
        <v>0</v>
      </c>
      <c r="AL49" s="363">
        <v>1800</v>
      </c>
      <c r="AM49" s="364">
        <v>0</v>
      </c>
      <c r="AN49" s="362">
        <v>0</v>
      </c>
      <c r="AO49" s="359" t="s">
        <v>112</v>
      </c>
      <c r="AP49" s="362">
        <v>0</v>
      </c>
      <c r="AQ49" s="363">
        <v>0</v>
      </c>
      <c r="AR49" s="357">
        <v>0</v>
      </c>
      <c r="AS49" s="358">
        <v>0</v>
      </c>
      <c r="AT49" s="358">
        <v>0</v>
      </c>
      <c r="AU49" s="365">
        <v>0</v>
      </c>
      <c r="AV49" s="365">
        <v>0</v>
      </c>
      <c r="AW49" s="365">
        <v>0</v>
      </c>
      <c r="AX49" s="359">
        <v>0</v>
      </c>
      <c r="AY49" s="359">
        <v>0</v>
      </c>
      <c r="AZ49" s="363">
        <v>1800</v>
      </c>
      <c r="BA49" s="357">
        <v>0</v>
      </c>
      <c r="BB49" s="358">
        <v>0</v>
      </c>
      <c r="BC49" s="358">
        <v>0</v>
      </c>
      <c r="BD49" s="362">
        <v>0</v>
      </c>
      <c r="BE49" s="362">
        <v>0</v>
      </c>
      <c r="BF49" s="354" t="s">
        <v>112</v>
      </c>
      <c r="BG49" s="362">
        <v>0</v>
      </c>
      <c r="BH49" s="363">
        <v>1800</v>
      </c>
      <c r="BI49" s="364">
        <v>0</v>
      </c>
      <c r="BJ49" s="362">
        <v>0</v>
      </c>
      <c r="BK49" s="359" t="s">
        <v>112</v>
      </c>
      <c r="BL49" s="362">
        <v>0</v>
      </c>
      <c r="BM49" s="363">
        <v>1800</v>
      </c>
      <c r="BN49" s="364">
        <v>0</v>
      </c>
      <c r="BO49" s="362">
        <v>0</v>
      </c>
      <c r="BP49" s="359" t="s">
        <v>112</v>
      </c>
      <c r="BQ49" s="362">
        <v>0</v>
      </c>
      <c r="BR49" s="363">
        <v>0</v>
      </c>
      <c r="BS49" s="366">
        <v>0</v>
      </c>
      <c r="BT49" s="363">
        <v>0</v>
      </c>
      <c r="BU49" s="357">
        <v>0</v>
      </c>
      <c r="BV49" s="361">
        <v>900</v>
      </c>
      <c r="BW49" s="357">
        <v>0</v>
      </c>
      <c r="BX49" s="361">
        <v>900</v>
      </c>
      <c r="BY49" s="357">
        <v>0</v>
      </c>
      <c r="BZ49" s="361">
        <v>900</v>
      </c>
      <c r="CA49" s="357">
        <v>0.60138887166976929</v>
      </c>
      <c r="CB49" s="358">
        <v>0</v>
      </c>
      <c r="CC49" s="358">
        <v>8.3333333333333332E-3</v>
      </c>
      <c r="CD49" s="359" t="s">
        <v>112</v>
      </c>
      <c r="CE49" s="358">
        <v>0</v>
      </c>
      <c r="CF49" s="361">
        <v>900</v>
      </c>
    </row>
    <row r="50" spans="1:84" s="22" customFormat="1" hidden="1" x14ac:dyDescent="0.25">
      <c r="A50" s="593" t="s">
        <v>112</v>
      </c>
      <c r="B50" s="381">
        <v>0</v>
      </c>
      <c r="C50" s="381">
        <v>0</v>
      </c>
      <c r="D50" s="381">
        <v>0</v>
      </c>
      <c r="E50" s="381">
        <v>0</v>
      </c>
      <c r="F50" s="381">
        <v>0</v>
      </c>
      <c r="G50" s="382" t="s">
        <v>112</v>
      </c>
      <c r="H50" s="382" t="s">
        <v>726</v>
      </c>
      <c r="I50" s="382">
        <v>7200</v>
      </c>
      <c r="J50" s="382">
        <v>0</v>
      </c>
      <c r="K50" s="383">
        <v>0.52013888888888882</v>
      </c>
      <c r="L50" s="152">
        <v>0</v>
      </c>
      <c r="M50" s="384" t="s">
        <v>112</v>
      </c>
      <c r="N50" s="152">
        <v>0</v>
      </c>
      <c r="O50" s="385" t="s">
        <v>726</v>
      </c>
      <c r="P50" s="152">
        <v>8.3333335816860199E-2</v>
      </c>
      <c r="Q50" s="152">
        <v>0</v>
      </c>
      <c r="R50" s="383">
        <v>0.60347222470574902</v>
      </c>
      <c r="S50" s="152">
        <v>0</v>
      </c>
      <c r="T50" s="384" t="s">
        <v>112</v>
      </c>
      <c r="U50" s="152">
        <v>0</v>
      </c>
      <c r="V50" s="385">
        <v>900</v>
      </c>
      <c r="W50" s="152">
        <v>8.3333335816860199E-2</v>
      </c>
      <c r="X50" s="152">
        <v>0</v>
      </c>
      <c r="Y50" s="152">
        <v>0</v>
      </c>
      <c r="Z50" s="383">
        <v>0.68680556052260922</v>
      </c>
      <c r="AA50" s="152">
        <v>0</v>
      </c>
      <c r="AB50" s="384" t="s">
        <v>112</v>
      </c>
      <c r="AC50" s="152">
        <v>0</v>
      </c>
      <c r="AD50" s="385" t="s">
        <v>723</v>
      </c>
      <c r="AE50" s="383">
        <v>0</v>
      </c>
      <c r="AF50" s="152">
        <v>0</v>
      </c>
      <c r="AG50" s="152">
        <v>0</v>
      </c>
      <c r="AH50" s="386">
        <v>0</v>
      </c>
      <c r="AI50" s="386">
        <v>0</v>
      </c>
      <c r="AJ50" s="380" t="s">
        <v>112</v>
      </c>
      <c r="AK50" s="386">
        <v>0</v>
      </c>
      <c r="AL50" s="387">
        <v>1800</v>
      </c>
      <c r="AM50" s="388">
        <v>0</v>
      </c>
      <c r="AN50" s="386">
        <v>0</v>
      </c>
      <c r="AO50" s="384" t="s">
        <v>112</v>
      </c>
      <c r="AP50" s="386">
        <v>0</v>
      </c>
      <c r="AQ50" s="387">
        <v>0</v>
      </c>
      <c r="AR50" s="383">
        <v>0</v>
      </c>
      <c r="AS50" s="152">
        <v>0</v>
      </c>
      <c r="AT50" s="152">
        <v>0</v>
      </c>
      <c r="AU50" s="389">
        <v>0</v>
      </c>
      <c r="AV50" s="389">
        <v>0</v>
      </c>
      <c r="AW50" s="389">
        <v>0</v>
      </c>
      <c r="AX50" s="384">
        <v>0</v>
      </c>
      <c r="AY50" s="384">
        <v>0</v>
      </c>
      <c r="AZ50" s="387">
        <v>1800</v>
      </c>
      <c r="BA50" s="383">
        <v>0</v>
      </c>
      <c r="BB50" s="152">
        <v>0</v>
      </c>
      <c r="BC50" s="152">
        <v>0</v>
      </c>
      <c r="BD50" s="386">
        <v>0</v>
      </c>
      <c r="BE50" s="386">
        <v>0</v>
      </c>
      <c r="BF50" s="380" t="s">
        <v>112</v>
      </c>
      <c r="BG50" s="386">
        <v>0</v>
      </c>
      <c r="BH50" s="387">
        <v>1800</v>
      </c>
      <c r="BI50" s="388">
        <v>0</v>
      </c>
      <c r="BJ50" s="386">
        <v>0</v>
      </c>
      <c r="BK50" s="384" t="s">
        <v>112</v>
      </c>
      <c r="BL50" s="386">
        <v>0</v>
      </c>
      <c r="BM50" s="387">
        <v>1800</v>
      </c>
      <c r="BN50" s="388">
        <v>0</v>
      </c>
      <c r="BO50" s="386">
        <v>0</v>
      </c>
      <c r="BP50" s="384" t="s">
        <v>112</v>
      </c>
      <c r="BQ50" s="386">
        <v>0</v>
      </c>
      <c r="BR50" s="387">
        <v>0</v>
      </c>
      <c r="BS50" s="390">
        <v>0</v>
      </c>
      <c r="BT50" s="387">
        <v>0</v>
      </c>
      <c r="BU50" s="383">
        <v>0</v>
      </c>
      <c r="BV50" s="391">
        <v>900</v>
      </c>
      <c r="BW50" s="383">
        <v>0</v>
      </c>
      <c r="BX50" s="391">
        <v>900</v>
      </c>
      <c r="BY50" s="383">
        <v>0</v>
      </c>
      <c r="BZ50" s="391">
        <v>900</v>
      </c>
      <c r="CA50" s="383">
        <v>0.60138887166976929</v>
      </c>
      <c r="CB50" s="152">
        <v>0</v>
      </c>
      <c r="CC50" s="152">
        <v>8.3333333333333332E-3</v>
      </c>
      <c r="CD50" s="384" t="s">
        <v>112</v>
      </c>
      <c r="CE50" s="152">
        <v>0</v>
      </c>
      <c r="CF50" s="391">
        <v>900</v>
      </c>
    </row>
    <row r="51" spans="1:84" s="367" customFormat="1" hidden="1" x14ac:dyDescent="0.25">
      <c r="A51" s="592" t="s">
        <v>112</v>
      </c>
      <c r="B51" s="355">
        <v>0</v>
      </c>
      <c r="C51" s="355">
        <v>0</v>
      </c>
      <c r="D51" s="355">
        <v>0</v>
      </c>
      <c r="E51" s="355">
        <v>0</v>
      </c>
      <c r="F51" s="355">
        <v>0</v>
      </c>
      <c r="G51" s="356" t="s">
        <v>112</v>
      </c>
      <c r="H51" s="356" t="s">
        <v>726</v>
      </c>
      <c r="I51" s="356">
        <v>7200</v>
      </c>
      <c r="J51" s="356">
        <v>0</v>
      </c>
      <c r="K51" s="357">
        <v>0.52013888888888882</v>
      </c>
      <c r="L51" s="358">
        <v>0</v>
      </c>
      <c r="M51" s="359" t="s">
        <v>112</v>
      </c>
      <c r="N51" s="358">
        <v>0</v>
      </c>
      <c r="O51" s="360" t="s">
        <v>726</v>
      </c>
      <c r="P51" s="358">
        <v>8.3333335816860199E-2</v>
      </c>
      <c r="Q51" s="358">
        <v>0</v>
      </c>
      <c r="R51" s="357">
        <v>0.60347222470574902</v>
      </c>
      <c r="S51" s="358">
        <v>0</v>
      </c>
      <c r="T51" s="359" t="s">
        <v>112</v>
      </c>
      <c r="U51" s="358">
        <v>0</v>
      </c>
      <c r="V51" s="360">
        <v>900</v>
      </c>
      <c r="W51" s="358">
        <v>8.3333335816860199E-2</v>
      </c>
      <c r="X51" s="358">
        <v>0</v>
      </c>
      <c r="Y51" s="358">
        <v>0</v>
      </c>
      <c r="Z51" s="357">
        <v>0.68680556052260922</v>
      </c>
      <c r="AA51" s="358">
        <v>0</v>
      </c>
      <c r="AB51" s="359" t="s">
        <v>112</v>
      </c>
      <c r="AC51" s="358">
        <v>0</v>
      </c>
      <c r="AD51" s="360" t="s">
        <v>723</v>
      </c>
      <c r="AE51" s="357">
        <v>0</v>
      </c>
      <c r="AF51" s="358">
        <v>0</v>
      </c>
      <c r="AG51" s="358">
        <v>0</v>
      </c>
      <c r="AH51" s="362">
        <v>0</v>
      </c>
      <c r="AI51" s="362">
        <v>0</v>
      </c>
      <c r="AJ51" s="354" t="s">
        <v>112</v>
      </c>
      <c r="AK51" s="362">
        <v>0</v>
      </c>
      <c r="AL51" s="363">
        <v>1800</v>
      </c>
      <c r="AM51" s="364">
        <v>0</v>
      </c>
      <c r="AN51" s="362">
        <v>0</v>
      </c>
      <c r="AO51" s="359" t="s">
        <v>112</v>
      </c>
      <c r="AP51" s="362">
        <v>0</v>
      </c>
      <c r="AQ51" s="363">
        <v>0</v>
      </c>
      <c r="AR51" s="357">
        <v>0</v>
      </c>
      <c r="AS51" s="358">
        <v>0</v>
      </c>
      <c r="AT51" s="358">
        <v>0</v>
      </c>
      <c r="AU51" s="365">
        <v>0</v>
      </c>
      <c r="AV51" s="365">
        <v>0</v>
      </c>
      <c r="AW51" s="365">
        <v>0</v>
      </c>
      <c r="AX51" s="359">
        <v>0</v>
      </c>
      <c r="AY51" s="359">
        <v>0</v>
      </c>
      <c r="AZ51" s="363">
        <v>1800</v>
      </c>
      <c r="BA51" s="357">
        <v>0</v>
      </c>
      <c r="BB51" s="358">
        <v>0</v>
      </c>
      <c r="BC51" s="358">
        <v>0</v>
      </c>
      <c r="BD51" s="362">
        <v>0</v>
      </c>
      <c r="BE51" s="362">
        <v>0</v>
      </c>
      <c r="BF51" s="354" t="s">
        <v>112</v>
      </c>
      <c r="BG51" s="362">
        <v>0</v>
      </c>
      <c r="BH51" s="363">
        <v>1800</v>
      </c>
      <c r="BI51" s="364">
        <v>0</v>
      </c>
      <c r="BJ51" s="362">
        <v>0</v>
      </c>
      <c r="BK51" s="359" t="s">
        <v>112</v>
      </c>
      <c r="BL51" s="362">
        <v>0</v>
      </c>
      <c r="BM51" s="363">
        <v>1800</v>
      </c>
      <c r="BN51" s="364">
        <v>0</v>
      </c>
      <c r="BO51" s="362">
        <v>0</v>
      </c>
      <c r="BP51" s="359" t="s">
        <v>112</v>
      </c>
      <c r="BQ51" s="362">
        <v>0</v>
      </c>
      <c r="BR51" s="363">
        <v>0</v>
      </c>
      <c r="BS51" s="366">
        <v>0</v>
      </c>
      <c r="BT51" s="363">
        <v>0</v>
      </c>
      <c r="BU51" s="357">
        <v>0</v>
      </c>
      <c r="BV51" s="361">
        <v>900</v>
      </c>
      <c r="BW51" s="357">
        <v>0</v>
      </c>
      <c r="BX51" s="361">
        <v>900</v>
      </c>
      <c r="BY51" s="357">
        <v>0</v>
      </c>
      <c r="BZ51" s="361">
        <v>900</v>
      </c>
      <c r="CA51" s="357">
        <v>0.60138887166976929</v>
      </c>
      <c r="CB51" s="358">
        <v>0</v>
      </c>
      <c r="CC51" s="358">
        <v>8.3333333333333332E-3</v>
      </c>
      <c r="CD51" s="359" t="s">
        <v>112</v>
      </c>
      <c r="CE51" s="358">
        <v>0</v>
      </c>
      <c r="CF51" s="361">
        <v>900</v>
      </c>
    </row>
    <row r="52" spans="1:84" s="22" customFormat="1" hidden="1" x14ac:dyDescent="0.25">
      <c r="A52" s="593" t="s">
        <v>112</v>
      </c>
      <c r="B52" s="381">
        <v>0</v>
      </c>
      <c r="C52" s="381">
        <v>0</v>
      </c>
      <c r="D52" s="381">
        <v>0</v>
      </c>
      <c r="E52" s="381">
        <v>0</v>
      </c>
      <c r="F52" s="381">
        <v>0</v>
      </c>
      <c r="G52" s="382" t="s">
        <v>112</v>
      </c>
      <c r="H52" s="382" t="s">
        <v>726</v>
      </c>
      <c r="I52" s="382">
        <v>7200</v>
      </c>
      <c r="J52" s="382">
        <v>0</v>
      </c>
      <c r="K52" s="383">
        <v>0.52013888888888882</v>
      </c>
      <c r="L52" s="152">
        <v>0</v>
      </c>
      <c r="M52" s="384" t="s">
        <v>112</v>
      </c>
      <c r="N52" s="152">
        <v>0</v>
      </c>
      <c r="O52" s="385" t="s">
        <v>726</v>
      </c>
      <c r="P52" s="152">
        <v>8.3333335816860199E-2</v>
      </c>
      <c r="Q52" s="152">
        <v>0</v>
      </c>
      <c r="R52" s="383">
        <v>0.60347222470574902</v>
      </c>
      <c r="S52" s="152">
        <v>0</v>
      </c>
      <c r="T52" s="384" t="s">
        <v>112</v>
      </c>
      <c r="U52" s="152">
        <v>0</v>
      </c>
      <c r="V52" s="385">
        <v>900</v>
      </c>
      <c r="W52" s="152">
        <v>8.3333335816860199E-2</v>
      </c>
      <c r="X52" s="152">
        <v>0</v>
      </c>
      <c r="Y52" s="152">
        <v>0</v>
      </c>
      <c r="Z52" s="383">
        <v>0.68680556052260922</v>
      </c>
      <c r="AA52" s="152">
        <v>0</v>
      </c>
      <c r="AB52" s="384" t="s">
        <v>112</v>
      </c>
      <c r="AC52" s="152">
        <v>0</v>
      </c>
      <c r="AD52" s="385" t="s">
        <v>723</v>
      </c>
      <c r="AE52" s="383">
        <v>0</v>
      </c>
      <c r="AF52" s="152">
        <v>0</v>
      </c>
      <c r="AG52" s="152">
        <v>0</v>
      </c>
      <c r="AH52" s="386">
        <v>0</v>
      </c>
      <c r="AI52" s="386">
        <v>0</v>
      </c>
      <c r="AJ52" s="380" t="s">
        <v>112</v>
      </c>
      <c r="AK52" s="386">
        <v>0</v>
      </c>
      <c r="AL52" s="387">
        <v>1800</v>
      </c>
      <c r="AM52" s="388">
        <v>0</v>
      </c>
      <c r="AN52" s="386">
        <v>0</v>
      </c>
      <c r="AO52" s="384" t="s">
        <v>112</v>
      </c>
      <c r="AP52" s="386">
        <v>0</v>
      </c>
      <c r="AQ52" s="387">
        <v>0</v>
      </c>
      <c r="AR52" s="383">
        <v>0</v>
      </c>
      <c r="AS52" s="152">
        <v>0</v>
      </c>
      <c r="AT52" s="152">
        <v>0</v>
      </c>
      <c r="AU52" s="389">
        <v>0</v>
      </c>
      <c r="AV52" s="389">
        <v>0</v>
      </c>
      <c r="AW52" s="389">
        <v>0</v>
      </c>
      <c r="AX52" s="384">
        <v>0</v>
      </c>
      <c r="AY52" s="384">
        <v>0</v>
      </c>
      <c r="AZ52" s="387">
        <v>1800</v>
      </c>
      <c r="BA52" s="383">
        <v>0</v>
      </c>
      <c r="BB52" s="152">
        <v>0</v>
      </c>
      <c r="BC52" s="152">
        <v>0</v>
      </c>
      <c r="BD52" s="386">
        <v>0</v>
      </c>
      <c r="BE52" s="386">
        <v>0</v>
      </c>
      <c r="BF52" s="380" t="s">
        <v>112</v>
      </c>
      <c r="BG52" s="386">
        <v>0</v>
      </c>
      <c r="BH52" s="387">
        <v>1800</v>
      </c>
      <c r="BI52" s="388">
        <v>0</v>
      </c>
      <c r="BJ52" s="386">
        <v>0</v>
      </c>
      <c r="BK52" s="384" t="s">
        <v>112</v>
      </c>
      <c r="BL52" s="386">
        <v>0</v>
      </c>
      <c r="BM52" s="387">
        <v>1800</v>
      </c>
      <c r="BN52" s="388">
        <v>0</v>
      </c>
      <c r="BO52" s="386">
        <v>0</v>
      </c>
      <c r="BP52" s="384" t="s">
        <v>112</v>
      </c>
      <c r="BQ52" s="386">
        <v>0</v>
      </c>
      <c r="BR52" s="387">
        <v>0</v>
      </c>
      <c r="BS52" s="390">
        <v>0</v>
      </c>
      <c r="BT52" s="387">
        <v>0</v>
      </c>
      <c r="BU52" s="383">
        <v>0</v>
      </c>
      <c r="BV52" s="391">
        <v>900</v>
      </c>
      <c r="BW52" s="383">
        <v>0</v>
      </c>
      <c r="BX52" s="391">
        <v>900</v>
      </c>
      <c r="BY52" s="383">
        <v>0</v>
      </c>
      <c r="BZ52" s="391">
        <v>900</v>
      </c>
      <c r="CA52" s="383">
        <v>0.60138887166976929</v>
      </c>
      <c r="CB52" s="152">
        <v>0</v>
      </c>
      <c r="CC52" s="152">
        <v>8.3333333333333332E-3</v>
      </c>
      <c r="CD52" s="384" t="s">
        <v>112</v>
      </c>
      <c r="CE52" s="152">
        <v>0</v>
      </c>
      <c r="CF52" s="391">
        <v>900</v>
      </c>
    </row>
    <row r="53" spans="1:84" s="367" customFormat="1" hidden="1" x14ac:dyDescent="0.25">
      <c r="A53" s="592" t="s">
        <v>112</v>
      </c>
      <c r="B53" s="355">
        <v>0</v>
      </c>
      <c r="C53" s="355">
        <v>0</v>
      </c>
      <c r="D53" s="355">
        <v>0</v>
      </c>
      <c r="E53" s="355">
        <v>0</v>
      </c>
      <c r="F53" s="355">
        <v>0</v>
      </c>
      <c r="G53" s="356" t="s">
        <v>112</v>
      </c>
      <c r="H53" s="356" t="s">
        <v>726</v>
      </c>
      <c r="I53" s="356">
        <v>7200</v>
      </c>
      <c r="J53" s="356">
        <v>0</v>
      </c>
      <c r="K53" s="357">
        <v>0.52013888888888882</v>
      </c>
      <c r="L53" s="358">
        <v>0</v>
      </c>
      <c r="M53" s="359" t="s">
        <v>112</v>
      </c>
      <c r="N53" s="358">
        <v>0</v>
      </c>
      <c r="O53" s="360" t="s">
        <v>726</v>
      </c>
      <c r="P53" s="358">
        <v>8.3333335816860199E-2</v>
      </c>
      <c r="Q53" s="358">
        <v>0</v>
      </c>
      <c r="R53" s="357">
        <v>0.60347222470574902</v>
      </c>
      <c r="S53" s="358">
        <v>0</v>
      </c>
      <c r="T53" s="359" t="s">
        <v>112</v>
      </c>
      <c r="U53" s="358">
        <v>0</v>
      </c>
      <c r="V53" s="360">
        <v>900</v>
      </c>
      <c r="W53" s="358">
        <v>8.3333335816860199E-2</v>
      </c>
      <c r="X53" s="358">
        <v>0</v>
      </c>
      <c r="Y53" s="358">
        <v>0</v>
      </c>
      <c r="Z53" s="357">
        <v>0.68680556052260922</v>
      </c>
      <c r="AA53" s="358">
        <v>0</v>
      </c>
      <c r="AB53" s="359" t="s">
        <v>112</v>
      </c>
      <c r="AC53" s="358">
        <v>0</v>
      </c>
      <c r="AD53" s="360" t="s">
        <v>723</v>
      </c>
      <c r="AE53" s="357">
        <v>0</v>
      </c>
      <c r="AF53" s="358">
        <v>0</v>
      </c>
      <c r="AG53" s="358">
        <v>0</v>
      </c>
      <c r="AH53" s="362">
        <v>0</v>
      </c>
      <c r="AI53" s="362">
        <v>0</v>
      </c>
      <c r="AJ53" s="354" t="s">
        <v>112</v>
      </c>
      <c r="AK53" s="362">
        <v>0</v>
      </c>
      <c r="AL53" s="363">
        <v>1800</v>
      </c>
      <c r="AM53" s="364">
        <v>0</v>
      </c>
      <c r="AN53" s="362">
        <v>0</v>
      </c>
      <c r="AO53" s="359" t="s">
        <v>112</v>
      </c>
      <c r="AP53" s="362">
        <v>0</v>
      </c>
      <c r="AQ53" s="363">
        <v>0</v>
      </c>
      <c r="AR53" s="357">
        <v>0</v>
      </c>
      <c r="AS53" s="358">
        <v>0</v>
      </c>
      <c r="AT53" s="358">
        <v>0</v>
      </c>
      <c r="AU53" s="365">
        <v>0</v>
      </c>
      <c r="AV53" s="365">
        <v>0</v>
      </c>
      <c r="AW53" s="365">
        <v>0</v>
      </c>
      <c r="AX53" s="359">
        <v>0</v>
      </c>
      <c r="AY53" s="359">
        <v>0</v>
      </c>
      <c r="AZ53" s="363">
        <v>1800</v>
      </c>
      <c r="BA53" s="357">
        <v>0</v>
      </c>
      <c r="BB53" s="358">
        <v>0</v>
      </c>
      <c r="BC53" s="358">
        <v>0</v>
      </c>
      <c r="BD53" s="362">
        <v>0</v>
      </c>
      <c r="BE53" s="362">
        <v>0</v>
      </c>
      <c r="BF53" s="354" t="s">
        <v>112</v>
      </c>
      <c r="BG53" s="362">
        <v>0</v>
      </c>
      <c r="BH53" s="363">
        <v>1800</v>
      </c>
      <c r="BI53" s="364">
        <v>0</v>
      </c>
      <c r="BJ53" s="362">
        <v>0</v>
      </c>
      <c r="BK53" s="359" t="s">
        <v>112</v>
      </c>
      <c r="BL53" s="362">
        <v>0</v>
      </c>
      <c r="BM53" s="363">
        <v>1800</v>
      </c>
      <c r="BN53" s="364">
        <v>0</v>
      </c>
      <c r="BO53" s="362">
        <v>0</v>
      </c>
      <c r="BP53" s="359" t="s">
        <v>112</v>
      </c>
      <c r="BQ53" s="362">
        <v>0</v>
      </c>
      <c r="BR53" s="363">
        <v>0</v>
      </c>
      <c r="BS53" s="366">
        <v>0</v>
      </c>
      <c r="BT53" s="363">
        <v>0</v>
      </c>
      <c r="BU53" s="357">
        <v>0</v>
      </c>
      <c r="BV53" s="361">
        <v>900</v>
      </c>
      <c r="BW53" s="357">
        <v>0</v>
      </c>
      <c r="BX53" s="361">
        <v>900</v>
      </c>
      <c r="BY53" s="357">
        <v>0</v>
      </c>
      <c r="BZ53" s="361">
        <v>900</v>
      </c>
      <c r="CA53" s="357">
        <v>0.60138887166976929</v>
      </c>
      <c r="CB53" s="358">
        <v>0</v>
      </c>
      <c r="CC53" s="358">
        <v>8.3333333333333332E-3</v>
      </c>
      <c r="CD53" s="359" t="s">
        <v>112</v>
      </c>
      <c r="CE53" s="358">
        <v>0</v>
      </c>
      <c r="CF53" s="361">
        <v>900</v>
      </c>
    </row>
    <row r="54" spans="1:84" s="22" customFormat="1" hidden="1" x14ac:dyDescent="0.25">
      <c r="A54" s="593" t="s">
        <v>112</v>
      </c>
      <c r="B54" s="381">
        <v>0</v>
      </c>
      <c r="C54" s="381">
        <v>0</v>
      </c>
      <c r="D54" s="381">
        <v>0</v>
      </c>
      <c r="E54" s="381">
        <v>0</v>
      </c>
      <c r="F54" s="381">
        <v>0</v>
      </c>
      <c r="G54" s="382" t="s">
        <v>112</v>
      </c>
      <c r="H54" s="382" t="s">
        <v>726</v>
      </c>
      <c r="I54" s="382">
        <v>7200</v>
      </c>
      <c r="J54" s="382">
        <v>0</v>
      </c>
      <c r="K54" s="383">
        <v>0.52013888888888882</v>
      </c>
      <c r="L54" s="152">
        <v>0</v>
      </c>
      <c r="M54" s="384" t="s">
        <v>112</v>
      </c>
      <c r="N54" s="152">
        <v>0</v>
      </c>
      <c r="O54" s="385" t="s">
        <v>726</v>
      </c>
      <c r="P54" s="152">
        <v>8.3333335816860199E-2</v>
      </c>
      <c r="Q54" s="152">
        <v>0</v>
      </c>
      <c r="R54" s="383">
        <v>0.60347222470574902</v>
      </c>
      <c r="S54" s="152">
        <v>0</v>
      </c>
      <c r="T54" s="384" t="s">
        <v>112</v>
      </c>
      <c r="U54" s="152">
        <v>0</v>
      </c>
      <c r="V54" s="385">
        <v>900</v>
      </c>
      <c r="W54" s="152">
        <v>8.3333335816860199E-2</v>
      </c>
      <c r="X54" s="152">
        <v>0</v>
      </c>
      <c r="Y54" s="152">
        <v>0</v>
      </c>
      <c r="Z54" s="383">
        <v>0.68680556052260922</v>
      </c>
      <c r="AA54" s="152">
        <v>0</v>
      </c>
      <c r="AB54" s="384" t="s">
        <v>112</v>
      </c>
      <c r="AC54" s="152">
        <v>0</v>
      </c>
      <c r="AD54" s="385" t="s">
        <v>723</v>
      </c>
      <c r="AE54" s="383">
        <v>0</v>
      </c>
      <c r="AF54" s="152">
        <v>0</v>
      </c>
      <c r="AG54" s="152">
        <v>0</v>
      </c>
      <c r="AH54" s="386">
        <v>0</v>
      </c>
      <c r="AI54" s="386">
        <v>0</v>
      </c>
      <c r="AJ54" s="380" t="s">
        <v>112</v>
      </c>
      <c r="AK54" s="386">
        <v>0</v>
      </c>
      <c r="AL54" s="387">
        <v>1800</v>
      </c>
      <c r="AM54" s="388">
        <v>0</v>
      </c>
      <c r="AN54" s="386">
        <v>0</v>
      </c>
      <c r="AO54" s="384" t="s">
        <v>112</v>
      </c>
      <c r="AP54" s="386">
        <v>0</v>
      </c>
      <c r="AQ54" s="387">
        <v>0</v>
      </c>
      <c r="AR54" s="383">
        <v>0</v>
      </c>
      <c r="AS54" s="152">
        <v>0</v>
      </c>
      <c r="AT54" s="152">
        <v>0</v>
      </c>
      <c r="AU54" s="389">
        <v>0</v>
      </c>
      <c r="AV54" s="389">
        <v>0</v>
      </c>
      <c r="AW54" s="389">
        <v>0</v>
      </c>
      <c r="AX54" s="384">
        <v>0</v>
      </c>
      <c r="AY54" s="384">
        <v>0</v>
      </c>
      <c r="AZ54" s="387">
        <v>1800</v>
      </c>
      <c r="BA54" s="383">
        <v>0</v>
      </c>
      <c r="BB54" s="152">
        <v>0</v>
      </c>
      <c r="BC54" s="152">
        <v>0</v>
      </c>
      <c r="BD54" s="386">
        <v>0</v>
      </c>
      <c r="BE54" s="386">
        <v>0</v>
      </c>
      <c r="BF54" s="380" t="s">
        <v>112</v>
      </c>
      <c r="BG54" s="386">
        <v>0</v>
      </c>
      <c r="BH54" s="387">
        <v>1800</v>
      </c>
      <c r="BI54" s="388">
        <v>0</v>
      </c>
      <c r="BJ54" s="386">
        <v>0</v>
      </c>
      <c r="BK54" s="384" t="s">
        <v>112</v>
      </c>
      <c r="BL54" s="386">
        <v>0</v>
      </c>
      <c r="BM54" s="387">
        <v>1800</v>
      </c>
      <c r="BN54" s="388">
        <v>0</v>
      </c>
      <c r="BO54" s="386">
        <v>0</v>
      </c>
      <c r="BP54" s="384" t="s">
        <v>112</v>
      </c>
      <c r="BQ54" s="386">
        <v>0</v>
      </c>
      <c r="BR54" s="387">
        <v>0</v>
      </c>
      <c r="BS54" s="390">
        <v>0</v>
      </c>
      <c r="BT54" s="387">
        <v>0</v>
      </c>
      <c r="BU54" s="383">
        <v>0</v>
      </c>
      <c r="BV54" s="391">
        <v>900</v>
      </c>
      <c r="BW54" s="383">
        <v>0</v>
      </c>
      <c r="BX54" s="391">
        <v>900</v>
      </c>
      <c r="BY54" s="383">
        <v>0</v>
      </c>
      <c r="BZ54" s="391">
        <v>900</v>
      </c>
      <c r="CA54" s="383">
        <v>0.60138887166976929</v>
      </c>
      <c r="CB54" s="152">
        <v>0</v>
      </c>
      <c r="CC54" s="152">
        <v>8.3333333333333332E-3</v>
      </c>
      <c r="CD54" s="384" t="s">
        <v>112</v>
      </c>
      <c r="CE54" s="152">
        <v>0</v>
      </c>
      <c r="CF54" s="391">
        <v>900</v>
      </c>
    </row>
    <row r="55" spans="1:84" s="367" customFormat="1" hidden="1" x14ac:dyDescent="0.25">
      <c r="A55" s="592" t="s">
        <v>112</v>
      </c>
      <c r="B55" s="355">
        <v>0</v>
      </c>
      <c r="C55" s="355">
        <v>0</v>
      </c>
      <c r="D55" s="355">
        <v>0</v>
      </c>
      <c r="E55" s="355">
        <v>0</v>
      </c>
      <c r="F55" s="355">
        <v>0</v>
      </c>
      <c r="G55" s="356" t="s">
        <v>112</v>
      </c>
      <c r="H55" s="356" t="s">
        <v>726</v>
      </c>
      <c r="I55" s="356">
        <v>7200</v>
      </c>
      <c r="J55" s="356">
        <v>0</v>
      </c>
      <c r="K55" s="357">
        <v>0.52013888888888882</v>
      </c>
      <c r="L55" s="358">
        <v>0</v>
      </c>
      <c r="M55" s="359" t="s">
        <v>112</v>
      </c>
      <c r="N55" s="358">
        <v>0</v>
      </c>
      <c r="O55" s="360" t="s">
        <v>726</v>
      </c>
      <c r="P55" s="358">
        <v>8.3333335816860199E-2</v>
      </c>
      <c r="Q55" s="358">
        <v>0</v>
      </c>
      <c r="R55" s="357">
        <v>0.60347222470574902</v>
      </c>
      <c r="S55" s="358">
        <v>0</v>
      </c>
      <c r="T55" s="359" t="s">
        <v>112</v>
      </c>
      <c r="U55" s="358">
        <v>0</v>
      </c>
      <c r="V55" s="360">
        <v>900</v>
      </c>
      <c r="W55" s="358">
        <v>8.3333335816860199E-2</v>
      </c>
      <c r="X55" s="358">
        <v>0</v>
      </c>
      <c r="Y55" s="358">
        <v>0</v>
      </c>
      <c r="Z55" s="357">
        <v>0.68680556052260922</v>
      </c>
      <c r="AA55" s="358">
        <v>0</v>
      </c>
      <c r="AB55" s="359" t="s">
        <v>112</v>
      </c>
      <c r="AC55" s="358">
        <v>0</v>
      </c>
      <c r="AD55" s="360" t="s">
        <v>723</v>
      </c>
      <c r="AE55" s="357">
        <v>0</v>
      </c>
      <c r="AF55" s="358">
        <v>0</v>
      </c>
      <c r="AG55" s="358">
        <v>0</v>
      </c>
      <c r="AH55" s="362">
        <v>0</v>
      </c>
      <c r="AI55" s="362">
        <v>0</v>
      </c>
      <c r="AJ55" s="354" t="s">
        <v>112</v>
      </c>
      <c r="AK55" s="362">
        <v>0</v>
      </c>
      <c r="AL55" s="363">
        <v>1800</v>
      </c>
      <c r="AM55" s="364">
        <v>0</v>
      </c>
      <c r="AN55" s="362">
        <v>0</v>
      </c>
      <c r="AO55" s="359" t="s">
        <v>112</v>
      </c>
      <c r="AP55" s="362">
        <v>0</v>
      </c>
      <c r="AQ55" s="363">
        <v>0</v>
      </c>
      <c r="AR55" s="357">
        <v>0</v>
      </c>
      <c r="AS55" s="358">
        <v>0</v>
      </c>
      <c r="AT55" s="358">
        <v>0</v>
      </c>
      <c r="AU55" s="365">
        <v>0</v>
      </c>
      <c r="AV55" s="365">
        <v>0</v>
      </c>
      <c r="AW55" s="365">
        <v>0</v>
      </c>
      <c r="AX55" s="359">
        <v>0</v>
      </c>
      <c r="AY55" s="359">
        <v>0</v>
      </c>
      <c r="AZ55" s="363">
        <v>1800</v>
      </c>
      <c r="BA55" s="357">
        <v>0</v>
      </c>
      <c r="BB55" s="358">
        <v>0</v>
      </c>
      <c r="BC55" s="358">
        <v>0</v>
      </c>
      <c r="BD55" s="362">
        <v>0</v>
      </c>
      <c r="BE55" s="362">
        <v>0</v>
      </c>
      <c r="BF55" s="354" t="s">
        <v>112</v>
      </c>
      <c r="BG55" s="362">
        <v>0</v>
      </c>
      <c r="BH55" s="363">
        <v>1800</v>
      </c>
      <c r="BI55" s="364">
        <v>0</v>
      </c>
      <c r="BJ55" s="362">
        <v>0</v>
      </c>
      <c r="BK55" s="359" t="s">
        <v>112</v>
      </c>
      <c r="BL55" s="362">
        <v>0</v>
      </c>
      <c r="BM55" s="363">
        <v>1800</v>
      </c>
      <c r="BN55" s="364">
        <v>0</v>
      </c>
      <c r="BO55" s="362">
        <v>0</v>
      </c>
      <c r="BP55" s="359" t="s">
        <v>112</v>
      </c>
      <c r="BQ55" s="362">
        <v>0</v>
      </c>
      <c r="BR55" s="363">
        <v>0</v>
      </c>
      <c r="BS55" s="366">
        <v>0</v>
      </c>
      <c r="BT55" s="363">
        <v>0</v>
      </c>
      <c r="BU55" s="357">
        <v>0</v>
      </c>
      <c r="BV55" s="361">
        <v>900</v>
      </c>
      <c r="BW55" s="357">
        <v>0</v>
      </c>
      <c r="BX55" s="361">
        <v>900</v>
      </c>
      <c r="BY55" s="357">
        <v>0</v>
      </c>
      <c r="BZ55" s="361">
        <v>900</v>
      </c>
      <c r="CA55" s="357">
        <v>0.60138887166976929</v>
      </c>
      <c r="CB55" s="358">
        <v>0</v>
      </c>
      <c r="CC55" s="358">
        <v>8.3333333333333332E-3</v>
      </c>
      <c r="CD55" s="359" t="s">
        <v>112</v>
      </c>
      <c r="CE55" s="358">
        <v>0</v>
      </c>
      <c r="CF55" s="361">
        <v>900</v>
      </c>
    </row>
    <row r="56" spans="1:84" s="22" customFormat="1" hidden="1" x14ac:dyDescent="0.25">
      <c r="A56" s="593" t="s">
        <v>112</v>
      </c>
      <c r="B56" s="381">
        <v>0</v>
      </c>
      <c r="C56" s="381">
        <v>0</v>
      </c>
      <c r="D56" s="381">
        <v>0</v>
      </c>
      <c r="E56" s="381">
        <v>0</v>
      </c>
      <c r="F56" s="381">
        <v>0</v>
      </c>
      <c r="G56" s="382" t="s">
        <v>112</v>
      </c>
      <c r="H56" s="382" t="s">
        <v>726</v>
      </c>
      <c r="I56" s="382">
        <v>7200</v>
      </c>
      <c r="J56" s="382">
        <v>0</v>
      </c>
      <c r="K56" s="383">
        <v>0.52013888888888882</v>
      </c>
      <c r="L56" s="152">
        <v>0</v>
      </c>
      <c r="M56" s="384" t="s">
        <v>112</v>
      </c>
      <c r="N56" s="152">
        <v>0</v>
      </c>
      <c r="O56" s="385" t="s">
        <v>726</v>
      </c>
      <c r="P56" s="152">
        <v>8.3333335816860199E-2</v>
      </c>
      <c r="Q56" s="152">
        <v>0</v>
      </c>
      <c r="R56" s="383">
        <v>0.60347222470574902</v>
      </c>
      <c r="S56" s="152">
        <v>0</v>
      </c>
      <c r="T56" s="384" t="s">
        <v>112</v>
      </c>
      <c r="U56" s="152">
        <v>0</v>
      </c>
      <c r="V56" s="385">
        <v>900</v>
      </c>
      <c r="W56" s="152">
        <v>8.3333335816860199E-2</v>
      </c>
      <c r="X56" s="152">
        <v>0</v>
      </c>
      <c r="Y56" s="152">
        <v>0</v>
      </c>
      <c r="Z56" s="383">
        <v>0.68680556052260922</v>
      </c>
      <c r="AA56" s="152">
        <v>0</v>
      </c>
      <c r="AB56" s="384" t="s">
        <v>112</v>
      </c>
      <c r="AC56" s="152">
        <v>0</v>
      </c>
      <c r="AD56" s="385" t="s">
        <v>723</v>
      </c>
      <c r="AE56" s="383">
        <v>0</v>
      </c>
      <c r="AF56" s="152">
        <v>0</v>
      </c>
      <c r="AG56" s="152">
        <v>0</v>
      </c>
      <c r="AH56" s="386">
        <v>0</v>
      </c>
      <c r="AI56" s="386">
        <v>0</v>
      </c>
      <c r="AJ56" s="380" t="s">
        <v>112</v>
      </c>
      <c r="AK56" s="386">
        <v>0</v>
      </c>
      <c r="AL56" s="387">
        <v>1800</v>
      </c>
      <c r="AM56" s="388">
        <v>0</v>
      </c>
      <c r="AN56" s="386">
        <v>0</v>
      </c>
      <c r="AO56" s="384" t="s">
        <v>112</v>
      </c>
      <c r="AP56" s="386">
        <v>0</v>
      </c>
      <c r="AQ56" s="387">
        <v>0</v>
      </c>
      <c r="AR56" s="383">
        <v>0</v>
      </c>
      <c r="AS56" s="152">
        <v>0</v>
      </c>
      <c r="AT56" s="152">
        <v>0</v>
      </c>
      <c r="AU56" s="389">
        <v>0</v>
      </c>
      <c r="AV56" s="389">
        <v>0</v>
      </c>
      <c r="AW56" s="389">
        <v>0</v>
      </c>
      <c r="AX56" s="384">
        <v>0</v>
      </c>
      <c r="AY56" s="384">
        <v>0</v>
      </c>
      <c r="AZ56" s="387">
        <v>1800</v>
      </c>
      <c r="BA56" s="383">
        <v>0</v>
      </c>
      <c r="BB56" s="152">
        <v>0</v>
      </c>
      <c r="BC56" s="152">
        <v>0</v>
      </c>
      <c r="BD56" s="386">
        <v>0</v>
      </c>
      <c r="BE56" s="386">
        <v>0</v>
      </c>
      <c r="BF56" s="380" t="s">
        <v>112</v>
      </c>
      <c r="BG56" s="386">
        <v>0</v>
      </c>
      <c r="BH56" s="387">
        <v>1800</v>
      </c>
      <c r="BI56" s="388">
        <v>0</v>
      </c>
      <c r="BJ56" s="386">
        <v>0</v>
      </c>
      <c r="BK56" s="384" t="s">
        <v>112</v>
      </c>
      <c r="BL56" s="386">
        <v>0</v>
      </c>
      <c r="BM56" s="387">
        <v>1800</v>
      </c>
      <c r="BN56" s="388">
        <v>0</v>
      </c>
      <c r="BO56" s="386">
        <v>0</v>
      </c>
      <c r="BP56" s="384" t="s">
        <v>112</v>
      </c>
      <c r="BQ56" s="386">
        <v>0</v>
      </c>
      <c r="BR56" s="387">
        <v>0</v>
      </c>
      <c r="BS56" s="390">
        <v>0</v>
      </c>
      <c r="BT56" s="387">
        <v>0</v>
      </c>
      <c r="BU56" s="383">
        <v>0</v>
      </c>
      <c r="BV56" s="391">
        <v>900</v>
      </c>
      <c r="BW56" s="383">
        <v>0</v>
      </c>
      <c r="BX56" s="391">
        <v>900</v>
      </c>
      <c r="BY56" s="383">
        <v>0</v>
      </c>
      <c r="BZ56" s="391">
        <v>900</v>
      </c>
      <c r="CA56" s="383">
        <v>0.60138887166976929</v>
      </c>
      <c r="CB56" s="152">
        <v>0</v>
      </c>
      <c r="CC56" s="152">
        <v>8.3333333333333332E-3</v>
      </c>
      <c r="CD56" s="384" t="s">
        <v>112</v>
      </c>
      <c r="CE56" s="152">
        <v>0</v>
      </c>
      <c r="CF56" s="391">
        <v>900</v>
      </c>
    </row>
    <row r="57" spans="1:84" s="367" customFormat="1" hidden="1" x14ac:dyDescent="0.25">
      <c r="A57" s="592" t="s">
        <v>112</v>
      </c>
      <c r="B57" s="355">
        <v>0</v>
      </c>
      <c r="C57" s="355">
        <v>0</v>
      </c>
      <c r="D57" s="355">
        <v>0</v>
      </c>
      <c r="E57" s="355">
        <v>0</v>
      </c>
      <c r="F57" s="355">
        <v>0</v>
      </c>
      <c r="G57" s="356" t="s">
        <v>112</v>
      </c>
      <c r="H57" s="356" t="s">
        <v>726</v>
      </c>
      <c r="I57" s="356">
        <v>7200</v>
      </c>
      <c r="J57" s="356">
        <v>0</v>
      </c>
      <c r="K57" s="357">
        <v>0.52013888888888882</v>
      </c>
      <c r="L57" s="358">
        <v>0</v>
      </c>
      <c r="M57" s="359" t="s">
        <v>112</v>
      </c>
      <c r="N57" s="358">
        <v>0</v>
      </c>
      <c r="O57" s="360" t="s">
        <v>726</v>
      </c>
      <c r="P57" s="358">
        <v>8.3333335816860199E-2</v>
      </c>
      <c r="Q57" s="358">
        <v>0</v>
      </c>
      <c r="R57" s="357">
        <v>0.60347222470574902</v>
      </c>
      <c r="S57" s="358">
        <v>0</v>
      </c>
      <c r="T57" s="359" t="s">
        <v>112</v>
      </c>
      <c r="U57" s="358">
        <v>0</v>
      </c>
      <c r="V57" s="360">
        <v>900</v>
      </c>
      <c r="W57" s="358">
        <v>8.3333335816860199E-2</v>
      </c>
      <c r="X57" s="358">
        <v>0</v>
      </c>
      <c r="Y57" s="358">
        <v>0</v>
      </c>
      <c r="Z57" s="357">
        <v>0.68680556052260922</v>
      </c>
      <c r="AA57" s="358">
        <v>0</v>
      </c>
      <c r="AB57" s="359" t="s">
        <v>112</v>
      </c>
      <c r="AC57" s="358">
        <v>0</v>
      </c>
      <c r="AD57" s="360" t="s">
        <v>723</v>
      </c>
      <c r="AE57" s="357">
        <v>0</v>
      </c>
      <c r="AF57" s="358">
        <v>0</v>
      </c>
      <c r="AG57" s="358">
        <v>0</v>
      </c>
      <c r="AH57" s="362">
        <v>0</v>
      </c>
      <c r="AI57" s="362">
        <v>0</v>
      </c>
      <c r="AJ57" s="354" t="s">
        <v>112</v>
      </c>
      <c r="AK57" s="362">
        <v>0</v>
      </c>
      <c r="AL57" s="363">
        <v>1800</v>
      </c>
      <c r="AM57" s="364">
        <v>0</v>
      </c>
      <c r="AN57" s="362">
        <v>0</v>
      </c>
      <c r="AO57" s="359" t="s">
        <v>112</v>
      </c>
      <c r="AP57" s="362">
        <v>0</v>
      </c>
      <c r="AQ57" s="363">
        <v>0</v>
      </c>
      <c r="AR57" s="357">
        <v>0</v>
      </c>
      <c r="AS57" s="358">
        <v>0</v>
      </c>
      <c r="AT57" s="358">
        <v>0</v>
      </c>
      <c r="AU57" s="365">
        <v>0</v>
      </c>
      <c r="AV57" s="365">
        <v>0</v>
      </c>
      <c r="AW57" s="365">
        <v>0</v>
      </c>
      <c r="AX57" s="359">
        <v>0</v>
      </c>
      <c r="AY57" s="359">
        <v>0</v>
      </c>
      <c r="AZ57" s="363">
        <v>1800</v>
      </c>
      <c r="BA57" s="357">
        <v>0</v>
      </c>
      <c r="BB57" s="358">
        <v>0</v>
      </c>
      <c r="BC57" s="358">
        <v>0</v>
      </c>
      <c r="BD57" s="362">
        <v>0</v>
      </c>
      <c r="BE57" s="362">
        <v>0</v>
      </c>
      <c r="BF57" s="354" t="s">
        <v>112</v>
      </c>
      <c r="BG57" s="362">
        <v>0</v>
      </c>
      <c r="BH57" s="363">
        <v>1800</v>
      </c>
      <c r="BI57" s="364">
        <v>0</v>
      </c>
      <c r="BJ57" s="362">
        <v>0</v>
      </c>
      <c r="BK57" s="359" t="s">
        <v>112</v>
      </c>
      <c r="BL57" s="362">
        <v>0</v>
      </c>
      <c r="BM57" s="363">
        <v>1800</v>
      </c>
      <c r="BN57" s="364">
        <v>0</v>
      </c>
      <c r="BO57" s="362">
        <v>0</v>
      </c>
      <c r="BP57" s="359" t="s">
        <v>112</v>
      </c>
      <c r="BQ57" s="362">
        <v>0</v>
      </c>
      <c r="BR57" s="363">
        <v>0</v>
      </c>
      <c r="BS57" s="366">
        <v>0</v>
      </c>
      <c r="BT57" s="363">
        <v>0</v>
      </c>
      <c r="BU57" s="357">
        <v>0</v>
      </c>
      <c r="BV57" s="361">
        <v>900</v>
      </c>
      <c r="BW57" s="357">
        <v>0</v>
      </c>
      <c r="BX57" s="361">
        <v>900</v>
      </c>
      <c r="BY57" s="357">
        <v>0</v>
      </c>
      <c r="BZ57" s="361">
        <v>900</v>
      </c>
      <c r="CA57" s="357">
        <v>0.60138887166976929</v>
      </c>
      <c r="CB57" s="358">
        <v>0</v>
      </c>
      <c r="CC57" s="358">
        <v>8.3333333333333332E-3</v>
      </c>
      <c r="CD57" s="359" t="s">
        <v>112</v>
      </c>
      <c r="CE57" s="358">
        <v>0</v>
      </c>
      <c r="CF57" s="361">
        <v>900</v>
      </c>
    </row>
    <row r="58" spans="1:84" s="22" customFormat="1" hidden="1" x14ac:dyDescent="0.25">
      <c r="A58" s="593" t="s">
        <v>112</v>
      </c>
      <c r="B58" s="381">
        <v>0</v>
      </c>
      <c r="C58" s="381">
        <v>0</v>
      </c>
      <c r="D58" s="381">
        <v>0</v>
      </c>
      <c r="E58" s="381">
        <v>0</v>
      </c>
      <c r="F58" s="381">
        <v>0</v>
      </c>
      <c r="G58" s="382" t="s">
        <v>112</v>
      </c>
      <c r="H58" s="382" t="s">
        <v>726</v>
      </c>
      <c r="I58" s="382">
        <v>7200</v>
      </c>
      <c r="J58" s="382">
        <v>0</v>
      </c>
      <c r="K58" s="383">
        <v>0.52013888888888882</v>
      </c>
      <c r="L58" s="152">
        <v>0</v>
      </c>
      <c r="M58" s="384" t="s">
        <v>112</v>
      </c>
      <c r="N58" s="152">
        <v>0</v>
      </c>
      <c r="O58" s="385" t="s">
        <v>726</v>
      </c>
      <c r="P58" s="152">
        <v>8.3333335816860199E-2</v>
      </c>
      <c r="Q58" s="152">
        <v>0</v>
      </c>
      <c r="R58" s="383">
        <v>0.60347222470574902</v>
      </c>
      <c r="S58" s="152">
        <v>0</v>
      </c>
      <c r="T58" s="384" t="s">
        <v>112</v>
      </c>
      <c r="U58" s="152">
        <v>0</v>
      </c>
      <c r="V58" s="385">
        <v>900</v>
      </c>
      <c r="W58" s="152">
        <v>8.3333335816860199E-2</v>
      </c>
      <c r="X58" s="152">
        <v>0</v>
      </c>
      <c r="Y58" s="152">
        <v>0</v>
      </c>
      <c r="Z58" s="383">
        <v>0.68680556052260922</v>
      </c>
      <c r="AA58" s="152">
        <v>0</v>
      </c>
      <c r="AB58" s="384" t="s">
        <v>112</v>
      </c>
      <c r="AC58" s="152">
        <v>0</v>
      </c>
      <c r="AD58" s="385" t="s">
        <v>723</v>
      </c>
      <c r="AE58" s="383">
        <v>0</v>
      </c>
      <c r="AF58" s="152">
        <v>0</v>
      </c>
      <c r="AG58" s="152">
        <v>0</v>
      </c>
      <c r="AH58" s="386">
        <v>0</v>
      </c>
      <c r="AI58" s="386">
        <v>0</v>
      </c>
      <c r="AJ58" s="380" t="s">
        <v>112</v>
      </c>
      <c r="AK58" s="386">
        <v>0</v>
      </c>
      <c r="AL58" s="387">
        <v>1800</v>
      </c>
      <c r="AM58" s="388">
        <v>0</v>
      </c>
      <c r="AN58" s="386">
        <v>0</v>
      </c>
      <c r="AO58" s="384" t="s">
        <v>112</v>
      </c>
      <c r="AP58" s="386">
        <v>0</v>
      </c>
      <c r="AQ58" s="387">
        <v>0</v>
      </c>
      <c r="AR58" s="383">
        <v>0</v>
      </c>
      <c r="AS58" s="152">
        <v>0</v>
      </c>
      <c r="AT58" s="152">
        <v>0</v>
      </c>
      <c r="AU58" s="389">
        <v>0</v>
      </c>
      <c r="AV58" s="389">
        <v>0</v>
      </c>
      <c r="AW58" s="389">
        <v>0</v>
      </c>
      <c r="AX58" s="384">
        <v>0</v>
      </c>
      <c r="AY58" s="384">
        <v>0</v>
      </c>
      <c r="AZ58" s="387">
        <v>1800</v>
      </c>
      <c r="BA58" s="383">
        <v>0</v>
      </c>
      <c r="BB58" s="152">
        <v>0</v>
      </c>
      <c r="BC58" s="152">
        <v>0</v>
      </c>
      <c r="BD58" s="386">
        <v>0</v>
      </c>
      <c r="BE58" s="386">
        <v>0</v>
      </c>
      <c r="BF58" s="380" t="s">
        <v>112</v>
      </c>
      <c r="BG58" s="386">
        <v>0</v>
      </c>
      <c r="BH58" s="387">
        <v>1800</v>
      </c>
      <c r="BI58" s="388">
        <v>0</v>
      </c>
      <c r="BJ58" s="386">
        <v>0</v>
      </c>
      <c r="BK58" s="384" t="s">
        <v>112</v>
      </c>
      <c r="BL58" s="386">
        <v>0</v>
      </c>
      <c r="BM58" s="387">
        <v>1800</v>
      </c>
      <c r="BN58" s="388">
        <v>0</v>
      </c>
      <c r="BO58" s="386">
        <v>0</v>
      </c>
      <c r="BP58" s="384" t="s">
        <v>112</v>
      </c>
      <c r="BQ58" s="386">
        <v>0</v>
      </c>
      <c r="BR58" s="387">
        <v>0</v>
      </c>
      <c r="BS58" s="390">
        <v>0</v>
      </c>
      <c r="BT58" s="387">
        <v>0</v>
      </c>
      <c r="BU58" s="383">
        <v>0</v>
      </c>
      <c r="BV58" s="391">
        <v>900</v>
      </c>
      <c r="BW58" s="383">
        <v>0</v>
      </c>
      <c r="BX58" s="391">
        <v>900</v>
      </c>
      <c r="BY58" s="383">
        <v>0</v>
      </c>
      <c r="BZ58" s="391">
        <v>900</v>
      </c>
      <c r="CA58" s="383">
        <v>0.60138887166976929</v>
      </c>
      <c r="CB58" s="152">
        <v>0</v>
      </c>
      <c r="CC58" s="152">
        <v>8.3333333333333332E-3</v>
      </c>
      <c r="CD58" s="384" t="s">
        <v>112</v>
      </c>
      <c r="CE58" s="152">
        <v>0</v>
      </c>
      <c r="CF58" s="391">
        <v>900</v>
      </c>
    </row>
    <row r="59" spans="1:84" s="367" customFormat="1" hidden="1" x14ac:dyDescent="0.25">
      <c r="A59" s="592" t="s">
        <v>112</v>
      </c>
      <c r="B59" s="355">
        <v>0</v>
      </c>
      <c r="C59" s="355">
        <v>0</v>
      </c>
      <c r="D59" s="355">
        <v>0</v>
      </c>
      <c r="E59" s="355">
        <v>0</v>
      </c>
      <c r="F59" s="355">
        <v>0</v>
      </c>
      <c r="G59" s="356" t="s">
        <v>112</v>
      </c>
      <c r="H59" s="356" t="s">
        <v>726</v>
      </c>
      <c r="I59" s="356">
        <v>7200</v>
      </c>
      <c r="J59" s="356">
        <v>0</v>
      </c>
      <c r="K59" s="357">
        <v>0.52013888888888882</v>
      </c>
      <c r="L59" s="358">
        <v>0</v>
      </c>
      <c r="M59" s="359" t="s">
        <v>112</v>
      </c>
      <c r="N59" s="358">
        <v>0</v>
      </c>
      <c r="O59" s="360" t="s">
        <v>726</v>
      </c>
      <c r="P59" s="358">
        <v>8.3333335816860199E-2</v>
      </c>
      <c r="Q59" s="358">
        <v>0</v>
      </c>
      <c r="R59" s="357">
        <v>0.60347222470574902</v>
      </c>
      <c r="S59" s="358">
        <v>0</v>
      </c>
      <c r="T59" s="359" t="s">
        <v>112</v>
      </c>
      <c r="U59" s="358">
        <v>0</v>
      </c>
      <c r="V59" s="360">
        <v>900</v>
      </c>
      <c r="W59" s="358">
        <v>8.3333335816860199E-2</v>
      </c>
      <c r="X59" s="358">
        <v>0</v>
      </c>
      <c r="Y59" s="358">
        <v>0</v>
      </c>
      <c r="Z59" s="357">
        <v>0.68680556052260922</v>
      </c>
      <c r="AA59" s="358">
        <v>0</v>
      </c>
      <c r="AB59" s="359" t="s">
        <v>112</v>
      </c>
      <c r="AC59" s="358">
        <v>0</v>
      </c>
      <c r="AD59" s="360" t="s">
        <v>723</v>
      </c>
      <c r="AE59" s="357">
        <v>0</v>
      </c>
      <c r="AF59" s="358">
        <v>0</v>
      </c>
      <c r="AG59" s="358">
        <v>0</v>
      </c>
      <c r="AH59" s="362">
        <v>0</v>
      </c>
      <c r="AI59" s="362">
        <v>0</v>
      </c>
      <c r="AJ59" s="354" t="s">
        <v>112</v>
      </c>
      <c r="AK59" s="362">
        <v>0</v>
      </c>
      <c r="AL59" s="363">
        <v>1800</v>
      </c>
      <c r="AM59" s="364">
        <v>0</v>
      </c>
      <c r="AN59" s="362">
        <v>0</v>
      </c>
      <c r="AO59" s="359" t="s">
        <v>112</v>
      </c>
      <c r="AP59" s="362">
        <v>0</v>
      </c>
      <c r="AQ59" s="363">
        <v>0</v>
      </c>
      <c r="AR59" s="357">
        <v>0</v>
      </c>
      <c r="AS59" s="358">
        <v>0</v>
      </c>
      <c r="AT59" s="358">
        <v>0</v>
      </c>
      <c r="AU59" s="365">
        <v>0</v>
      </c>
      <c r="AV59" s="365">
        <v>0</v>
      </c>
      <c r="AW59" s="365">
        <v>0</v>
      </c>
      <c r="AX59" s="359">
        <v>0</v>
      </c>
      <c r="AY59" s="359">
        <v>0</v>
      </c>
      <c r="AZ59" s="363">
        <v>1800</v>
      </c>
      <c r="BA59" s="357">
        <v>0</v>
      </c>
      <c r="BB59" s="358">
        <v>0</v>
      </c>
      <c r="BC59" s="358">
        <v>0</v>
      </c>
      <c r="BD59" s="362">
        <v>0</v>
      </c>
      <c r="BE59" s="362">
        <v>0</v>
      </c>
      <c r="BF59" s="354" t="s">
        <v>112</v>
      </c>
      <c r="BG59" s="362">
        <v>0</v>
      </c>
      <c r="BH59" s="363">
        <v>1800</v>
      </c>
      <c r="BI59" s="364">
        <v>0</v>
      </c>
      <c r="BJ59" s="362">
        <v>0</v>
      </c>
      <c r="BK59" s="359" t="s">
        <v>112</v>
      </c>
      <c r="BL59" s="362">
        <v>0</v>
      </c>
      <c r="BM59" s="363">
        <v>1800</v>
      </c>
      <c r="BN59" s="364">
        <v>0</v>
      </c>
      <c r="BO59" s="362">
        <v>0</v>
      </c>
      <c r="BP59" s="359" t="s">
        <v>112</v>
      </c>
      <c r="BQ59" s="362">
        <v>0</v>
      </c>
      <c r="BR59" s="363">
        <v>0</v>
      </c>
      <c r="BS59" s="366">
        <v>0</v>
      </c>
      <c r="BT59" s="363">
        <v>0</v>
      </c>
      <c r="BU59" s="357">
        <v>0</v>
      </c>
      <c r="BV59" s="361">
        <v>900</v>
      </c>
      <c r="BW59" s="357">
        <v>0</v>
      </c>
      <c r="BX59" s="361">
        <v>900</v>
      </c>
      <c r="BY59" s="357">
        <v>0</v>
      </c>
      <c r="BZ59" s="361">
        <v>900</v>
      </c>
      <c r="CA59" s="357">
        <v>0.60138887166976929</v>
      </c>
      <c r="CB59" s="358">
        <v>0</v>
      </c>
      <c r="CC59" s="358">
        <v>8.3333333333333332E-3</v>
      </c>
      <c r="CD59" s="359" t="s">
        <v>112</v>
      </c>
      <c r="CE59" s="358">
        <v>0</v>
      </c>
      <c r="CF59" s="361">
        <v>900</v>
      </c>
    </row>
    <row r="60" spans="1:84" s="22" customFormat="1" hidden="1" x14ac:dyDescent="0.25">
      <c r="A60" s="593" t="s">
        <v>112</v>
      </c>
      <c r="B60" s="381">
        <v>0</v>
      </c>
      <c r="C60" s="381">
        <v>0</v>
      </c>
      <c r="D60" s="381">
        <v>0</v>
      </c>
      <c r="E60" s="381">
        <v>0</v>
      </c>
      <c r="F60" s="381">
        <v>0</v>
      </c>
      <c r="G60" s="382" t="s">
        <v>112</v>
      </c>
      <c r="H60" s="382" t="s">
        <v>726</v>
      </c>
      <c r="I60" s="382">
        <v>7200</v>
      </c>
      <c r="J60" s="382">
        <v>0</v>
      </c>
      <c r="K60" s="383">
        <v>0.52013888888888882</v>
      </c>
      <c r="L60" s="152">
        <v>0</v>
      </c>
      <c r="M60" s="384" t="s">
        <v>112</v>
      </c>
      <c r="N60" s="152">
        <v>0</v>
      </c>
      <c r="O60" s="385" t="s">
        <v>726</v>
      </c>
      <c r="P60" s="152">
        <v>8.3333335816860199E-2</v>
      </c>
      <c r="Q60" s="152">
        <v>0</v>
      </c>
      <c r="R60" s="383">
        <v>0.60347222470574902</v>
      </c>
      <c r="S60" s="152">
        <v>0</v>
      </c>
      <c r="T60" s="384" t="s">
        <v>112</v>
      </c>
      <c r="U60" s="152">
        <v>0</v>
      </c>
      <c r="V60" s="385">
        <v>900</v>
      </c>
      <c r="W60" s="152">
        <v>8.3333335816860199E-2</v>
      </c>
      <c r="X60" s="152">
        <v>0</v>
      </c>
      <c r="Y60" s="152">
        <v>0</v>
      </c>
      <c r="Z60" s="383">
        <v>0.68680556052260922</v>
      </c>
      <c r="AA60" s="152">
        <v>0</v>
      </c>
      <c r="AB60" s="384" t="s">
        <v>112</v>
      </c>
      <c r="AC60" s="152">
        <v>0</v>
      </c>
      <c r="AD60" s="385" t="s">
        <v>723</v>
      </c>
      <c r="AE60" s="383">
        <v>0</v>
      </c>
      <c r="AF60" s="152">
        <v>0</v>
      </c>
      <c r="AG60" s="152">
        <v>0</v>
      </c>
      <c r="AH60" s="386">
        <v>0</v>
      </c>
      <c r="AI60" s="386">
        <v>0</v>
      </c>
      <c r="AJ60" s="380" t="s">
        <v>112</v>
      </c>
      <c r="AK60" s="386">
        <v>0</v>
      </c>
      <c r="AL60" s="387">
        <v>1800</v>
      </c>
      <c r="AM60" s="388">
        <v>0</v>
      </c>
      <c r="AN60" s="386">
        <v>0</v>
      </c>
      <c r="AO60" s="384" t="s">
        <v>112</v>
      </c>
      <c r="AP60" s="386">
        <v>0</v>
      </c>
      <c r="AQ60" s="387">
        <v>0</v>
      </c>
      <c r="AR60" s="383">
        <v>0</v>
      </c>
      <c r="AS60" s="152">
        <v>0</v>
      </c>
      <c r="AT60" s="152">
        <v>0</v>
      </c>
      <c r="AU60" s="389">
        <v>0</v>
      </c>
      <c r="AV60" s="389">
        <v>0</v>
      </c>
      <c r="AW60" s="389">
        <v>0</v>
      </c>
      <c r="AX60" s="384">
        <v>0</v>
      </c>
      <c r="AY60" s="384">
        <v>0</v>
      </c>
      <c r="AZ60" s="387">
        <v>1800</v>
      </c>
      <c r="BA60" s="383">
        <v>0</v>
      </c>
      <c r="BB60" s="152">
        <v>0</v>
      </c>
      <c r="BC60" s="152">
        <v>0</v>
      </c>
      <c r="BD60" s="386">
        <v>0</v>
      </c>
      <c r="BE60" s="386">
        <v>0</v>
      </c>
      <c r="BF60" s="380" t="s">
        <v>112</v>
      </c>
      <c r="BG60" s="386">
        <v>0</v>
      </c>
      <c r="BH60" s="387">
        <v>1800</v>
      </c>
      <c r="BI60" s="388">
        <v>0</v>
      </c>
      <c r="BJ60" s="386">
        <v>0</v>
      </c>
      <c r="BK60" s="384" t="s">
        <v>112</v>
      </c>
      <c r="BL60" s="386">
        <v>0</v>
      </c>
      <c r="BM60" s="387">
        <v>1800</v>
      </c>
      <c r="BN60" s="388">
        <v>0</v>
      </c>
      <c r="BO60" s="386">
        <v>0</v>
      </c>
      <c r="BP60" s="384" t="s">
        <v>112</v>
      </c>
      <c r="BQ60" s="386">
        <v>0</v>
      </c>
      <c r="BR60" s="387">
        <v>0</v>
      </c>
      <c r="BS60" s="390">
        <v>0</v>
      </c>
      <c r="BT60" s="387">
        <v>0</v>
      </c>
      <c r="BU60" s="383">
        <v>0</v>
      </c>
      <c r="BV60" s="391">
        <v>900</v>
      </c>
      <c r="BW60" s="383">
        <v>0</v>
      </c>
      <c r="BX60" s="391">
        <v>900</v>
      </c>
      <c r="BY60" s="383">
        <v>0</v>
      </c>
      <c r="BZ60" s="391">
        <v>900</v>
      </c>
      <c r="CA60" s="383">
        <v>0.60138887166976929</v>
      </c>
      <c r="CB60" s="152">
        <v>0</v>
      </c>
      <c r="CC60" s="152">
        <v>8.3333333333333332E-3</v>
      </c>
      <c r="CD60" s="384" t="s">
        <v>112</v>
      </c>
      <c r="CE60" s="152">
        <v>0</v>
      </c>
      <c r="CF60" s="391">
        <v>900</v>
      </c>
    </row>
    <row r="61" spans="1:84" s="367" customFormat="1" hidden="1" x14ac:dyDescent="0.25">
      <c r="A61" s="592" t="s">
        <v>112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6" t="s">
        <v>112</v>
      </c>
      <c r="H61" s="356" t="s">
        <v>726</v>
      </c>
      <c r="I61" s="356">
        <v>7200</v>
      </c>
      <c r="J61" s="356">
        <v>0</v>
      </c>
      <c r="K61" s="357">
        <v>0.52013888888888882</v>
      </c>
      <c r="L61" s="358">
        <v>0</v>
      </c>
      <c r="M61" s="359" t="s">
        <v>112</v>
      </c>
      <c r="N61" s="358">
        <v>0</v>
      </c>
      <c r="O61" s="360" t="s">
        <v>726</v>
      </c>
      <c r="P61" s="358">
        <v>8.3333335816860199E-2</v>
      </c>
      <c r="Q61" s="358">
        <v>0</v>
      </c>
      <c r="R61" s="357">
        <v>0.60347222470574902</v>
      </c>
      <c r="S61" s="358">
        <v>0</v>
      </c>
      <c r="T61" s="359" t="s">
        <v>112</v>
      </c>
      <c r="U61" s="358">
        <v>0</v>
      </c>
      <c r="V61" s="360">
        <v>900</v>
      </c>
      <c r="W61" s="358">
        <v>8.3333335816860199E-2</v>
      </c>
      <c r="X61" s="358">
        <v>0</v>
      </c>
      <c r="Y61" s="358">
        <v>0</v>
      </c>
      <c r="Z61" s="357">
        <v>0.68680556052260922</v>
      </c>
      <c r="AA61" s="358">
        <v>0</v>
      </c>
      <c r="AB61" s="359" t="s">
        <v>112</v>
      </c>
      <c r="AC61" s="358">
        <v>0</v>
      </c>
      <c r="AD61" s="360" t="s">
        <v>723</v>
      </c>
      <c r="AE61" s="357">
        <v>0</v>
      </c>
      <c r="AF61" s="358">
        <v>0</v>
      </c>
      <c r="AG61" s="358">
        <v>0</v>
      </c>
      <c r="AH61" s="362">
        <v>0</v>
      </c>
      <c r="AI61" s="362">
        <v>0</v>
      </c>
      <c r="AJ61" s="354" t="s">
        <v>112</v>
      </c>
      <c r="AK61" s="362">
        <v>0</v>
      </c>
      <c r="AL61" s="363">
        <v>1800</v>
      </c>
      <c r="AM61" s="364">
        <v>0</v>
      </c>
      <c r="AN61" s="362">
        <v>0</v>
      </c>
      <c r="AO61" s="359" t="s">
        <v>112</v>
      </c>
      <c r="AP61" s="362">
        <v>0</v>
      </c>
      <c r="AQ61" s="363">
        <v>0</v>
      </c>
      <c r="AR61" s="357">
        <v>0</v>
      </c>
      <c r="AS61" s="358">
        <v>0</v>
      </c>
      <c r="AT61" s="358">
        <v>0</v>
      </c>
      <c r="AU61" s="365">
        <v>0</v>
      </c>
      <c r="AV61" s="365">
        <v>0</v>
      </c>
      <c r="AW61" s="365">
        <v>0</v>
      </c>
      <c r="AX61" s="359">
        <v>0</v>
      </c>
      <c r="AY61" s="359">
        <v>0</v>
      </c>
      <c r="AZ61" s="363">
        <v>1800</v>
      </c>
      <c r="BA61" s="357">
        <v>0</v>
      </c>
      <c r="BB61" s="358">
        <v>0</v>
      </c>
      <c r="BC61" s="358">
        <v>0</v>
      </c>
      <c r="BD61" s="362">
        <v>0</v>
      </c>
      <c r="BE61" s="362">
        <v>0</v>
      </c>
      <c r="BF61" s="354" t="s">
        <v>112</v>
      </c>
      <c r="BG61" s="362">
        <v>0</v>
      </c>
      <c r="BH61" s="363">
        <v>1800</v>
      </c>
      <c r="BI61" s="364">
        <v>0</v>
      </c>
      <c r="BJ61" s="362">
        <v>0</v>
      </c>
      <c r="BK61" s="359" t="s">
        <v>112</v>
      </c>
      <c r="BL61" s="362">
        <v>0</v>
      </c>
      <c r="BM61" s="363">
        <v>1800</v>
      </c>
      <c r="BN61" s="364">
        <v>0</v>
      </c>
      <c r="BO61" s="362">
        <v>0</v>
      </c>
      <c r="BP61" s="359" t="s">
        <v>112</v>
      </c>
      <c r="BQ61" s="362">
        <v>0</v>
      </c>
      <c r="BR61" s="363">
        <v>0</v>
      </c>
      <c r="BS61" s="366">
        <v>0</v>
      </c>
      <c r="BT61" s="363">
        <v>0</v>
      </c>
      <c r="BU61" s="357">
        <v>0</v>
      </c>
      <c r="BV61" s="361">
        <v>900</v>
      </c>
      <c r="BW61" s="357">
        <v>0</v>
      </c>
      <c r="BX61" s="361">
        <v>900</v>
      </c>
      <c r="BY61" s="357">
        <v>0</v>
      </c>
      <c r="BZ61" s="361">
        <v>900</v>
      </c>
      <c r="CA61" s="357">
        <v>0.60138887166976929</v>
      </c>
      <c r="CB61" s="358">
        <v>0</v>
      </c>
      <c r="CC61" s="358">
        <v>8.3333333333333332E-3</v>
      </c>
      <c r="CD61" s="359" t="s">
        <v>112</v>
      </c>
      <c r="CE61" s="358">
        <v>0</v>
      </c>
      <c r="CF61" s="361">
        <v>900</v>
      </c>
    </row>
    <row r="62" spans="1:84" s="22" customFormat="1" hidden="1" x14ac:dyDescent="0.25">
      <c r="A62" s="593" t="s">
        <v>112</v>
      </c>
      <c r="B62" s="381">
        <v>0</v>
      </c>
      <c r="C62" s="381">
        <v>0</v>
      </c>
      <c r="D62" s="381">
        <v>0</v>
      </c>
      <c r="E62" s="381">
        <v>0</v>
      </c>
      <c r="F62" s="381">
        <v>0</v>
      </c>
      <c r="G62" s="382" t="s">
        <v>112</v>
      </c>
      <c r="H62" s="382" t="s">
        <v>726</v>
      </c>
      <c r="I62" s="382">
        <v>7200</v>
      </c>
      <c r="J62" s="382">
        <v>0</v>
      </c>
      <c r="K62" s="383">
        <v>0.52013888888888882</v>
      </c>
      <c r="L62" s="152">
        <v>0</v>
      </c>
      <c r="M62" s="384" t="s">
        <v>112</v>
      </c>
      <c r="N62" s="152">
        <v>0</v>
      </c>
      <c r="O62" s="385" t="s">
        <v>726</v>
      </c>
      <c r="P62" s="152">
        <v>8.3333335816860199E-2</v>
      </c>
      <c r="Q62" s="152">
        <v>0</v>
      </c>
      <c r="R62" s="383">
        <v>0.60347222470574902</v>
      </c>
      <c r="S62" s="152">
        <v>0</v>
      </c>
      <c r="T62" s="384" t="s">
        <v>112</v>
      </c>
      <c r="U62" s="152">
        <v>0</v>
      </c>
      <c r="V62" s="385">
        <v>900</v>
      </c>
      <c r="W62" s="152">
        <v>8.3333335816860199E-2</v>
      </c>
      <c r="X62" s="152">
        <v>0</v>
      </c>
      <c r="Y62" s="152">
        <v>0</v>
      </c>
      <c r="Z62" s="383">
        <v>0.68680556052260922</v>
      </c>
      <c r="AA62" s="152">
        <v>0</v>
      </c>
      <c r="AB62" s="384" t="s">
        <v>112</v>
      </c>
      <c r="AC62" s="152">
        <v>0</v>
      </c>
      <c r="AD62" s="385" t="s">
        <v>723</v>
      </c>
      <c r="AE62" s="383">
        <v>0</v>
      </c>
      <c r="AF62" s="152">
        <v>0</v>
      </c>
      <c r="AG62" s="152">
        <v>0</v>
      </c>
      <c r="AH62" s="386">
        <v>0</v>
      </c>
      <c r="AI62" s="386">
        <v>0</v>
      </c>
      <c r="AJ62" s="380" t="s">
        <v>112</v>
      </c>
      <c r="AK62" s="386">
        <v>0</v>
      </c>
      <c r="AL62" s="387">
        <v>1800</v>
      </c>
      <c r="AM62" s="388">
        <v>0</v>
      </c>
      <c r="AN62" s="386">
        <v>0</v>
      </c>
      <c r="AO62" s="384" t="s">
        <v>112</v>
      </c>
      <c r="AP62" s="386">
        <v>0</v>
      </c>
      <c r="AQ62" s="387">
        <v>0</v>
      </c>
      <c r="AR62" s="383">
        <v>0</v>
      </c>
      <c r="AS62" s="152">
        <v>0</v>
      </c>
      <c r="AT62" s="152">
        <v>0</v>
      </c>
      <c r="AU62" s="389">
        <v>0</v>
      </c>
      <c r="AV62" s="389">
        <v>0</v>
      </c>
      <c r="AW62" s="389">
        <v>0</v>
      </c>
      <c r="AX62" s="384">
        <v>0</v>
      </c>
      <c r="AY62" s="384">
        <v>0</v>
      </c>
      <c r="AZ62" s="387">
        <v>1800</v>
      </c>
      <c r="BA62" s="383">
        <v>0</v>
      </c>
      <c r="BB62" s="152">
        <v>0</v>
      </c>
      <c r="BC62" s="152">
        <v>0</v>
      </c>
      <c r="BD62" s="386">
        <v>0</v>
      </c>
      <c r="BE62" s="386">
        <v>0</v>
      </c>
      <c r="BF62" s="380" t="s">
        <v>112</v>
      </c>
      <c r="BG62" s="386">
        <v>0</v>
      </c>
      <c r="BH62" s="387">
        <v>1800</v>
      </c>
      <c r="BI62" s="388">
        <v>0</v>
      </c>
      <c r="BJ62" s="386">
        <v>0</v>
      </c>
      <c r="BK62" s="384" t="s">
        <v>112</v>
      </c>
      <c r="BL62" s="386">
        <v>0</v>
      </c>
      <c r="BM62" s="387">
        <v>1800</v>
      </c>
      <c r="BN62" s="388">
        <v>0</v>
      </c>
      <c r="BO62" s="386">
        <v>0</v>
      </c>
      <c r="BP62" s="384" t="s">
        <v>112</v>
      </c>
      <c r="BQ62" s="386">
        <v>0</v>
      </c>
      <c r="BR62" s="387">
        <v>0</v>
      </c>
      <c r="BS62" s="390">
        <v>0</v>
      </c>
      <c r="BT62" s="387">
        <v>0</v>
      </c>
      <c r="BU62" s="383">
        <v>0</v>
      </c>
      <c r="BV62" s="391">
        <v>900</v>
      </c>
      <c r="BW62" s="383">
        <v>0</v>
      </c>
      <c r="BX62" s="391">
        <v>900</v>
      </c>
      <c r="BY62" s="383">
        <v>0</v>
      </c>
      <c r="BZ62" s="391">
        <v>900</v>
      </c>
      <c r="CA62" s="383">
        <v>0.60138887166976929</v>
      </c>
      <c r="CB62" s="152">
        <v>0</v>
      </c>
      <c r="CC62" s="152">
        <v>8.3333333333333332E-3</v>
      </c>
      <c r="CD62" s="384" t="s">
        <v>112</v>
      </c>
      <c r="CE62" s="152">
        <v>0</v>
      </c>
      <c r="CF62" s="391">
        <v>900</v>
      </c>
    </row>
    <row r="63" spans="1:84" s="367" customFormat="1" hidden="1" x14ac:dyDescent="0.25">
      <c r="A63" s="592" t="s">
        <v>112</v>
      </c>
      <c r="B63" s="355">
        <v>0</v>
      </c>
      <c r="C63" s="355">
        <v>0</v>
      </c>
      <c r="D63" s="355">
        <v>0</v>
      </c>
      <c r="E63" s="355">
        <v>0</v>
      </c>
      <c r="F63" s="355">
        <v>0</v>
      </c>
      <c r="G63" s="356" t="s">
        <v>112</v>
      </c>
      <c r="H63" s="356" t="s">
        <v>726</v>
      </c>
      <c r="I63" s="356">
        <v>7200</v>
      </c>
      <c r="J63" s="356">
        <v>0</v>
      </c>
      <c r="K63" s="357">
        <v>0.52013888888888882</v>
      </c>
      <c r="L63" s="358">
        <v>0</v>
      </c>
      <c r="M63" s="359" t="s">
        <v>112</v>
      </c>
      <c r="N63" s="358">
        <v>0</v>
      </c>
      <c r="O63" s="360" t="s">
        <v>726</v>
      </c>
      <c r="P63" s="358">
        <v>8.3333335816860199E-2</v>
      </c>
      <c r="Q63" s="358">
        <v>0</v>
      </c>
      <c r="R63" s="357">
        <v>0.60347222470574902</v>
      </c>
      <c r="S63" s="358">
        <v>0</v>
      </c>
      <c r="T63" s="359" t="s">
        <v>112</v>
      </c>
      <c r="U63" s="358">
        <v>0</v>
      </c>
      <c r="V63" s="360">
        <v>900</v>
      </c>
      <c r="W63" s="358">
        <v>8.3333335816860199E-2</v>
      </c>
      <c r="X63" s="358">
        <v>0</v>
      </c>
      <c r="Y63" s="358">
        <v>0</v>
      </c>
      <c r="Z63" s="357">
        <v>0.68680556052260922</v>
      </c>
      <c r="AA63" s="358">
        <v>0</v>
      </c>
      <c r="AB63" s="359" t="s">
        <v>112</v>
      </c>
      <c r="AC63" s="358">
        <v>0</v>
      </c>
      <c r="AD63" s="360" t="s">
        <v>723</v>
      </c>
      <c r="AE63" s="357">
        <v>0</v>
      </c>
      <c r="AF63" s="358">
        <v>0</v>
      </c>
      <c r="AG63" s="358">
        <v>0</v>
      </c>
      <c r="AH63" s="362">
        <v>0</v>
      </c>
      <c r="AI63" s="362">
        <v>0</v>
      </c>
      <c r="AJ63" s="354" t="s">
        <v>112</v>
      </c>
      <c r="AK63" s="362">
        <v>0</v>
      </c>
      <c r="AL63" s="363">
        <v>1800</v>
      </c>
      <c r="AM63" s="364">
        <v>0</v>
      </c>
      <c r="AN63" s="362">
        <v>0</v>
      </c>
      <c r="AO63" s="359" t="s">
        <v>112</v>
      </c>
      <c r="AP63" s="362">
        <v>0</v>
      </c>
      <c r="AQ63" s="363">
        <v>0</v>
      </c>
      <c r="AR63" s="357">
        <v>0</v>
      </c>
      <c r="AS63" s="358">
        <v>0</v>
      </c>
      <c r="AT63" s="358">
        <v>0</v>
      </c>
      <c r="AU63" s="365">
        <v>0</v>
      </c>
      <c r="AV63" s="365">
        <v>0</v>
      </c>
      <c r="AW63" s="365">
        <v>0</v>
      </c>
      <c r="AX63" s="359">
        <v>0</v>
      </c>
      <c r="AY63" s="359">
        <v>0</v>
      </c>
      <c r="AZ63" s="363">
        <v>1800</v>
      </c>
      <c r="BA63" s="357">
        <v>0</v>
      </c>
      <c r="BB63" s="358">
        <v>0</v>
      </c>
      <c r="BC63" s="358">
        <v>0</v>
      </c>
      <c r="BD63" s="362">
        <v>0</v>
      </c>
      <c r="BE63" s="362">
        <v>0</v>
      </c>
      <c r="BF63" s="354" t="s">
        <v>112</v>
      </c>
      <c r="BG63" s="362">
        <v>0</v>
      </c>
      <c r="BH63" s="363">
        <v>1800</v>
      </c>
      <c r="BI63" s="364">
        <v>0</v>
      </c>
      <c r="BJ63" s="362">
        <v>0</v>
      </c>
      <c r="BK63" s="359" t="s">
        <v>112</v>
      </c>
      <c r="BL63" s="362">
        <v>0</v>
      </c>
      <c r="BM63" s="363">
        <v>1800</v>
      </c>
      <c r="BN63" s="364">
        <v>0</v>
      </c>
      <c r="BO63" s="362">
        <v>0</v>
      </c>
      <c r="BP63" s="359" t="s">
        <v>112</v>
      </c>
      <c r="BQ63" s="362">
        <v>0</v>
      </c>
      <c r="BR63" s="363">
        <v>0</v>
      </c>
      <c r="BS63" s="366">
        <v>0</v>
      </c>
      <c r="BT63" s="363">
        <v>0</v>
      </c>
      <c r="BU63" s="357">
        <v>0</v>
      </c>
      <c r="BV63" s="361">
        <v>900</v>
      </c>
      <c r="BW63" s="357">
        <v>0</v>
      </c>
      <c r="BX63" s="361">
        <v>900</v>
      </c>
      <c r="BY63" s="357">
        <v>0</v>
      </c>
      <c r="BZ63" s="361">
        <v>900</v>
      </c>
      <c r="CA63" s="357">
        <v>0.60138887166976929</v>
      </c>
      <c r="CB63" s="358">
        <v>0</v>
      </c>
      <c r="CC63" s="358">
        <v>8.3333333333333332E-3</v>
      </c>
      <c r="CD63" s="359" t="s">
        <v>112</v>
      </c>
      <c r="CE63" s="358">
        <v>0</v>
      </c>
      <c r="CF63" s="361">
        <v>900</v>
      </c>
    </row>
    <row r="64" spans="1:84" s="22" customFormat="1" hidden="1" x14ac:dyDescent="0.25">
      <c r="A64" s="593" t="s">
        <v>112</v>
      </c>
      <c r="B64" s="381">
        <v>0</v>
      </c>
      <c r="C64" s="381">
        <v>0</v>
      </c>
      <c r="D64" s="381">
        <v>0</v>
      </c>
      <c r="E64" s="381">
        <v>0</v>
      </c>
      <c r="F64" s="381">
        <v>0</v>
      </c>
      <c r="G64" s="382" t="s">
        <v>112</v>
      </c>
      <c r="H64" s="382" t="s">
        <v>726</v>
      </c>
      <c r="I64" s="382">
        <v>7200</v>
      </c>
      <c r="J64" s="382">
        <v>0</v>
      </c>
      <c r="K64" s="383">
        <v>0.52013888888888882</v>
      </c>
      <c r="L64" s="152">
        <v>0</v>
      </c>
      <c r="M64" s="384" t="s">
        <v>112</v>
      </c>
      <c r="N64" s="152">
        <v>0</v>
      </c>
      <c r="O64" s="385" t="s">
        <v>726</v>
      </c>
      <c r="P64" s="152">
        <v>8.3333335816860199E-2</v>
      </c>
      <c r="Q64" s="152">
        <v>0</v>
      </c>
      <c r="R64" s="383">
        <v>0.60347222470574902</v>
      </c>
      <c r="S64" s="152">
        <v>0</v>
      </c>
      <c r="T64" s="384" t="s">
        <v>112</v>
      </c>
      <c r="U64" s="152">
        <v>0</v>
      </c>
      <c r="V64" s="385">
        <v>900</v>
      </c>
      <c r="W64" s="152">
        <v>8.3333335816860199E-2</v>
      </c>
      <c r="X64" s="152">
        <v>0</v>
      </c>
      <c r="Y64" s="152">
        <v>0</v>
      </c>
      <c r="Z64" s="383">
        <v>0.68680556052260922</v>
      </c>
      <c r="AA64" s="152">
        <v>0</v>
      </c>
      <c r="AB64" s="384" t="s">
        <v>112</v>
      </c>
      <c r="AC64" s="152">
        <v>0</v>
      </c>
      <c r="AD64" s="385" t="s">
        <v>723</v>
      </c>
      <c r="AE64" s="383">
        <v>0</v>
      </c>
      <c r="AF64" s="152">
        <v>0</v>
      </c>
      <c r="AG64" s="152">
        <v>0</v>
      </c>
      <c r="AH64" s="386">
        <v>0</v>
      </c>
      <c r="AI64" s="386">
        <v>0</v>
      </c>
      <c r="AJ64" s="380" t="s">
        <v>112</v>
      </c>
      <c r="AK64" s="386">
        <v>0</v>
      </c>
      <c r="AL64" s="387">
        <v>1800</v>
      </c>
      <c r="AM64" s="388">
        <v>0</v>
      </c>
      <c r="AN64" s="386">
        <v>0</v>
      </c>
      <c r="AO64" s="384" t="s">
        <v>112</v>
      </c>
      <c r="AP64" s="386">
        <v>0</v>
      </c>
      <c r="AQ64" s="387">
        <v>0</v>
      </c>
      <c r="AR64" s="383">
        <v>0</v>
      </c>
      <c r="AS64" s="152">
        <v>0</v>
      </c>
      <c r="AT64" s="152">
        <v>0</v>
      </c>
      <c r="AU64" s="389">
        <v>0</v>
      </c>
      <c r="AV64" s="389">
        <v>0</v>
      </c>
      <c r="AW64" s="389">
        <v>0</v>
      </c>
      <c r="AX64" s="384">
        <v>0</v>
      </c>
      <c r="AY64" s="384">
        <v>0</v>
      </c>
      <c r="AZ64" s="387">
        <v>1800</v>
      </c>
      <c r="BA64" s="383">
        <v>0</v>
      </c>
      <c r="BB64" s="152">
        <v>0</v>
      </c>
      <c r="BC64" s="152">
        <v>0</v>
      </c>
      <c r="BD64" s="386">
        <v>0</v>
      </c>
      <c r="BE64" s="386">
        <v>0</v>
      </c>
      <c r="BF64" s="380" t="s">
        <v>112</v>
      </c>
      <c r="BG64" s="386">
        <v>0</v>
      </c>
      <c r="BH64" s="387">
        <v>1800</v>
      </c>
      <c r="BI64" s="388">
        <v>0</v>
      </c>
      <c r="BJ64" s="386">
        <v>0</v>
      </c>
      <c r="BK64" s="384" t="s">
        <v>112</v>
      </c>
      <c r="BL64" s="386">
        <v>0</v>
      </c>
      <c r="BM64" s="387">
        <v>1800</v>
      </c>
      <c r="BN64" s="388">
        <v>0</v>
      </c>
      <c r="BO64" s="386">
        <v>0</v>
      </c>
      <c r="BP64" s="384" t="s">
        <v>112</v>
      </c>
      <c r="BQ64" s="386">
        <v>0</v>
      </c>
      <c r="BR64" s="387">
        <v>0</v>
      </c>
      <c r="BS64" s="390">
        <v>0</v>
      </c>
      <c r="BT64" s="387">
        <v>0</v>
      </c>
      <c r="BU64" s="383">
        <v>0</v>
      </c>
      <c r="BV64" s="391">
        <v>900</v>
      </c>
      <c r="BW64" s="383">
        <v>0</v>
      </c>
      <c r="BX64" s="391">
        <v>900</v>
      </c>
      <c r="BY64" s="383">
        <v>0</v>
      </c>
      <c r="BZ64" s="391">
        <v>900</v>
      </c>
      <c r="CA64" s="383">
        <v>0.60138887166976929</v>
      </c>
      <c r="CB64" s="152">
        <v>0</v>
      </c>
      <c r="CC64" s="152">
        <v>8.3333333333333332E-3</v>
      </c>
      <c r="CD64" s="384" t="s">
        <v>112</v>
      </c>
      <c r="CE64" s="152">
        <v>0</v>
      </c>
      <c r="CF64" s="391">
        <v>900</v>
      </c>
    </row>
    <row r="65" spans="1:84" s="367" customFormat="1" hidden="1" x14ac:dyDescent="0.25">
      <c r="A65" s="592" t="s">
        <v>112</v>
      </c>
      <c r="B65" s="355">
        <v>0</v>
      </c>
      <c r="C65" s="355">
        <v>0</v>
      </c>
      <c r="D65" s="355">
        <v>0</v>
      </c>
      <c r="E65" s="355">
        <v>0</v>
      </c>
      <c r="F65" s="355">
        <v>0</v>
      </c>
      <c r="G65" s="356" t="s">
        <v>112</v>
      </c>
      <c r="H65" s="356" t="s">
        <v>726</v>
      </c>
      <c r="I65" s="356">
        <v>7200</v>
      </c>
      <c r="J65" s="356">
        <v>0</v>
      </c>
      <c r="K65" s="357">
        <v>0.52013888888888882</v>
      </c>
      <c r="L65" s="358">
        <v>0</v>
      </c>
      <c r="M65" s="359" t="s">
        <v>112</v>
      </c>
      <c r="N65" s="358">
        <v>0</v>
      </c>
      <c r="O65" s="360" t="s">
        <v>726</v>
      </c>
      <c r="P65" s="358">
        <v>8.3333335816860199E-2</v>
      </c>
      <c r="Q65" s="358">
        <v>0</v>
      </c>
      <c r="R65" s="357">
        <v>0.60347222470574902</v>
      </c>
      <c r="S65" s="358">
        <v>0</v>
      </c>
      <c r="T65" s="359" t="s">
        <v>112</v>
      </c>
      <c r="U65" s="358">
        <v>0</v>
      </c>
      <c r="V65" s="360">
        <v>900</v>
      </c>
      <c r="W65" s="358">
        <v>8.3333335816860199E-2</v>
      </c>
      <c r="X65" s="358">
        <v>0</v>
      </c>
      <c r="Y65" s="358">
        <v>0</v>
      </c>
      <c r="Z65" s="357">
        <v>0.68680556052260922</v>
      </c>
      <c r="AA65" s="358">
        <v>0</v>
      </c>
      <c r="AB65" s="359" t="s">
        <v>112</v>
      </c>
      <c r="AC65" s="358">
        <v>0</v>
      </c>
      <c r="AD65" s="360" t="s">
        <v>723</v>
      </c>
      <c r="AE65" s="357">
        <v>0</v>
      </c>
      <c r="AF65" s="358">
        <v>0</v>
      </c>
      <c r="AG65" s="358">
        <v>0</v>
      </c>
      <c r="AH65" s="362">
        <v>0</v>
      </c>
      <c r="AI65" s="362">
        <v>0</v>
      </c>
      <c r="AJ65" s="354" t="s">
        <v>112</v>
      </c>
      <c r="AK65" s="362">
        <v>0</v>
      </c>
      <c r="AL65" s="363">
        <v>1800</v>
      </c>
      <c r="AM65" s="364">
        <v>0</v>
      </c>
      <c r="AN65" s="362">
        <v>0</v>
      </c>
      <c r="AO65" s="359" t="s">
        <v>112</v>
      </c>
      <c r="AP65" s="362">
        <v>0</v>
      </c>
      <c r="AQ65" s="363">
        <v>0</v>
      </c>
      <c r="AR65" s="357">
        <v>0</v>
      </c>
      <c r="AS65" s="358">
        <v>0</v>
      </c>
      <c r="AT65" s="358">
        <v>0</v>
      </c>
      <c r="AU65" s="365">
        <v>0</v>
      </c>
      <c r="AV65" s="365">
        <v>0</v>
      </c>
      <c r="AW65" s="365">
        <v>0</v>
      </c>
      <c r="AX65" s="359">
        <v>0</v>
      </c>
      <c r="AY65" s="359">
        <v>0</v>
      </c>
      <c r="AZ65" s="363">
        <v>1800</v>
      </c>
      <c r="BA65" s="357">
        <v>0</v>
      </c>
      <c r="BB65" s="358">
        <v>0</v>
      </c>
      <c r="BC65" s="358">
        <v>0</v>
      </c>
      <c r="BD65" s="362">
        <v>0</v>
      </c>
      <c r="BE65" s="362">
        <v>0</v>
      </c>
      <c r="BF65" s="354" t="s">
        <v>112</v>
      </c>
      <c r="BG65" s="362">
        <v>0</v>
      </c>
      <c r="BH65" s="363">
        <v>1800</v>
      </c>
      <c r="BI65" s="364">
        <v>0</v>
      </c>
      <c r="BJ65" s="362">
        <v>0</v>
      </c>
      <c r="BK65" s="359" t="s">
        <v>112</v>
      </c>
      <c r="BL65" s="362">
        <v>0</v>
      </c>
      <c r="BM65" s="363">
        <v>1800</v>
      </c>
      <c r="BN65" s="364">
        <v>0</v>
      </c>
      <c r="BO65" s="362">
        <v>0</v>
      </c>
      <c r="BP65" s="359" t="s">
        <v>112</v>
      </c>
      <c r="BQ65" s="362">
        <v>0</v>
      </c>
      <c r="BR65" s="363">
        <v>0</v>
      </c>
      <c r="BS65" s="366">
        <v>0</v>
      </c>
      <c r="BT65" s="363">
        <v>0</v>
      </c>
      <c r="BU65" s="357">
        <v>0</v>
      </c>
      <c r="BV65" s="361">
        <v>900</v>
      </c>
      <c r="BW65" s="357">
        <v>0</v>
      </c>
      <c r="BX65" s="361">
        <v>900</v>
      </c>
      <c r="BY65" s="357">
        <v>0</v>
      </c>
      <c r="BZ65" s="361">
        <v>900</v>
      </c>
      <c r="CA65" s="357">
        <v>0.60138887166976929</v>
      </c>
      <c r="CB65" s="358">
        <v>0</v>
      </c>
      <c r="CC65" s="358">
        <v>8.3333333333333332E-3</v>
      </c>
      <c r="CD65" s="359" t="s">
        <v>112</v>
      </c>
      <c r="CE65" s="358">
        <v>0</v>
      </c>
      <c r="CF65" s="361">
        <v>900</v>
      </c>
    </row>
    <row r="66" spans="1:84" s="22" customFormat="1" hidden="1" x14ac:dyDescent="0.25">
      <c r="A66" s="593" t="s">
        <v>112</v>
      </c>
      <c r="B66" s="381">
        <v>0</v>
      </c>
      <c r="C66" s="381">
        <v>0</v>
      </c>
      <c r="D66" s="381">
        <v>0</v>
      </c>
      <c r="E66" s="381">
        <v>0</v>
      </c>
      <c r="F66" s="381">
        <v>0</v>
      </c>
      <c r="G66" s="382" t="s">
        <v>112</v>
      </c>
      <c r="H66" s="382" t="s">
        <v>726</v>
      </c>
      <c r="I66" s="382">
        <v>7200</v>
      </c>
      <c r="J66" s="382">
        <v>0</v>
      </c>
      <c r="K66" s="383">
        <v>0.52013888888888882</v>
      </c>
      <c r="L66" s="152">
        <v>0</v>
      </c>
      <c r="M66" s="384" t="s">
        <v>112</v>
      </c>
      <c r="N66" s="152">
        <v>0</v>
      </c>
      <c r="O66" s="385" t="s">
        <v>726</v>
      </c>
      <c r="P66" s="152">
        <v>8.3333335816860199E-2</v>
      </c>
      <c r="Q66" s="152">
        <v>0</v>
      </c>
      <c r="R66" s="383">
        <v>0.60347222470574902</v>
      </c>
      <c r="S66" s="152">
        <v>0</v>
      </c>
      <c r="T66" s="384" t="s">
        <v>112</v>
      </c>
      <c r="U66" s="152">
        <v>0</v>
      </c>
      <c r="V66" s="385">
        <v>900</v>
      </c>
      <c r="W66" s="152">
        <v>8.3333335816860199E-2</v>
      </c>
      <c r="X66" s="152">
        <v>0</v>
      </c>
      <c r="Y66" s="152">
        <v>0</v>
      </c>
      <c r="Z66" s="383">
        <v>0.68680556052260922</v>
      </c>
      <c r="AA66" s="152">
        <v>0</v>
      </c>
      <c r="AB66" s="384" t="s">
        <v>112</v>
      </c>
      <c r="AC66" s="152">
        <v>0</v>
      </c>
      <c r="AD66" s="385" t="s">
        <v>723</v>
      </c>
      <c r="AE66" s="383">
        <v>0</v>
      </c>
      <c r="AF66" s="152">
        <v>0</v>
      </c>
      <c r="AG66" s="152">
        <v>0</v>
      </c>
      <c r="AH66" s="386">
        <v>0</v>
      </c>
      <c r="AI66" s="386">
        <v>0</v>
      </c>
      <c r="AJ66" s="380" t="s">
        <v>112</v>
      </c>
      <c r="AK66" s="386">
        <v>0</v>
      </c>
      <c r="AL66" s="387">
        <v>1800</v>
      </c>
      <c r="AM66" s="388">
        <v>0</v>
      </c>
      <c r="AN66" s="386">
        <v>0</v>
      </c>
      <c r="AO66" s="384" t="s">
        <v>112</v>
      </c>
      <c r="AP66" s="386">
        <v>0</v>
      </c>
      <c r="AQ66" s="387">
        <v>0</v>
      </c>
      <c r="AR66" s="383">
        <v>0</v>
      </c>
      <c r="AS66" s="152">
        <v>0</v>
      </c>
      <c r="AT66" s="152">
        <v>0</v>
      </c>
      <c r="AU66" s="389">
        <v>0</v>
      </c>
      <c r="AV66" s="389">
        <v>0</v>
      </c>
      <c r="AW66" s="389">
        <v>0</v>
      </c>
      <c r="AX66" s="384">
        <v>0</v>
      </c>
      <c r="AY66" s="384">
        <v>0</v>
      </c>
      <c r="AZ66" s="387">
        <v>1800</v>
      </c>
      <c r="BA66" s="383">
        <v>0</v>
      </c>
      <c r="BB66" s="152">
        <v>0</v>
      </c>
      <c r="BC66" s="152">
        <v>0</v>
      </c>
      <c r="BD66" s="386">
        <v>0</v>
      </c>
      <c r="BE66" s="386">
        <v>0</v>
      </c>
      <c r="BF66" s="380" t="s">
        <v>112</v>
      </c>
      <c r="BG66" s="386">
        <v>0</v>
      </c>
      <c r="BH66" s="387">
        <v>1800</v>
      </c>
      <c r="BI66" s="388">
        <v>0</v>
      </c>
      <c r="BJ66" s="386">
        <v>0</v>
      </c>
      <c r="BK66" s="384" t="s">
        <v>112</v>
      </c>
      <c r="BL66" s="386">
        <v>0</v>
      </c>
      <c r="BM66" s="387">
        <v>1800</v>
      </c>
      <c r="BN66" s="388">
        <v>0</v>
      </c>
      <c r="BO66" s="386">
        <v>0</v>
      </c>
      <c r="BP66" s="384" t="s">
        <v>112</v>
      </c>
      <c r="BQ66" s="386">
        <v>0</v>
      </c>
      <c r="BR66" s="387">
        <v>0</v>
      </c>
      <c r="BS66" s="390">
        <v>0</v>
      </c>
      <c r="BT66" s="387">
        <v>0</v>
      </c>
      <c r="BU66" s="383">
        <v>0</v>
      </c>
      <c r="BV66" s="391">
        <v>900</v>
      </c>
      <c r="BW66" s="383">
        <v>0</v>
      </c>
      <c r="BX66" s="391">
        <v>900</v>
      </c>
      <c r="BY66" s="383">
        <v>0</v>
      </c>
      <c r="BZ66" s="391">
        <v>900</v>
      </c>
      <c r="CA66" s="383">
        <v>0.60138887166976929</v>
      </c>
      <c r="CB66" s="152">
        <v>0</v>
      </c>
      <c r="CC66" s="152">
        <v>8.3333333333333332E-3</v>
      </c>
      <c r="CD66" s="384" t="s">
        <v>112</v>
      </c>
      <c r="CE66" s="152">
        <v>0</v>
      </c>
      <c r="CF66" s="391">
        <v>900</v>
      </c>
    </row>
    <row r="67" spans="1:84" s="367" customFormat="1" hidden="1" x14ac:dyDescent="0.25">
      <c r="A67" s="592" t="s">
        <v>112</v>
      </c>
      <c r="B67" s="355">
        <v>0</v>
      </c>
      <c r="C67" s="355">
        <v>0</v>
      </c>
      <c r="D67" s="355">
        <v>0</v>
      </c>
      <c r="E67" s="355">
        <v>0</v>
      </c>
      <c r="F67" s="355">
        <v>0</v>
      </c>
      <c r="G67" s="356" t="s">
        <v>112</v>
      </c>
      <c r="H67" s="356" t="s">
        <v>726</v>
      </c>
      <c r="I67" s="356">
        <v>7200</v>
      </c>
      <c r="J67" s="356">
        <v>0</v>
      </c>
      <c r="K67" s="357">
        <v>0.52013888888888882</v>
      </c>
      <c r="L67" s="358">
        <v>0</v>
      </c>
      <c r="M67" s="359" t="s">
        <v>112</v>
      </c>
      <c r="N67" s="358">
        <v>0</v>
      </c>
      <c r="O67" s="360" t="s">
        <v>726</v>
      </c>
      <c r="P67" s="358">
        <v>8.3333335816860199E-2</v>
      </c>
      <c r="Q67" s="358">
        <v>0</v>
      </c>
      <c r="R67" s="357">
        <v>0.60347222470574902</v>
      </c>
      <c r="S67" s="358">
        <v>0</v>
      </c>
      <c r="T67" s="359" t="s">
        <v>112</v>
      </c>
      <c r="U67" s="358">
        <v>0</v>
      </c>
      <c r="V67" s="360">
        <v>900</v>
      </c>
      <c r="W67" s="358">
        <v>8.3333335816860199E-2</v>
      </c>
      <c r="X67" s="358">
        <v>0</v>
      </c>
      <c r="Y67" s="358">
        <v>0</v>
      </c>
      <c r="Z67" s="357">
        <v>0.68680556052260922</v>
      </c>
      <c r="AA67" s="358">
        <v>0</v>
      </c>
      <c r="AB67" s="359" t="s">
        <v>112</v>
      </c>
      <c r="AC67" s="358">
        <v>0</v>
      </c>
      <c r="AD67" s="360" t="s">
        <v>723</v>
      </c>
      <c r="AE67" s="357">
        <v>0</v>
      </c>
      <c r="AF67" s="358">
        <v>0</v>
      </c>
      <c r="AG67" s="358">
        <v>0</v>
      </c>
      <c r="AH67" s="362">
        <v>0</v>
      </c>
      <c r="AI67" s="362">
        <v>0</v>
      </c>
      <c r="AJ67" s="354" t="s">
        <v>112</v>
      </c>
      <c r="AK67" s="362">
        <v>0</v>
      </c>
      <c r="AL67" s="363">
        <v>1800</v>
      </c>
      <c r="AM67" s="364">
        <v>0</v>
      </c>
      <c r="AN67" s="362">
        <v>0</v>
      </c>
      <c r="AO67" s="359" t="s">
        <v>112</v>
      </c>
      <c r="AP67" s="362">
        <v>0</v>
      </c>
      <c r="AQ67" s="363">
        <v>0</v>
      </c>
      <c r="AR67" s="357">
        <v>0</v>
      </c>
      <c r="AS67" s="358">
        <v>0</v>
      </c>
      <c r="AT67" s="358">
        <v>0</v>
      </c>
      <c r="AU67" s="365">
        <v>0</v>
      </c>
      <c r="AV67" s="365">
        <v>0</v>
      </c>
      <c r="AW67" s="365">
        <v>0</v>
      </c>
      <c r="AX67" s="359">
        <v>0</v>
      </c>
      <c r="AY67" s="359">
        <v>0</v>
      </c>
      <c r="AZ67" s="363">
        <v>1800</v>
      </c>
      <c r="BA67" s="357">
        <v>0</v>
      </c>
      <c r="BB67" s="358">
        <v>0</v>
      </c>
      <c r="BC67" s="358">
        <v>0</v>
      </c>
      <c r="BD67" s="362">
        <v>0</v>
      </c>
      <c r="BE67" s="362">
        <v>0</v>
      </c>
      <c r="BF67" s="354" t="s">
        <v>112</v>
      </c>
      <c r="BG67" s="362">
        <v>0</v>
      </c>
      <c r="BH67" s="363">
        <v>1800</v>
      </c>
      <c r="BI67" s="364">
        <v>0</v>
      </c>
      <c r="BJ67" s="362">
        <v>0</v>
      </c>
      <c r="BK67" s="359" t="s">
        <v>112</v>
      </c>
      <c r="BL67" s="362">
        <v>0</v>
      </c>
      <c r="BM67" s="363">
        <v>1800</v>
      </c>
      <c r="BN67" s="364">
        <v>0</v>
      </c>
      <c r="BO67" s="362">
        <v>0</v>
      </c>
      <c r="BP67" s="359" t="s">
        <v>112</v>
      </c>
      <c r="BQ67" s="362">
        <v>0</v>
      </c>
      <c r="BR67" s="363">
        <v>0</v>
      </c>
      <c r="BS67" s="366">
        <v>0</v>
      </c>
      <c r="BT67" s="363">
        <v>0</v>
      </c>
      <c r="BU67" s="357">
        <v>0</v>
      </c>
      <c r="BV67" s="361">
        <v>900</v>
      </c>
      <c r="BW67" s="357">
        <v>0</v>
      </c>
      <c r="BX67" s="361">
        <v>900</v>
      </c>
      <c r="BY67" s="357">
        <v>0</v>
      </c>
      <c r="BZ67" s="361">
        <v>900</v>
      </c>
      <c r="CA67" s="357">
        <v>0.60138887166976929</v>
      </c>
      <c r="CB67" s="358">
        <v>0</v>
      </c>
      <c r="CC67" s="358">
        <v>8.3333333333333332E-3</v>
      </c>
      <c r="CD67" s="359" t="s">
        <v>112</v>
      </c>
      <c r="CE67" s="358">
        <v>0</v>
      </c>
      <c r="CF67" s="361">
        <v>900</v>
      </c>
    </row>
    <row r="68" spans="1:84" s="22" customFormat="1" hidden="1" x14ac:dyDescent="0.25">
      <c r="A68" s="593" t="s">
        <v>112</v>
      </c>
      <c r="B68" s="381">
        <v>0</v>
      </c>
      <c r="C68" s="381">
        <v>0</v>
      </c>
      <c r="D68" s="381">
        <v>0</v>
      </c>
      <c r="E68" s="381">
        <v>0</v>
      </c>
      <c r="F68" s="381">
        <v>0</v>
      </c>
      <c r="G68" s="382" t="s">
        <v>112</v>
      </c>
      <c r="H68" s="382" t="s">
        <v>726</v>
      </c>
      <c r="I68" s="382">
        <v>7200</v>
      </c>
      <c r="J68" s="382">
        <v>0</v>
      </c>
      <c r="K68" s="383">
        <v>0.52013888888888882</v>
      </c>
      <c r="L68" s="152">
        <v>0</v>
      </c>
      <c r="M68" s="384" t="s">
        <v>112</v>
      </c>
      <c r="N68" s="152">
        <v>0</v>
      </c>
      <c r="O68" s="385" t="s">
        <v>726</v>
      </c>
      <c r="P68" s="152">
        <v>8.3333335816860199E-2</v>
      </c>
      <c r="Q68" s="152">
        <v>0</v>
      </c>
      <c r="R68" s="383">
        <v>0.60347222470574902</v>
      </c>
      <c r="S68" s="152">
        <v>0</v>
      </c>
      <c r="T68" s="384" t="s">
        <v>112</v>
      </c>
      <c r="U68" s="152">
        <v>0</v>
      </c>
      <c r="V68" s="385">
        <v>900</v>
      </c>
      <c r="W68" s="152">
        <v>8.3333335816860199E-2</v>
      </c>
      <c r="X68" s="152">
        <v>0</v>
      </c>
      <c r="Y68" s="152">
        <v>0</v>
      </c>
      <c r="Z68" s="383">
        <v>0.68680556052260922</v>
      </c>
      <c r="AA68" s="152">
        <v>0</v>
      </c>
      <c r="AB68" s="384" t="s">
        <v>112</v>
      </c>
      <c r="AC68" s="152">
        <v>0</v>
      </c>
      <c r="AD68" s="385" t="s">
        <v>723</v>
      </c>
      <c r="AE68" s="383">
        <v>0</v>
      </c>
      <c r="AF68" s="152">
        <v>0</v>
      </c>
      <c r="AG68" s="152">
        <v>0</v>
      </c>
      <c r="AH68" s="386">
        <v>0</v>
      </c>
      <c r="AI68" s="386">
        <v>0</v>
      </c>
      <c r="AJ68" s="380" t="s">
        <v>112</v>
      </c>
      <c r="AK68" s="386">
        <v>0</v>
      </c>
      <c r="AL68" s="387">
        <v>1800</v>
      </c>
      <c r="AM68" s="388">
        <v>0</v>
      </c>
      <c r="AN68" s="386">
        <v>0</v>
      </c>
      <c r="AO68" s="384" t="s">
        <v>112</v>
      </c>
      <c r="AP68" s="386">
        <v>0</v>
      </c>
      <c r="AQ68" s="387">
        <v>0</v>
      </c>
      <c r="AR68" s="383">
        <v>0</v>
      </c>
      <c r="AS68" s="152">
        <v>0</v>
      </c>
      <c r="AT68" s="152">
        <v>0</v>
      </c>
      <c r="AU68" s="389">
        <v>0</v>
      </c>
      <c r="AV68" s="389">
        <v>0</v>
      </c>
      <c r="AW68" s="389">
        <v>0</v>
      </c>
      <c r="AX68" s="384">
        <v>0</v>
      </c>
      <c r="AY68" s="384">
        <v>0</v>
      </c>
      <c r="AZ68" s="387">
        <v>1800</v>
      </c>
      <c r="BA68" s="383">
        <v>0</v>
      </c>
      <c r="BB68" s="152">
        <v>0</v>
      </c>
      <c r="BC68" s="152">
        <v>0</v>
      </c>
      <c r="BD68" s="386">
        <v>0</v>
      </c>
      <c r="BE68" s="386">
        <v>0</v>
      </c>
      <c r="BF68" s="380" t="s">
        <v>112</v>
      </c>
      <c r="BG68" s="386">
        <v>0</v>
      </c>
      <c r="BH68" s="387">
        <v>1800</v>
      </c>
      <c r="BI68" s="388">
        <v>0</v>
      </c>
      <c r="BJ68" s="386">
        <v>0</v>
      </c>
      <c r="BK68" s="384" t="s">
        <v>112</v>
      </c>
      <c r="BL68" s="386">
        <v>0</v>
      </c>
      <c r="BM68" s="387">
        <v>1800</v>
      </c>
      <c r="BN68" s="388">
        <v>0</v>
      </c>
      <c r="BO68" s="386">
        <v>0</v>
      </c>
      <c r="BP68" s="384" t="s">
        <v>112</v>
      </c>
      <c r="BQ68" s="386">
        <v>0</v>
      </c>
      <c r="BR68" s="387">
        <v>0</v>
      </c>
      <c r="BS68" s="390">
        <v>0</v>
      </c>
      <c r="BT68" s="387">
        <v>0</v>
      </c>
      <c r="BU68" s="383">
        <v>0</v>
      </c>
      <c r="BV68" s="391">
        <v>900</v>
      </c>
      <c r="BW68" s="383">
        <v>0</v>
      </c>
      <c r="BX68" s="391">
        <v>900</v>
      </c>
      <c r="BY68" s="383">
        <v>0</v>
      </c>
      <c r="BZ68" s="391">
        <v>900</v>
      </c>
      <c r="CA68" s="383">
        <v>0.60138887166976929</v>
      </c>
      <c r="CB68" s="152">
        <v>0</v>
      </c>
      <c r="CC68" s="152">
        <v>8.3333333333333332E-3</v>
      </c>
      <c r="CD68" s="384" t="s">
        <v>112</v>
      </c>
      <c r="CE68" s="152">
        <v>0</v>
      </c>
      <c r="CF68" s="391">
        <v>900</v>
      </c>
    </row>
    <row r="69" spans="1:84" x14ac:dyDescent="0.25">
      <c r="A69" s="594">
        <v>29</v>
      </c>
      <c r="B69" s="147" t="s">
        <v>343</v>
      </c>
      <c r="C69" s="147"/>
      <c r="D69" s="147"/>
      <c r="E69" s="147"/>
      <c r="F69" s="301" t="s">
        <v>344</v>
      </c>
      <c r="G69" s="274">
        <v>0</v>
      </c>
      <c r="H69" s="274">
        <v>0</v>
      </c>
      <c r="I69" s="274" t="s">
        <v>342</v>
      </c>
      <c r="J69" s="274"/>
      <c r="K69" s="598"/>
      <c r="L69" s="145"/>
      <c r="M69" s="145"/>
      <c r="N69" s="145"/>
      <c r="O69" s="599"/>
      <c r="P69" s="145"/>
      <c r="Q69" s="145"/>
      <c r="R69" s="389"/>
      <c r="S69" s="145"/>
      <c r="T69" s="145"/>
      <c r="U69" s="145"/>
      <c r="V69" s="599"/>
      <c r="W69" s="145"/>
      <c r="X69" s="145"/>
      <c r="Y69" s="145"/>
      <c r="Z69" s="389"/>
      <c r="AA69" s="145"/>
      <c r="AB69" s="145"/>
      <c r="AC69" s="145"/>
      <c r="AD69" s="596"/>
      <c r="AE69" s="389"/>
      <c r="AF69" s="145"/>
      <c r="AG69" s="145"/>
      <c r="AH69" s="145"/>
      <c r="AI69" s="145"/>
      <c r="AJ69" s="145"/>
      <c r="AK69" s="145"/>
      <c r="AL69" s="596"/>
      <c r="AM69" s="389"/>
      <c r="AN69" s="145"/>
      <c r="AO69" s="145"/>
      <c r="AP69" s="145"/>
      <c r="AQ69" s="596"/>
      <c r="AR69" s="389"/>
      <c r="AS69" s="145"/>
      <c r="AT69" s="145"/>
      <c r="AU69" s="145"/>
      <c r="AV69" s="145"/>
      <c r="AW69" s="145"/>
      <c r="AX69" s="145"/>
      <c r="AY69" s="145"/>
      <c r="AZ69" s="596"/>
      <c r="BA69" s="389"/>
      <c r="BB69" s="145"/>
      <c r="BC69" s="145"/>
      <c r="BD69" s="145"/>
      <c r="BE69" s="145"/>
      <c r="BF69" s="145"/>
      <c r="BG69" s="145"/>
      <c r="BH69" s="596"/>
      <c r="BI69" s="389"/>
      <c r="BJ69" s="145"/>
      <c r="BK69" s="145"/>
      <c r="BL69" s="145"/>
      <c r="BM69" s="596"/>
      <c r="BN69" s="389"/>
      <c r="BO69" s="145"/>
      <c r="BP69" s="145"/>
      <c r="BQ69" s="145"/>
      <c r="BR69" s="596"/>
      <c r="BS69" s="597"/>
      <c r="BT69" s="596"/>
      <c r="BU69" s="389"/>
      <c r="BV69" s="596"/>
      <c r="BW69" s="389"/>
      <c r="BX69" s="596"/>
      <c r="BY69" s="389"/>
      <c r="BZ69" s="596"/>
      <c r="CA69" s="596"/>
      <c r="CB69" s="145"/>
      <c r="CC69" s="145"/>
      <c r="CD69" s="145"/>
      <c r="CE69" s="145"/>
      <c r="CF69" s="596"/>
    </row>
  </sheetData>
  <sortState ref="A9:CF37">
    <sortCondition ref="F6:F37"/>
    <sortCondition ref="G6:G37"/>
  </sortState>
  <pageMargins left="0.39370078740157483" right="0.39370078740157483" top="0.39370078740157483" bottom="0.39370078740157483" header="0" footer="0"/>
  <pageSetup paperSize="9" scale="80" orientation="landscape" r:id="rId1"/>
  <colBreaks count="5" manualBreakCount="5">
    <brk id="10" max="1048575" man="1"/>
    <brk id="30" max="68" man="1"/>
    <brk id="52" max="1048575" man="1"/>
    <brk id="70" max="1048575" man="1"/>
    <brk id="72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F69"/>
  <sheetViews>
    <sheetView showZeros="0" view="pageBreakPreview" zoomScaleNormal="85" zoomScaleSheetLayoutView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29" sqref="C29"/>
    </sheetView>
  </sheetViews>
  <sheetFormatPr defaultRowHeight="15" x14ac:dyDescent="0.25"/>
  <cols>
    <col min="1" max="1" width="11.85546875" style="44" customWidth="1"/>
    <col min="2" max="5" width="20.7109375" style="2" customWidth="1"/>
    <col min="6" max="9" width="11.85546875" style="2" customWidth="1"/>
    <col min="10" max="10" width="12.85546875" style="2" customWidth="1"/>
    <col min="11" max="12" width="8.7109375" style="2" customWidth="1"/>
    <col min="13" max="13" width="3.7109375" style="2" customWidth="1"/>
    <col min="14" max="19" width="8.7109375" style="2" customWidth="1"/>
    <col min="20" max="20" width="3.7109375" style="2" customWidth="1"/>
    <col min="21" max="27" width="8.7109375" style="2" customWidth="1"/>
    <col min="28" max="28" width="3.7109375" style="2" customWidth="1"/>
    <col min="29" max="35" width="8.7109375" style="2" customWidth="1"/>
    <col min="36" max="36" width="3.7109375" style="2" customWidth="1"/>
    <col min="37" max="40" width="8.7109375" style="2" customWidth="1"/>
    <col min="41" max="41" width="3.7109375" style="2" customWidth="1"/>
    <col min="42" max="57" width="8.7109375" style="2" customWidth="1"/>
    <col min="58" max="58" width="3.7109375" style="2" customWidth="1"/>
    <col min="59" max="62" width="8.7109375" style="2" customWidth="1"/>
    <col min="63" max="63" width="3.7109375" style="2" customWidth="1"/>
    <col min="64" max="67" width="8.7109375" style="2" customWidth="1"/>
    <col min="68" max="68" width="3.7109375" style="2" customWidth="1"/>
    <col min="69" max="70" width="8.7109375" style="2" customWidth="1"/>
    <col min="71" max="71" width="30" style="2" customWidth="1"/>
    <col min="72" max="81" width="8.7109375" style="2" customWidth="1"/>
    <col min="82" max="82" width="3.7109375" style="2" customWidth="1"/>
    <col min="83" max="84" width="8.7109375" style="2" customWidth="1"/>
    <col min="85" max="204" width="9.140625" style="2"/>
    <col min="205" max="205" width="18.7109375" style="2" customWidth="1"/>
    <col min="206" max="206" width="18.140625" style="2" customWidth="1"/>
    <col min="207" max="207" width="8.7109375" style="2" customWidth="1"/>
    <col min="208" max="208" width="9.140625" style="2"/>
    <col min="209" max="209" width="9.140625" style="2" customWidth="1"/>
    <col min="210" max="210" width="27.28515625" style="2" customWidth="1"/>
    <col min="211" max="246" width="9.140625" style="2" customWidth="1"/>
    <col min="247" max="460" width="9.140625" style="2"/>
    <col min="461" max="461" width="18.7109375" style="2" customWidth="1"/>
    <col min="462" max="462" width="18.140625" style="2" customWidth="1"/>
    <col min="463" max="463" width="8.7109375" style="2" customWidth="1"/>
    <col min="464" max="464" width="9.140625" style="2"/>
    <col min="465" max="465" width="9.140625" style="2" customWidth="1"/>
    <col min="466" max="466" width="27.28515625" style="2" customWidth="1"/>
    <col min="467" max="502" width="9.140625" style="2" customWidth="1"/>
    <col min="503" max="716" width="9.140625" style="2"/>
    <col min="717" max="717" width="18.7109375" style="2" customWidth="1"/>
    <col min="718" max="718" width="18.140625" style="2" customWidth="1"/>
    <col min="719" max="719" width="8.7109375" style="2" customWidth="1"/>
    <col min="720" max="720" width="9.140625" style="2"/>
    <col min="721" max="721" width="9.140625" style="2" customWidth="1"/>
    <col min="722" max="722" width="27.28515625" style="2" customWidth="1"/>
    <col min="723" max="758" width="9.140625" style="2" customWidth="1"/>
    <col min="759" max="972" width="9.140625" style="2"/>
    <col min="973" max="973" width="18.7109375" style="2" customWidth="1"/>
    <col min="974" max="974" width="18.140625" style="2" customWidth="1"/>
    <col min="975" max="975" width="8.7109375" style="2" customWidth="1"/>
    <col min="976" max="976" width="9.140625" style="2"/>
    <col min="977" max="977" width="9.140625" style="2" customWidth="1"/>
    <col min="978" max="978" width="27.28515625" style="2" customWidth="1"/>
    <col min="979" max="1014" width="9.140625" style="2" customWidth="1"/>
    <col min="1015" max="1228" width="9.140625" style="2"/>
    <col min="1229" max="1229" width="18.7109375" style="2" customWidth="1"/>
    <col min="1230" max="1230" width="18.140625" style="2" customWidth="1"/>
    <col min="1231" max="1231" width="8.7109375" style="2" customWidth="1"/>
    <col min="1232" max="1232" width="9.140625" style="2"/>
    <col min="1233" max="1233" width="9.140625" style="2" customWidth="1"/>
    <col min="1234" max="1234" width="27.28515625" style="2" customWidth="1"/>
    <col min="1235" max="1270" width="9.140625" style="2" customWidth="1"/>
    <col min="1271" max="1484" width="9.140625" style="2"/>
    <col min="1485" max="1485" width="18.7109375" style="2" customWidth="1"/>
    <col min="1486" max="1486" width="18.140625" style="2" customWidth="1"/>
    <col min="1487" max="1487" width="8.7109375" style="2" customWidth="1"/>
    <col min="1488" max="1488" width="9.140625" style="2"/>
    <col min="1489" max="1489" width="9.140625" style="2" customWidth="1"/>
    <col min="1490" max="1490" width="27.28515625" style="2" customWidth="1"/>
    <col min="1491" max="1526" width="9.140625" style="2" customWidth="1"/>
    <col min="1527" max="1740" width="9.140625" style="2"/>
    <col min="1741" max="1741" width="18.7109375" style="2" customWidth="1"/>
    <col min="1742" max="1742" width="18.140625" style="2" customWidth="1"/>
    <col min="1743" max="1743" width="8.7109375" style="2" customWidth="1"/>
    <col min="1744" max="1744" width="9.140625" style="2"/>
    <col min="1745" max="1745" width="9.140625" style="2" customWidth="1"/>
    <col min="1746" max="1746" width="27.28515625" style="2" customWidth="1"/>
    <col min="1747" max="1782" width="9.140625" style="2" customWidth="1"/>
    <col min="1783" max="1996" width="9.140625" style="2"/>
    <col min="1997" max="1997" width="18.7109375" style="2" customWidth="1"/>
    <col min="1998" max="1998" width="18.140625" style="2" customWidth="1"/>
    <col min="1999" max="1999" width="8.7109375" style="2" customWidth="1"/>
    <col min="2000" max="2000" width="9.140625" style="2"/>
    <col min="2001" max="2001" width="9.140625" style="2" customWidth="1"/>
    <col min="2002" max="2002" width="27.28515625" style="2" customWidth="1"/>
    <col min="2003" max="2038" width="9.140625" style="2" customWidth="1"/>
    <col min="2039" max="2252" width="9.140625" style="2"/>
    <col min="2253" max="2253" width="18.7109375" style="2" customWidth="1"/>
    <col min="2254" max="2254" width="18.140625" style="2" customWidth="1"/>
    <col min="2255" max="2255" width="8.7109375" style="2" customWidth="1"/>
    <col min="2256" max="2256" width="9.140625" style="2"/>
    <col min="2257" max="2257" width="9.140625" style="2" customWidth="1"/>
    <col min="2258" max="2258" width="27.28515625" style="2" customWidth="1"/>
    <col min="2259" max="2294" width="9.140625" style="2" customWidth="1"/>
    <col min="2295" max="2508" width="9.140625" style="2"/>
    <col min="2509" max="2509" width="18.7109375" style="2" customWidth="1"/>
    <col min="2510" max="2510" width="18.140625" style="2" customWidth="1"/>
    <col min="2511" max="2511" width="8.7109375" style="2" customWidth="1"/>
    <col min="2512" max="2512" width="9.140625" style="2"/>
    <col min="2513" max="2513" width="9.140625" style="2" customWidth="1"/>
    <col min="2514" max="2514" width="27.28515625" style="2" customWidth="1"/>
    <col min="2515" max="2550" width="9.140625" style="2" customWidth="1"/>
    <col min="2551" max="2764" width="9.140625" style="2"/>
    <col min="2765" max="2765" width="18.7109375" style="2" customWidth="1"/>
    <col min="2766" max="2766" width="18.140625" style="2" customWidth="1"/>
    <col min="2767" max="2767" width="8.7109375" style="2" customWidth="1"/>
    <col min="2768" max="2768" width="9.140625" style="2"/>
    <col min="2769" max="2769" width="9.140625" style="2" customWidth="1"/>
    <col min="2770" max="2770" width="27.28515625" style="2" customWidth="1"/>
    <col min="2771" max="2806" width="9.140625" style="2" customWidth="1"/>
    <col min="2807" max="3020" width="9.140625" style="2"/>
    <col min="3021" max="3021" width="18.7109375" style="2" customWidth="1"/>
    <col min="3022" max="3022" width="18.140625" style="2" customWidth="1"/>
    <col min="3023" max="3023" width="8.7109375" style="2" customWidth="1"/>
    <col min="3024" max="3024" width="9.140625" style="2"/>
    <col min="3025" max="3025" width="9.140625" style="2" customWidth="1"/>
    <col min="3026" max="3026" width="27.28515625" style="2" customWidth="1"/>
    <col min="3027" max="3062" width="9.140625" style="2" customWidth="1"/>
    <col min="3063" max="3276" width="9.140625" style="2"/>
    <col min="3277" max="3277" width="18.7109375" style="2" customWidth="1"/>
    <col min="3278" max="3278" width="18.140625" style="2" customWidth="1"/>
    <col min="3279" max="3279" width="8.7109375" style="2" customWidth="1"/>
    <col min="3280" max="3280" width="9.140625" style="2"/>
    <col min="3281" max="3281" width="9.140625" style="2" customWidth="1"/>
    <col min="3282" max="3282" width="27.28515625" style="2" customWidth="1"/>
    <col min="3283" max="3318" width="9.140625" style="2" customWidth="1"/>
    <col min="3319" max="3532" width="9.140625" style="2"/>
    <col min="3533" max="3533" width="18.7109375" style="2" customWidth="1"/>
    <col min="3534" max="3534" width="18.140625" style="2" customWidth="1"/>
    <col min="3535" max="3535" width="8.7109375" style="2" customWidth="1"/>
    <col min="3536" max="3536" width="9.140625" style="2"/>
    <col min="3537" max="3537" width="9.140625" style="2" customWidth="1"/>
    <col min="3538" max="3538" width="27.28515625" style="2" customWidth="1"/>
    <col min="3539" max="3574" width="9.140625" style="2" customWidth="1"/>
    <col min="3575" max="3788" width="9.140625" style="2"/>
    <col min="3789" max="3789" width="18.7109375" style="2" customWidth="1"/>
    <col min="3790" max="3790" width="18.140625" style="2" customWidth="1"/>
    <col min="3791" max="3791" width="8.7109375" style="2" customWidth="1"/>
    <col min="3792" max="3792" width="9.140625" style="2"/>
    <col min="3793" max="3793" width="9.140625" style="2" customWidth="1"/>
    <col min="3794" max="3794" width="27.28515625" style="2" customWidth="1"/>
    <col min="3795" max="3830" width="9.140625" style="2" customWidth="1"/>
    <col min="3831" max="4044" width="9.140625" style="2"/>
    <col min="4045" max="4045" width="18.7109375" style="2" customWidth="1"/>
    <col min="4046" max="4046" width="18.140625" style="2" customWidth="1"/>
    <col min="4047" max="4047" width="8.7109375" style="2" customWidth="1"/>
    <col min="4048" max="4048" width="9.140625" style="2"/>
    <col min="4049" max="4049" width="9.140625" style="2" customWidth="1"/>
    <col min="4050" max="4050" width="27.28515625" style="2" customWidth="1"/>
    <col min="4051" max="4086" width="9.140625" style="2" customWidth="1"/>
    <col min="4087" max="4300" width="9.140625" style="2"/>
    <col min="4301" max="4301" width="18.7109375" style="2" customWidth="1"/>
    <col min="4302" max="4302" width="18.140625" style="2" customWidth="1"/>
    <col min="4303" max="4303" width="8.7109375" style="2" customWidth="1"/>
    <col min="4304" max="4304" width="9.140625" style="2"/>
    <col min="4305" max="4305" width="9.140625" style="2" customWidth="1"/>
    <col min="4306" max="4306" width="27.28515625" style="2" customWidth="1"/>
    <col min="4307" max="4342" width="9.140625" style="2" customWidth="1"/>
    <col min="4343" max="4556" width="9.140625" style="2"/>
    <col min="4557" max="4557" width="18.7109375" style="2" customWidth="1"/>
    <col min="4558" max="4558" width="18.140625" style="2" customWidth="1"/>
    <col min="4559" max="4559" width="8.7109375" style="2" customWidth="1"/>
    <col min="4560" max="4560" width="9.140625" style="2"/>
    <col min="4561" max="4561" width="9.140625" style="2" customWidth="1"/>
    <col min="4562" max="4562" width="27.28515625" style="2" customWidth="1"/>
    <col min="4563" max="4598" width="9.140625" style="2" customWidth="1"/>
    <col min="4599" max="4812" width="9.140625" style="2"/>
    <col min="4813" max="4813" width="18.7109375" style="2" customWidth="1"/>
    <col min="4814" max="4814" width="18.140625" style="2" customWidth="1"/>
    <col min="4815" max="4815" width="8.7109375" style="2" customWidth="1"/>
    <col min="4816" max="4816" width="9.140625" style="2"/>
    <col min="4817" max="4817" width="9.140625" style="2" customWidth="1"/>
    <col min="4818" max="4818" width="27.28515625" style="2" customWidth="1"/>
    <col min="4819" max="4854" width="9.140625" style="2" customWidth="1"/>
    <col min="4855" max="5068" width="9.140625" style="2"/>
    <col min="5069" max="5069" width="18.7109375" style="2" customWidth="1"/>
    <col min="5070" max="5070" width="18.140625" style="2" customWidth="1"/>
    <col min="5071" max="5071" width="8.7109375" style="2" customWidth="1"/>
    <col min="5072" max="5072" width="9.140625" style="2"/>
    <col min="5073" max="5073" width="9.140625" style="2" customWidth="1"/>
    <col min="5074" max="5074" width="27.28515625" style="2" customWidth="1"/>
    <col min="5075" max="5110" width="9.140625" style="2" customWidth="1"/>
    <col min="5111" max="5324" width="9.140625" style="2"/>
    <col min="5325" max="5325" width="18.7109375" style="2" customWidth="1"/>
    <col min="5326" max="5326" width="18.140625" style="2" customWidth="1"/>
    <col min="5327" max="5327" width="8.7109375" style="2" customWidth="1"/>
    <col min="5328" max="5328" width="9.140625" style="2"/>
    <col min="5329" max="5329" width="9.140625" style="2" customWidth="1"/>
    <col min="5330" max="5330" width="27.28515625" style="2" customWidth="1"/>
    <col min="5331" max="5366" width="9.140625" style="2" customWidth="1"/>
    <col min="5367" max="5580" width="9.140625" style="2"/>
    <col min="5581" max="5581" width="18.7109375" style="2" customWidth="1"/>
    <col min="5582" max="5582" width="18.140625" style="2" customWidth="1"/>
    <col min="5583" max="5583" width="8.7109375" style="2" customWidth="1"/>
    <col min="5584" max="5584" width="9.140625" style="2"/>
    <col min="5585" max="5585" width="9.140625" style="2" customWidth="1"/>
    <col min="5586" max="5586" width="27.28515625" style="2" customWidth="1"/>
    <col min="5587" max="5622" width="9.140625" style="2" customWidth="1"/>
    <col min="5623" max="5836" width="9.140625" style="2"/>
    <col min="5837" max="5837" width="18.7109375" style="2" customWidth="1"/>
    <col min="5838" max="5838" width="18.140625" style="2" customWidth="1"/>
    <col min="5839" max="5839" width="8.7109375" style="2" customWidth="1"/>
    <col min="5840" max="5840" width="9.140625" style="2"/>
    <col min="5841" max="5841" width="9.140625" style="2" customWidth="1"/>
    <col min="5842" max="5842" width="27.28515625" style="2" customWidth="1"/>
    <col min="5843" max="5878" width="9.140625" style="2" customWidth="1"/>
    <col min="5879" max="6092" width="9.140625" style="2"/>
    <col min="6093" max="6093" width="18.7109375" style="2" customWidth="1"/>
    <col min="6094" max="6094" width="18.140625" style="2" customWidth="1"/>
    <col min="6095" max="6095" width="8.7109375" style="2" customWidth="1"/>
    <col min="6096" max="6096" width="9.140625" style="2"/>
    <col min="6097" max="6097" width="9.140625" style="2" customWidth="1"/>
    <col min="6098" max="6098" width="27.28515625" style="2" customWidth="1"/>
    <col min="6099" max="6134" width="9.140625" style="2" customWidth="1"/>
    <col min="6135" max="6348" width="9.140625" style="2"/>
    <col min="6349" max="6349" width="18.7109375" style="2" customWidth="1"/>
    <col min="6350" max="6350" width="18.140625" style="2" customWidth="1"/>
    <col min="6351" max="6351" width="8.7109375" style="2" customWidth="1"/>
    <col min="6352" max="6352" width="9.140625" style="2"/>
    <col min="6353" max="6353" width="9.140625" style="2" customWidth="1"/>
    <col min="6354" max="6354" width="27.28515625" style="2" customWidth="1"/>
    <col min="6355" max="6390" width="9.140625" style="2" customWidth="1"/>
    <col min="6391" max="6604" width="9.140625" style="2"/>
    <col min="6605" max="6605" width="18.7109375" style="2" customWidth="1"/>
    <col min="6606" max="6606" width="18.140625" style="2" customWidth="1"/>
    <col min="6607" max="6607" width="8.7109375" style="2" customWidth="1"/>
    <col min="6608" max="6608" width="9.140625" style="2"/>
    <col min="6609" max="6609" width="9.140625" style="2" customWidth="1"/>
    <col min="6610" max="6610" width="27.28515625" style="2" customWidth="1"/>
    <col min="6611" max="6646" width="9.140625" style="2" customWidth="1"/>
    <col min="6647" max="6860" width="9.140625" style="2"/>
    <col min="6861" max="6861" width="18.7109375" style="2" customWidth="1"/>
    <col min="6862" max="6862" width="18.140625" style="2" customWidth="1"/>
    <col min="6863" max="6863" width="8.7109375" style="2" customWidth="1"/>
    <col min="6864" max="6864" width="9.140625" style="2"/>
    <col min="6865" max="6865" width="9.140625" style="2" customWidth="1"/>
    <col min="6866" max="6866" width="27.28515625" style="2" customWidth="1"/>
    <col min="6867" max="6902" width="9.140625" style="2" customWidth="1"/>
    <col min="6903" max="7116" width="9.140625" style="2"/>
    <col min="7117" max="7117" width="18.7109375" style="2" customWidth="1"/>
    <col min="7118" max="7118" width="18.140625" style="2" customWidth="1"/>
    <col min="7119" max="7119" width="8.7109375" style="2" customWidth="1"/>
    <col min="7120" max="7120" width="9.140625" style="2"/>
    <col min="7121" max="7121" width="9.140625" style="2" customWidth="1"/>
    <col min="7122" max="7122" width="27.28515625" style="2" customWidth="1"/>
    <col min="7123" max="7158" width="9.140625" style="2" customWidth="1"/>
    <col min="7159" max="7372" width="9.140625" style="2"/>
    <col min="7373" max="7373" width="18.7109375" style="2" customWidth="1"/>
    <col min="7374" max="7374" width="18.140625" style="2" customWidth="1"/>
    <col min="7375" max="7375" width="8.7109375" style="2" customWidth="1"/>
    <col min="7376" max="7376" width="9.140625" style="2"/>
    <col min="7377" max="7377" width="9.140625" style="2" customWidth="1"/>
    <col min="7378" max="7378" width="27.28515625" style="2" customWidth="1"/>
    <col min="7379" max="7414" width="9.140625" style="2" customWidth="1"/>
    <col min="7415" max="7628" width="9.140625" style="2"/>
    <col min="7629" max="7629" width="18.7109375" style="2" customWidth="1"/>
    <col min="7630" max="7630" width="18.140625" style="2" customWidth="1"/>
    <col min="7631" max="7631" width="8.7109375" style="2" customWidth="1"/>
    <col min="7632" max="7632" width="9.140625" style="2"/>
    <col min="7633" max="7633" width="9.140625" style="2" customWidth="1"/>
    <col min="7634" max="7634" width="27.28515625" style="2" customWidth="1"/>
    <col min="7635" max="7670" width="9.140625" style="2" customWidth="1"/>
    <col min="7671" max="7884" width="9.140625" style="2"/>
    <col min="7885" max="7885" width="18.7109375" style="2" customWidth="1"/>
    <col min="7886" max="7886" width="18.140625" style="2" customWidth="1"/>
    <col min="7887" max="7887" width="8.7109375" style="2" customWidth="1"/>
    <col min="7888" max="7888" width="9.140625" style="2"/>
    <col min="7889" max="7889" width="9.140625" style="2" customWidth="1"/>
    <col min="7890" max="7890" width="27.28515625" style="2" customWidth="1"/>
    <col min="7891" max="7926" width="9.140625" style="2" customWidth="1"/>
    <col min="7927" max="8140" width="9.140625" style="2"/>
    <col min="8141" max="8141" width="18.7109375" style="2" customWidth="1"/>
    <col min="8142" max="8142" width="18.140625" style="2" customWidth="1"/>
    <col min="8143" max="8143" width="8.7109375" style="2" customWidth="1"/>
    <col min="8144" max="8144" width="9.140625" style="2"/>
    <col min="8145" max="8145" width="9.140625" style="2" customWidth="1"/>
    <col min="8146" max="8146" width="27.28515625" style="2" customWidth="1"/>
    <col min="8147" max="8182" width="9.140625" style="2" customWidth="1"/>
    <col min="8183" max="8396" width="9.140625" style="2"/>
    <col min="8397" max="8397" width="18.7109375" style="2" customWidth="1"/>
    <col min="8398" max="8398" width="18.140625" style="2" customWidth="1"/>
    <col min="8399" max="8399" width="8.7109375" style="2" customWidth="1"/>
    <col min="8400" max="8400" width="9.140625" style="2"/>
    <col min="8401" max="8401" width="9.140625" style="2" customWidth="1"/>
    <col min="8402" max="8402" width="27.28515625" style="2" customWidth="1"/>
    <col min="8403" max="8438" width="9.140625" style="2" customWidth="1"/>
    <col min="8439" max="8652" width="9.140625" style="2"/>
    <col min="8653" max="8653" width="18.7109375" style="2" customWidth="1"/>
    <col min="8654" max="8654" width="18.140625" style="2" customWidth="1"/>
    <col min="8655" max="8655" width="8.7109375" style="2" customWidth="1"/>
    <col min="8656" max="8656" width="9.140625" style="2"/>
    <col min="8657" max="8657" width="9.140625" style="2" customWidth="1"/>
    <col min="8658" max="8658" width="27.28515625" style="2" customWidth="1"/>
    <col min="8659" max="8694" width="9.140625" style="2" customWidth="1"/>
    <col min="8695" max="8908" width="9.140625" style="2"/>
    <col min="8909" max="8909" width="18.7109375" style="2" customWidth="1"/>
    <col min="8910" max="8910" width="18.140625" style="2" customWidth="1"/>
    <col min="8911" max="8911" width="8.7109375" style="2" customWidth="1"/>
    <col min="8912" max="8912" width="9.140625" style="2"/>
    <col min="8913" max="8913" width="9.140625" style="2" customWidth="1"/>
    <col min="8914" max="8914" width="27.28515625" style="2" customWidth="1"/>
    <col min="8915" max="8950" width="9.140625" style="2" customWidth="1"/>
    <col min="8951" max="9164" width="9.140625" style="2"/>
    <col min="9165" max="9165" width="18.7109375" style="2" customWidth="1"/>
    <col min="9166" max="9166" width="18.140625" style="2" customWidth="1"/>
    <col min="9167" max="9167" width="8.7109375" style="2" customWidth="1"/>
    <col min="9168" max="9168" width="9.140625" style="2"/>
    <col min="9169" max="9169" width="9.140625" style="2" customWidth="1"/>
    <col min="9170" max="9170" width="27.28515625" style="2" customWidth="1"/>
    <col min="9171" max="9206" width="9.140625" style="2" customWidth="1"/>
    <col min="9207" max="9420" width="9.140625" style="2"/>
    <col min="9421" max="9421" width="18.7109375" style="2" customWidth="1"/>
    <col min="9422" max="9422" width="18.140625" style="2" customWidth="1"/>
    <col min="9423" max="9423" width="8.7109375" style="2" customWidth="1"/>
    <col min="9424" max="9424" width="9.140625" style="2"/>
    <col min="9425" max="9425" width="9.140625" style="2" customWidth="1"/>
    <col min="9426" max="9426" width="27.28515625" style="2" customWidth="1"/>
    <col min="9427" max="9462" width="9.140625" style="2" customWidth="1"/>
    <col min="9463" max="9676" width="9.140625" style="2"/>
    <col min="9677" max="9677" width="18.7109375" style="2" customWidth="1"/>
    <col min="9678" max="9678" width="18.140625" style="2" customWidth="1"/>
    <col min="9679" max="9679" width="8.7109375" style="2" customWidth="1"/>
    <col min="9680" max="9680" width="9.140625" style="2"/>
    <col min="9681" max="9681" width="9.140625" style="2" customWidth="1"/>
    <col min="9682" max="9682" width="27.28515625" style="2" customWidth="1"/>
    <col min="9683" max="9718" width="9.140625" style="2" customWidth="1"/>
    <col min="9719" max="9932" width="9.140625" style="2"/>
    <col min="9933" max="9933" width="18.7109375" style="2" customWidth="1"/>
    <col min="9934" max="9934" width="18.140625" style="2" customWidth="1"/>
    <col min="9935" max="9935" width="8.7109375" style="2" customWidth="1"/>
    <col min="9936" max="9936" width="9.140625" style="2"/>
    <col min="9937" max="9937" width="9.140625" style="2" customWidth="1"/>
    <col min="9938" max="9938" width="27.28515625" style="2" customWidth="1"/>
    <col min="9939" max="9974" width="9.140625" style="2" customWidth="1"/>
    <col min="9975" max="10188" width="9.140625" style="2"/>
    <col min="10189" max="10189" width="18.7109375" style="2" customWidth="1"/>
    <col min="10190" max="10190" width="18.140625" style="2" customWidth="1"/>
    <col min="10191" max="10191" width="8.7109375" style="2" customWidth="1"/>
    <col min="10192" max="10192" width="9.140625" style="2"/>
    <col min="10193" max="10193" width="9.140625" style="2" customWidth="1"/>
    <col min="10194" max="10194" width="27.28515625" style="2" customWidth="1"/>
    <col min="10195" max="10230" width="9.140625" style="2" customWidth="1"/>
    <col min="10231" max="10444" width="9.140625" style="2"/>
    <col min="10445" max="10445" width="18.7109375" style="2" customWidth="1"/>
    <col min="10446" max="10446" width="18.140625" style="2" customWidth="1"/>
    <col min="10447" max="10447" width="8.7109375" style="2" customWidth="1"/>
    <col min="10448" max="10448" width="9.140625" style="2"/>
    <col min="10449" max="10449" width="9.140625" style="2" customWidth="1"/>
    <col min="10450" max="10450" width="27.28515625" style="2" customWidth="1"/>
    <col min="10451" max="10486" width="9.140625" style="2" customWidth="1"/>
    <col min="10487" max="10700" width="9.140625" style="2"/>
    <col min="10701" max="10701" width="18.7109375" style="2" customWidth="1"/>
    <col min="10702" max="10702" width="18.140625" style="2" customWidth="1"/>
    <col min="10703" max="10703" width="8.7109375" style="2" customWidth="1"/>
    <col min="10704" max="10704" width="9.140625" style="2"/>
    <col min="10705" max="10705" width="9.140625" style="2" customWidth="1"/>
    <col min="10706" max="10706" width="27.28515625" style="2" customWidth="1"/>
    <col min="10707" max="10742" width="9.140625" style="2" customWidth="1"/>
    <col min="10743" max="10956" width="9.140625" style="2"/>
    <col min="10957" max="10957" width="18.7109375" style="2" customWidth="1"/>
    <col min="10958" max="10958" width="18.140625" style="2" customWidth="1"/>
    <col min="10959" max="10959" width="8.7109375" style="2" customWidth="1"/>
    <col min="10960" max="10960" width="9.140625" style="2"/>
    <col min="10961" max="10961" width="9.140625" style="2" customWidth="1"/>
    <col min="10962" max="10962" width="27.28515625" style="2" customWidth="1"/>
    <col min="10963" max="10998" width="9.140625" style="2" customWidth="1"/>
    <col min="10999" max="11212" width="9.140625" style="2"/>
    <col min="11213" max="11213" width="18.7109375" style="2" customWidth="1"/>
    <col min="11214" max="11214" width="18.140625" style="2" customWidth="1"/>
    <col min="11215" max="11215" width="8.7109375" style="2" customWidth="1"/>
    <col min="11216" max="11216" width="9.140625" style="2"/>
    <col min="11217" max="11217" width="9.140625" style="2" customWidth="1"/>
    <col min="11218" max="11218" width="27.28515625" style="2" customWidth="1"/>
    <col min="11219" max="11254" width="9.140625" style="2" customWidth="1"/>
    <col min="11255" max="11468" width="9.140625" style="2"/>
    <col min="11469" max="11469" width="18.7109375" style="2" customWidth="1"/>
    <col min="11470" max="11470" width="18.140625" style="2" customWidth="1"/>
    <col min="11471" max="11471" width="8.7109375" style="2" customWidth="1"/>
    <col min="11472" max="11472" width="9.140625" style="2"/>
    <col min="11473" max="11473" width="9.140625" style="2" customWidth="1"/>
    <col min="11474" max="11474" width="27.28515625" style="2" customWidth="1"/>
    <col min="11475" max="11510" width="9.140625" style="2" customWidth="1"/>
    <col min="11511" max="11724" width="9.140625" style="2"/>
    <col min="11725" max="11725" width="18.7109375" style="2" customWidth="1"/>
    <col min="11726" max="11726" width="18.140625" style="2" customWidth="1"/>
    <col min="11727" max="11727" width="8.7109375" style="2" customWidth="1"/>
    <col min="11728" max="11728" width="9.140625" style="2"/>
    <col min="11729" max="11729" width="9.140625" style="2" customWidth="1"/>
    <col min="11730" max="11730" width="27.28515625" style="2" customWidth="1"/>
    <col min="11731" max="11766" width="9.140625" style="2" customWidth="1"/>
    <col min="11767" max="11980" width="9.140625" style="2"/>
    <col min="11981" max="11981" width="18.7109375" style="2" customWidth="1"/>
    <col min="11982" max="11982" width="18.140625" style="2" customWidth="1"/>
    <col min="11983" max="11983" width="8.7109375" style="2" customWidth="1"/>
    <col min="11984" max="11984" width="9.140625" style="2"/>
    <col min="11985" max="11985" width="9.140625" style="2" customWidth="1"/>
    <col min="11986" max="11986" width="27.28515625" style="2" customWidth="1"/>
    <col min="11987" max="12022" width="9.140625" style="2" customWidth="1"/>
    <col min="12023" max="12236" width="9.140625" style="2"/>
    <col min="12237" max="12237" width="18.7109375" style="2" customWidth="1"/>
    <col min="12238" max="12238" width="18.140625" style="2" customWidth="1"/>
    <col min="12239" max="12239" width="8.7109375" style="2" customWidth="1"/>
    <col min="12240" max="12240" width="9.140625" style="2"/>
    <col min="12241" max="12241" width="9.140625" style="2" customWidth="1"/>
    <col min="12242" max="12242" width="27.28515625" style="2" customWidth="1"/>
    <col min="12243" max="12278" width="9.140625" style="2" customWidth="1"/>
    <col min="12279" max="12492" width="9.140625" style="2"/>
    <col min="12493" max="12493" width="18.7109375" style="2" customWidth="1"/>
    <col min="12494" max="12494" width="18.140625" style="2" customWidth="1"/>
    <col min="12495" max="12495" width="8.7109375" style="2" customWidth="1"/>
    <col min="12496" max="12496" width="9.140625" style="2"/>
    <col min="12497" max="12497" width="9.140625" style="2" customWidth="1"/>
    <col min="12498" max="12498" width="27.28515625" style="2" customWidth="1"/>
    <col min="12499" max="12534" width="9.140625" style="2" customWidth="1"/>
    <col min="12535" max="12748" width="9.140625" style="2"/>
    <col min="12749" max="12749" width="18.7109375" style="2" customWidth="1"/>
    <col min="12750" max="12750" width="18.140625" style="2" customWidth="1"/>
    <col min="12751" max="12751" width="8.7109375" style="2" customWidth="1"/>
    <col min="12752" max="12752" width="9.140625" style="2"/>
    <col min="12753" max="12753" width="9.140625" style="2" customWidth="1"/>
    <col min="12754" max="12754" width="27.28515625" style="2" customWidth="1"/>
    <col min="12755" max="12790" width="9.140625" style="2" customWidth="1"/>
    <col min="12791" max="13004" width="9.140625" style="2"/>
    <col min="13005" max="13005" width="18.7109375" style="2" customWidth="1"/>
    <col min="13006" max="13006" width="18.140625" style="2" customWidth="1"/>
    <col min="13007" max="13007" width="8.7109375" style="2" customWidth="1"/>
    <col min="13008" max="13008" width="9.140625" style="2"/>
    <col min="13009" max="13009" width="9.140625" style="2" customWidth="1"/>
    <col min="13010" max="13010" width="27.28515625" style="2" customWidth="1"/>
    <col min="13011" max="13046" width="9.140625" style="2" customWidth="1"/>
    <col min="13047" max="13260" width="9.140625" style="2"/>
    <col min="13261" max="13261" width="18.7109375" style="2" customWidth="1"/>
    <col min="13262" max="13262" width="18.140625" style="2" customWidth="1"/>
    <col min="13263" max="13263" width="8.7109375" style="2" customWidth="1"/>
    <col min="13264" max="13264" width="9.140625" style="2"/>
    <col min="13265" max="13265" width="9.140625" style="2" customWidth="1"/>
    <col min="13266" max="13266" width="27.28515625" style="2" customWidth="1"/>
    <col min="13267" max="13302" width="9.140625" style="2" customWidth="1"/>
    <col min="13303" max="13516" width="9.140625" style="2"/>
    <col min="13517" max="13517" width="18.7109375" style="2" customWidth="1"/>
    <col min="13518" max="13518" width="18.140625" style="2" customWidth="1"/>
    <col min="13519" max="13519" width="8.7109375" style="2" customWidth="1"/>
    <col min="13520" max="13520" width="9.140625" style="2"/>
    <col min="13521" max="13521" width="9.140625" style="2" customWidth="1"/>
    <col min="13522" max="13522" width="27.28515625" style="2" customWidth="1"/>
    <col min="13523" max="13558" width="9.140625" style="2" customWidth="1"/>
    <col min="13559" max="13772" width="9.140625" style="2"/>
    <col min="13773" max="13773" width="18.7109375" style="2" customWidth="1"/>
    <col min="13774" max="13774" width="18.140625" style="2" customWidth="1"/>
    <col min="13775" max="13775" width="8.7109375" style="2" customWidth="1"/>
    <col min="13776" max="13776" width="9.140625" style="2"/>
    <col min="13777" max="13777" width="9.140625" style="2" customWidth="1"/>
    <col min="13778" max="13778" width="27.28515625" style="2" customWidth="1"/>
    <col min="13779" max="13814" width="9.140625" style="2" customWidth="1"/>
    <col min="13815" max="14028" width="9.140625" style="2"/>
    <col min="14029" max="14029" width="18.7109375" style="2" customWidth="1"/>
    <col min="14030" max="14030" width="18.140625" style="2" customWidth="1"/>
    <col min="14031" max="14031" width="8.7109375" style="2" customWidth="1"/>
    <col min="14032" max="14032" width="9.140625" style="2"/>
    <col min="14033" max="14033" width="9.140625" style="2" customWidth="1"/>
    <col min="14034" max="14034" width="27.28515625" style="2" customWidth="1"/>
    <col min="14035" max="14070" width="9.140625" style="2" customWidth="1"/>
    <col min="14071" max="14284" width="9.140625" style="2"/>
    <col min="14285" max="14285" width="18.7109375" style="2" customWidth="1"/>
    <col min="14286" max="14286" width="18.140625" style="2" customWidth="1"/>
    <col min="14287" max="14287" width="8.7109375" style="2" customWidth="1"/>
    <col min="14288" max="14288" width="9.140625" style="2"/>
    <col min="14289" max="14289" width="9.140625" style="2" customWidth="1"/>
    <col min="14290" max="14290" width="27.28515625" style="2" customWidth="1"/>
    <col min="14291" max="14326" width="9.140625" style="2" customWidth="1"/>
    <col min="14327" max="14540" width="9.140625" style="2"/>
    <col min="14541" max="14541" width="18.7109375" style="2" customWidth="1"/>
    <col min="14542" max="14542" width="18.140625" style="2" customWidth="1"/>
    <col min="14543" max="14543" width="8.7109375" style="2" customWidth="1"/>
    <col min="14544" max="14544" width="9.140625" style="2"/>
    <col min="14545" max="14545" width="9.140625" style="2" customWidth="1"/>
    <col min="14546" max="14546" width="27.28515625" style="2" customWidth="1"/>
    <col min="14547" max="14582" width="9.140625" style="2" customWidth="1"/>
    <col min="14583" max="14796" width="9.140625" style="2"/>
    <col min="14797" max="14797" width="18.7109375" style="2" customWidth="1"/>
    <col min="14798" max="14798" width="18.140625" style="2" customWidth="1"/>
    <col min="14799" max="14799" width="8.7109375" style="2" customWidth="1"/>
    <col min="14800" max="14800" width="9.140625" style="2"/>
    <col min="14801" max="14801" width="9.140625" style="2" customWidth="1"/>
    <col min="14802" max="14802" width="27.28515625" style="2" customWidth="1"/>
    <col min="14803" max="14838" width="9.140625" style="2" customWidth="1"/>
    <col min="14839" max="15052" width="9.140625" style="2"/>
    <col min="15053" max="15053" width="18.7109375" style="2" customWidth="1"/>
    <col min="15054" max="15054" width="18.140625" style="2" customWidth="1"/>
    <col min="15055" max="15055" width="8.7109375" style="2" customWidth="1"/>
    <col min="15056" max="15056" width="9.140625" style="2"/>
    <col min="15057" max="15057" width="9.140625" style="2" customWidth="1"/>
    <col min="15058" max="15058" width="27.28515625" style="2" customWidth="1"/>
    <col min="15059" max="15094" width="9.140625" style="2" customWidth="1"/>
    <col min="15095" max="15308" width="9.140625" style="2"/>
    <col min="15309" max="15309" width="18.7109375" style="2" customWidth="1"/>
    <col min="15310" max="15310" width="18.140625" style="2" customWidth="1"/>
    <col min="15311" max="15311" width="8.7109375" style="2" customWidth="1"/>
    <col min="15312" max="15312" width="9.140625" style="2"/>
    <col min="15313" max="15313" width="9.140625" style="2" customWidth="1"/>
    <col min="15314" max="15314" width="27.28515625" style="2" customWidth="1"/>
    <col min="15315" max="15350" width="9.140625" style="2" customWidth="1"/>
    <col min="15351" max="15564" width="9.140625" style="2"/>
    <col min="15565" max="15565" width="18.7109375" style="2" customWidth="1"/>
    <col min="15566" max="15566" width="18.140625" style="2" customWidth="1"/>
    <col min="15567" max="15567" width="8.7109375" style="2" customWidth="1"/>
    <col min="15568" max="15568" width="9.140625" style="2"/>
    <col min="15569" max="15569" width="9.140625" style="2" customWidth="1"/>
    <col min="15570" max="15570" width="27.28515625" style="2" customWidth="1"/>
    <col min="15571" max="15606" width="9.140625" style="2" customWidth="1"/>
    <col min="15607" max="16384" width="9.140625" style="2"/>
  </cols>
  <sheetData>
    <row r="1" spans="1:84" s="22" customFormat="1" ht="21" x14ac:dyDescent="0.25">
      <c r="A1" s="303"/>
      <c r="B1" s="307" t="s">
        <v>717</v>
      </c>
      <c r="C1" s="304"/>
      <c r="D1" s="304"/>
      <c r="E1" s="304"/>
      <c r="F1" s="304"/>
      <c r="G1" s="304"/>
      <c r="H1" s="304"/>
      <c r="I1" s="304"/>
      <c r="J1" s="304"/>
      <c r="BT1" s="305"/>
    </row>
    <row r="2" spans="1:84" s="306" customFormat="1" ht="19.5" thickBot="1" x14ac:dyDescent="0.3">
      <c r="A2" s="182"/>
      <c r="B2" s="308" t="s">
        <v>371</v>
      </c>
      <c r="C2" s="182"/>
      <c r="D2" s="182"/>
      <c r="E2" s="182"/>
      <c r="F2" s="182"/>
      <c r="G2" s="182"/>
      <c r="H2" s="182"/>
      <c r="I2" s="182"/>
      <c r="J2" s="182"/>
      <c r="K2" s="57"/>
      <c r="L2" s="182"/>
      <c r="M2" s="182"/>
      <c r="N2" s="182"/>
      <c r="O2" s="182"/>
      <c r="P2" s="182"/>
      <c r="Q2" s="182"/>
      <c r="R2" s="57"/>
      <c r="S2" s="182"/>
      <c r="T2" s="182"/>
      <c r="U2" s="182"/>
      <c r="V2" s="182"/>
      <c r="W2" s="182"/>
      <c r="X2" s="182"/>
      <c r="Y2" s="182"/>
      <c r="Z2" s="57"/>
      <c r="AA2" s="182"/>
      <c r="AB2" s="182"/>
      <c r="AC2" s="182"/>
      <c r="AD2" s="182"/>
      <c r="AE2" s="57"/>
      <c r="AF2" s="182"/>
      <c r="AG2" s="182"/>
      <c r="AH2" s="184"/>
      <c r="AI2" s="57"/>
      <c r="AJ2" s="182"/>
      <c r="AK2" s="182"/>
      <c r="AL2" s="182"/>
      <c r="AM2" s="184"/>
      <c r="AN2" s="57"/>
      <c r="AO2" s="182"/>
      <c r="AP2" s="182"/>
      <c r="AQ2" s="182"/>
      <c r="AR2" s="57"/>
      <c r="AS2" s="182"/>
      <c r="AT2" s="182"/>
      <c r="AU2" s="182"/>
      <c r="AV2" s="182"/>
      <c r="AW2" s="182"/>
      <c r="AX2" s="182"/>
      <c r="AY2" s="182"/>
      <c r="AZ2" s="182"/>
      <c r="BA2" s="57"/>
      <c r="BB2" s="182"/>
      <c r="BC2" s="182"/>
      <c r="BD2" s="184"/>
      <c r="BE2" s="57"/>
      <c r="BF2" s="182"/>
      <c r="BG2" s="182"/>
      <c r="BH2" s="182"/>
      <c r="BI2" s="184"/>
      <c r="BJ2" s="57"/>
      <c r="BK2" s="182"/>
      <c r="BL2" s="182"/>
      <c r="BM2" s="182"/>
      <c r="BN2" s="184"/>
      <c r="BO2" s="57"/>
      <c r="BP2" s="182"/>
      <c r="BQ2" s="182"/>
      <c r="BR2" s="182"/>
      <c r="BS2" s="57"/>
      <c r="BT2" s="182"/>
      <c r="BU2" s="57"/>
      <c r="BV2" s="182"/>
      <c r="BW2" s="57"/>
      <c r="BX2" s="182"/>
      <c r="BY2" s="57"/>
      <c r="BZ2" s="182"/>
      <c r="CA2" s="182"/>
      <c r="CB2" s="57"/>
      <c r="CC2" s="57"/>
      <c r="CD2" s="182"/>
      <c r="CE2" s="182"/>
      <c r="CF2" s="182"/>
    </row>
    <row r="3" spans="1:84" ht="19.5" thickBot="1" x14ac:dyDescent="0.3">
      <c r="A3" s="183"/>
      <c r="B3" s="278" t="s">
        <v>340</v>
      </c>
      <c r="C3" s="277">
        <v>29</v>
      </c>
      <c r="D3" s="278" t="s">
        <v>341</v>
      </c>
      <c r="E3" s="277">
        <v>29</v>
      </c>
      <c r="F3" s="46"/>
      <c r="H3" s="46"/>
      <c r="I3" s="46"/>
      <c r="K3" s="284" t="s">
        <v>353</v>
      </c>
      <c r="L3" s="285"/>
      <c r="M3" s="285"/>
      <c r="N3" s="285"/>
      <c r="O3" s="286"/>
      <c r="P3" s="185" t="s">
        <v>73</v>
      </c>
      <c r="Q3" s="186"/>
      <c r="R3" s="293" t="s">
        <v>481</v>
      </c>
      <c r="S3" s="294"/>
      <c r="T3" s="285"/>
      <c r="U3" s="294"/>
      <c r="V3" s="295"/>
      <c r="W3" s="185" t="s">
        <v>73</v>
      </c>
      <c r="X3" s="186"/>
      <c r="Y3" s="186"/>
      <c r="Z3" s="293" t="s">
        <v>378</v>
      </c>
      <c r="AA3" s="294"/>
      <c r="AB3" s="285"/>
      <c r="AC3" s="294"/>
      <c r="AD3" s="295"/>
      <c r="AE3" s="293" t="s">
        <v>358</v>
      </c>
      <c r="AF3" s="294"/>
      <c r="AG3" s="294"/>
      <c r="AH3" s="294"/>
      <c r="AI3" s="294"/>
      <c r="AJ3" s="285"/>
      <c r="AK3" s="294"/>
      <c r="AL3" s="296"/>
      <c r="AM3" s="298"/>
      <c r="AN3" s="294"/>
      <c r="AO3" s="285"/>
      <c r="AP3" s="294"/>
      <c r="AQ3" s="296"/>
      <c r="AR3" s="293"/>
      <c r="AS3" s="294"/>
      <c r="AT3" s="300" t="s">
        <v>464</v>
      </c>
      <c r="AU3" s="294"/>
      <c r="AV3" s="294"/>
      <c r="AW3" s="294"/>
      <c r="AX3" s="294"/>
      <c r="AY3" s="294"/>
      <c r="AZ3" s="295"/>
      <c r="BA3" s="293" t="s">
        <v>408</v>
      </c>
      <c r="BB3" s="294"/>
      <c r="BC3" s="294"/>
      <c r="BD3" s="294"/>
      <c r="BE3" s="294"/>
      <c r="BF3" s="285"/>
      <c r="BG3" s="294"/>
      <c r="BH3" s="296"/>
      <c r="BI3" s="298"/>
      <c r="BJ3" s="294"/>
      <c r="BK3" s="285"/>
      <c r="BL3" s="294"/>
      <c r="BM3" s="296"/>
      <c r="BN3" s="298"/>
      <c r="BO3" s="294"/>
      <c r="BP3" s="285"/>
      <c r="BQ3" s="294"/>
      <c r="BR3" s="296"/>
      <c r="BS3" s="293" t="s">
        <v>437</v>
      </c>
      <c r="BT3" s="295"/>
      <c r="BU3" s="293" t="s">
        <v>683</v>
      </c>
      <c r="BV3" s="295"/>
      <c r="BW3" s="293" t="s">
        <v>684</v>
      </c>
      <c r="BX3" s="295"/>
      <c r="BY3" s="293" t="s">
        <v>538</v>
      </c>
      <c r="BZ3" s="295"/>
      <c r="CA3" s="293" t="s">
        <v>539</v>
      </c>
      <c r="CB3" s="371"/>
      <c r="CC3" s="371"/>
      <c r="CD3" s="285"/>
      <c r="CE3" s="294"/>
      <c r="CF3" s="295"/>
    </row>
    <row r="4" spans="1:84" s="45" customFormat="1" ht="51" x14ac:dyDescent="0.25">
      <c r="A4" s="279" t="s">
        <v>0</v>
      </c>
      <c r="B4" s="302" t="s">
        <v>10</v>
      </c>
      <c r="C4" s="302" t="s">
        <v>626</v>
      </c>
      <c r="D4" s="302" t="s">
        <v>627</v>
      </c>
      <c r="E4" s="302" t="s">
        <v>37</v>
      </c>
      <c r="F4" s="280" t="s">
        <v>312</v>
      </c>
      <c r="G4" s="392" t="s">
        <v>17</v>
      </c>
      <c r="H4" s="392" t="s">
        <v>124</v>
      </c>
      <c r="I4" s="392" t="s">
        <v>123</v>
      </c>
      <c r="J4" s="282" t="s">
        <v>122</v>
      </c>
      <c r="K4" s="287" t="s">
        <v>144</v>
      </c>
      <c r="L4" s="280" t="s">
        <v>72</v>
      </c>
      <c r="M4" s="280"/>
      <c r="N4" s="280" t="s">
        <v>117</v>
      </c>
      <c r="O4" s="288" t="s">
        <v>11</v>
      </c>
      <c r="P4" s="283" t="s">
        <v>7</v>
      </c>
      <c r="Q4" s="292" t="s">
        <v>115</v>
      </c>
      <c r="R4" s="287" t="s">
        <v>38</v>
      </c>
      <c r="S4" s="280" t="s">
        <v>72</v>
      </c>
      <c r="T4" s="280"/>
      <c r="U4" s="280" t="s">
        <v>117</v>
      </c>
      <c r="V4" s="288" t="s">
        <v>11</v>
      </c>
      <c r="W4" s="283" t="s">
        <v>7</v>
      </c>
      <c r="X4" s="281" t="s">
        <v>115</v>
      </c>
      <c r="Y4" s="292" t="s">
        <v>247</v>
      </c>
      <c r="Z4" s="287" t="s">
        <v>38</v>
      </c>
      <c r="AA4" s="280" t="s">
        <v>72</v>
      </c>
      <c r="AB4" s="280"/>
      <c r="AC4" s="280" t="s">
        <v>117</v>
      </c>
      <c r="AD4" s="288" t="s">
        <v>11</v>
      </c>
      <c r="AE4" s="287" t="s">
        <v>116</v>
      </c>
      <c r="AF4" s="280" t="s">
        <v>31</v>
      </c>
      <c r="AG4" s="280" t="s">
        <v>32</v>
      </c>
      <c r="AH4" s="280" t="s">
        <v>536</v>
      </c>
      <c r="AI4" s="280" t="s">
        <v>537</v>
      </c>
      <c r="AJ4" s="280"/>
      <c r="AK4" s="280" t="s">
        <v>117</v>
      </c>
      <c r="AL4" s="297" t="s">
        <v>11</v>
      </c>
      <c r="AM4" s="287" t="s">
        <v>523</v>
      </c>
      <c r="AN4" s="280" t="s">
        <v>524</v>
      </c>
      <c r="AO4" s="280"/>
      <c r="AP4" s="280" t="s">
        <v>117</v>
      </c>
      <c r="AQ4" s="297" t="s">
        <v>11</v>
      </c>
      <c r="AR4" s="287" t="s">
        <v>116</v>
      </c>
      <c r="AS4" s="280" t="s">
        <v>31</v>
      </c>
      <c r="AT4" s="280" t="s">
        <v>32</v>
      </c>
      <c r="AU4" s="280" t="s">
        <v>118</v>
      </c>
      <c r="AV4" s="280" t="s">
        <v>128</v>
      </c>
      <c r="AW4" s="280" t="s">
        <v>433</v>
      </c>
      <c r="AX4" s="280" t="s">
        <v>153</v>
      </c>
      <c r="AY4" s="280" t="s">
        <v>547</v>
      </c>
      <c r="AZ4" s="288" t="s">
        <v>11</v>
      </c>
      <c r="BA4" s="287" t="s">
        <v>116</v>
      </c>
      <c r="BB4" s="280" t="s">
        <v>31</v>
      </c>
      <c r="BC4" s="280" t="s">
        <v>32</v>
      </c>
      <c r="BD4" s="280" t="s">
        <v>151</v>
      </c>
      <c r="BE4" s="280" t="s">
        <v>535</v>
      </c>
      <c r="BF4" s="280"/>
      <c r="BG4" s="280" t="s">
        <v>117</v>
      </c>
      <c r="BH4" s="297" t="s">
        <v>11</v>
      </c>
      <c r="BI4" s="280" t="s">
        <v>152</v>
      </c>
      <c r="BJ4" s="280" t="s">
        <v>545</v>
      </c>
      <c r="BK4" s="280"/>
      <c r="BL4" s="280" t="s">
        <v>117</v>
      </c>
      <c r="BM4" s="297" t="s">
        <v>11</v>
      </c>
      <c r="BN4" s="287" t="s">
        <v>523</v>
      </c>
      <c r="BO4" s="280" t="s">
        <v>524</v>
      </c>
      <c r="BP4" s="280"/>
      <c r="BQ4" s="280" t="s">
        <v>117</v>
      </c>
      <c r="BR4" s="297" t="s">
        <v>11</v>
      </c>
      <c r="BS4" s="287" t="s">
        <v>106</v>
      </c>
      <c r="BT4" s="297" t="s">
        <v>11</v>
      </c>
      <c r="BU4" s="287" t="s">
        <v>72</v>
      </c>
      <c r="BV4" s="288" t="s">
        <v>11</v>
      </c>
      <c r="BW4" s="287" t="s">
        <v>72</v>
      </c>
      <c r="BX4" s="288" t="s">
        <v>11</v>
      </c>
      <c r="BY4" s="287" t="s">
        <v>72</v>
      </c>
      <c r="BZ4" s="288" t="s">
        <v>11</v>
      </c>
      <c r="CA4" s="372" t="s">
        <v>38</v>
      </c>
      <c r="CB4" s="283" t="s">
        <v>72</v>
      </c>
      <c r="CC4" s="283" t="s">
        <v>548</v>
      </c>
      <c r="CD4" s="280"/>
      <c r="CE4" s="280" t="s">
        <v>117</v>
      </c>
      <c r="CF4" s="288" t="s">
        <v>11</v>
      </c>
    </row>
    <row r="5" spans="1:84" x14ac:dyDescent="0.25">
      <c r="A5" s="380">
        <v>9</v>
      </c>
      <c r="B5" s="381" t="s">
        <v>644</v>
      </c>
      <c r="C5" s="381" t="s">
        <v>646</v>
      </c>
      <c r="D5" s="381" t="s">
        <v>647</v>
      </c>
      <c r="E5" s="381" t="s">
        <v>6</v>
      </c>
      <c r="F5" s="381" t="s">
        <v>643</v>
      </c>
      <c r="G5" s="382">
        <v>1922.9</v>
      </c>
      <c r="H5" s="382">
        <v>900</v>
      </c>
      <c r="I5" s="382">
        <v>1022.9</v>
      </c>
      <c r="J5" s="382">
        <v>0</v>
      </c>
      <c r="K5" s="383">
        <v>0.50624999999999998</v>
      </c>
      <c r="L5" s="152">
        <v>0.50624999999999998</v>
      </c>
      <c r="M5" s="384" t="s">
        <v>112</v>
      </c>
      <c r="N5" s="152">
        <v>0</v>
      </c>
      <c r="O5" s="385">
        <v>0</v>
      </c>
      <c r="P5" s="152">
        <v>8.3333335816860199E-2</v>
      </c>
      <c r="Q5" s="152">
        <v>0</v>
      </c>
      <c r="R5" s="383">
        <v>0.58958333581686018</v>
      </c>
      <c r="S5" s="152">
        <v>0</v>
      </c>
      <c r="T5" s="384" t="s">
        <v>112</v>
      </c>
      <c r="U5" s="152">
        <v>0</v>
      </c>
      <c r="V5" s="385">
        <v>900</v>
      </c>
      <c r="W5" s="152">
        <v>8.3333335816860199E-2</v>
      </c>
      <c r="X5" s="152">
        <v>6.9445371627807617E-4</v>
      </c>
      <c r="Y5" s="152">
        <v>6.9445371627807617E-4</v>
      </c>
      <c r="Z5" s="383">
        <v>0.67291667163372038</v>
      </c>
      <c r="AA5" s="152">
        <v>0.67152777777777783</v>
      </c>
      <c r="AB5" s="384" t="s">
        <v>718</v>
      </c>
      <c r="AC5" s="152">
        <v>1.388847827911377E-3</v>
      </c>
      <c r="AD5" s="385">
        <v>0</v>
      </c>
      <c r="AE5" s="383">
        <v>0</v>
      </c>
      <c r="AF5" s="152">
        <v>0.54027777777777775</v>
      </c>
      <c r="AG5" s="152">
        <v>0</v>
      </c>
      <c r="AH5" s="386">
        <v>0.55266203703703698</v>
      </c>
      <c r="AI5" s="386">
        <v>0.55342592592592588</v>
      </c>
      <c r="AJ5" s="380" t="s">
        <v>719</v>
      </c>
      <c r="AK5" s="386">
        <v>7.6389312744140625E-4</v>
      </c>
      <c r="AL5" s="387">
        <v>66</v>
      </c>
      <c r="AM5" s="388">
        <v>0.55700231481481477</v>
      </c>
      <c r="AN5" s="386">
        <v>0.55716435185185187</v>
      </c>
      <c r="AO5" s="384" t="s">
        <v>719</v>
      </c>
      <c r="AP5" s="386">
        <v>1.6206502914428711E-4</v>
      </c>
      <c r="AQ5" s="387">
        <v>14</v>
      </c>
      <c r="AR5" s="383">
        <v>0</v>
      </c>
      <c r="AS5" s="152">
        <v>0</v>
      </c>
      <c r="AT5" s="152">
        <v>0</v>
      </c>
      <c r="AU5" s="389">
        <v>32.299999999999997</v>
      </c>
      <c r="AV5" s="389">
        <v>0</v>
      </c>
      <c r="AW5" s="389">
        <v>0</v>
      </c>
      <c r="AX5" s="384">
        <v>0</v>
      </c>
      <c r="AY5" s="384" t="s">
        <v>705</v>
      </c>
      <c r="AZ5" s="387">
        <v>156.89999999999998</v>
      </c>
      <c r="BA5" s="383">
        <v>0.6118055555555556</v>
      </c>
      <c r="BB5" s="152">
        <v>0.61249999999999993</v>
      </c>
      <c r="BC5" s="152">
        <v>6.9445371627807617E-4</v>
      </c>
      <c r="BD5" s="386">
        <v>0.6210416666666666</v>
      </c>
      <c r="BE5" s="386">
        <v>0.62108796296296298</v>
      </c>
      <c r="BF5" s="380" t="s">
        <v>719</v>
      </c>
      <c r="BG5" s="386">
        <v>4.6312808990478516E-5</v>
      </c>
      <c r="BH5" s="387">
        <v>4</v>
      </c>
      <c r="BI5" s="388">
        <v>0.63225694444444447</v>
      </c>
      <c r="BJ5" s="386">
        <v>0.63472222222222219</v>
      </c>
      <c r="BK5" s="384" t="s">
        <v>719</v>
      </c>
      <c r="BL5" s="386">
        <v>2.4653077125549316E-3</v>
      </c>
      <c r="BM5" s="387">
        <v>213</v>
      </c>
      <c r="BN5" s="388">
        <v>0.64607638888888885</v>
      </c>
      <c r="BO5" s="386">
        <v>0.65266203703703707</v>
      </c>
      <c r="BP5" s="384" t="s">
        <v>719</v>
      </c>
      <c r="BQ5" s="386">
        <v>6.5856575965881348E-3</v>
      </c>
      <c r="BR5" s="387">
        <v>569</v>
      </c>
      <c r="BS5" s="390">
        <v>0</v>
      </c>
      <c r="BT5" s="387">
        <v>0</v>
      </c>
      <c r="BU5" s="383">
        <v>0.52430555555555558</v>
      </c>
      <c r="BV5" s="391">
        <v>0</v>
      </c>
      <c r="BW5" s="383">
        <v>0.52777777777777779</v>
      </c>
      <c r="BX5" s="391">
        <v>0</v>
      </c>
      <c r="BY5" s="383">
        <v>0.57847222222222217</v>
      </c>
      <c r="BZ5" s="391">
        <v>0</v>
      </c>
      <c r="CA5" s="383">
        <v>0.58749997615814209</v>
      </c>
      <c r="CB5" s="152">
        <v>0.58819444444444446</v>
      </c>
      <c r="CC5" s="152">
        <v>8.3333333333333332E-3</v>
      </c>
      <c r="CD5" s="384" t="s">
        <v>719</v>
      </c>
      <c r="CE5" s="152">
        <v>6.9445371627807617E-4</v>
      </c>
      <c r="CF5" s="391">
        <v>0</v>
      </c>
    </row>
    <row r="6" spans="1:84" hidden="1" x14ac:dyDescent="0.25">
      <c r="A6" s="182"/>
      <c r="B6" s="57" t="s">
        <v>290</v>
      </c>
      <c r="C6" s="182"/>
      <c r="D6" s="182"/>
      <c r="E6" s="182"/>
      <c r="F6" s="182"/>
      <c r="G6" s="182"/>
      <c r="H6" s="182"/>
      <c r="I6" s="182"/>
      <c r="J6" s="182"/>
      <c r="K6" s="289" t="s">
        <v>519</v>
      </c>
      <c r="L6" s="182"/>
      <c r="M6" s="182"/>
      <c r="N6" s="182"/>
      <c r="O6" s="290"/>
      <c r="P6" s="182"/>
      <c r="Q6" s="182"/>
      <c r="R6" s="289" t="s">
        <v>291</v>
      </c>
      <c r="S6" s="182"/>
      <c r="T6" s="182"/>
      <c r="U6" s="182"/>
      <c r="V6" s="290"/>
      <c r="W6" s="182"/>
      <c r="X6" s="182"/>
      <c r="Y6" s="182"/>
      <c r="Z6" s="289" t="s">
        <v>292</v>
      </c>
      <c r="AA6" s="182"/>
      <c r="AB6" s="182"/>
      <c r="AC6" s="182"/>
      <c r="AD6" s="290"/>
      <c r="AE6" s="289" t="s">
        <v>293</v>
      </c>
      <c r="AF6" s="182"/>
      <c r="AG6" s="182"/>
      <c r="AH6" s="184">
        <v>1.238425925925926E-2</v>
      </c>
      <c r="AI6" s="57" t="s">
        <v>522</v>
      </c>
      <c r="AJ6" s="182"/>
      <c r="AK6" s="182"/>
      <c r="AL6" s="290"/>
      <c r="AM6" s="299">
        <v>3.5763888888888889E-3</v>
      </c>
      <c r="AN6" s="57" t="s">
        <v>525</v>
      </c>
      <c r="AO6" s="182"/>
      <c r="AP6" s="182"/>
      <c r="AQ6" s="290"/>
      <c r="AR6" s="289" t="s">
        <v>294</v>
      </c>
      <c r="AS6" s="182"/>
      <c r="AT6" s="182"/>
      <c r="AU6" s="182"/>
      <c r="AV6" s="182"/>
      <c r="AW6" s="182"/>
      <c r="AX6" s="182"/>
      <c r="AY6" s="182"/>
      <c r="AZ6" s="290"/>
      <c r="BA6" s="289" t="s">
        <v>541</v>
      </c>
      <c r="BB6" s="182"/>
      <c r="BC6" s="182"/>
      <c r="BD6" s="184">
        <v>8.5416666666666662E-3</v>
      </c>
      <c r="BE6" s="57" t="s">
        <v>542</v>
      </c>
      <c r="BF6" s="182"/>
      <c r="BG6" s="182"/>
      <c r="BH6" s="290"/>
      <c r="BI6" s="299">
        <v>1.1168981481481481E-2</v>
      </c>
      <c r="BJ6" s="57" t="s">
        <v>543</v>
      </c>
      <c r="BK6" s="182"/>
      <c r="BL6" s="182"/>
      <c r="BM6" s="290"/>
      <c r="BN6" s="299">
        <v>1.1354166666666667E-2</v>
      </c>
      <c r="BO6" s="57" t="s">
        <v>544</v>
      </c>
      <c r="BP6" s="182"/>
      <c r="BQ6" s="182"/>
      <c r="BR6" s="290"/>
      <c r="BS6" s="289" t="s">
        <v>295</v>
      </c>
      <c r="BT6" s="290"/>
      <c r="BU6" s="289" t="s">
        <v>679</v>
      </c>
      <c r="BV6" s="290"/>
      <c r="BW6" s="289" t="s">
        <v>680</v>
      </c>
      <c r="BX6" s="290"/>
      <c r="BY6" s="289" t="s">
        <v>296</v>
      </c>
      <c r="BZ6" s="290"/>
      <c r="CA6" s="291" t="s">
        <v>540</v>
      </c>
      <c r="CB6" s="57"/>
      <c r="CC6" s="57"/>
      <c r="CD6" s="182"/>
      <c r="CE6" s="182"/>
      <c r="CF6" s="290"/>
    </row>
    <row r="7" spans="1:84" hidden="1" x14ac:dyDescent="0.25">
      <c r="A7" s="182"/>
      <c r="B7" s="182" t="s">
        <v>248</v>
      </c>
      <c r="C7" s="182"/>
      <c r="D7" s="341"/>
      <c r="E7" s="341" t="s">
        <v>461</v>
      </c>
      <c r="F7" s="341"/>
      <c r="G7" s="182"/>
      <c r="H7" s="182"/>
      <c r="I7" s="182"/>
      <c r="J7" s="182"/>
      <c r="K7" s="291"/>
      <c r="L7" s="182"/>
      <c r="M7" s="182"/>
      <c r="N7" s="182"/>
      <c r="O7" s="290"/>
      <c r="P7" s="152"/>
      <c r="Q7" s="182"/>
      <c r="R7" s="291"/>
      <c r="S7" s="182"/>
      <c r="T7" s="182"/>
      <c r="U7" s="182"/>
      <c r="V7" s="290"/>
      <c r="W7" s="152"/>
      <c r="X7" s="182"/>
      <c r="Y7" s="182"/>
      <c r="Z7" s="291"/>
      <c r="AA7" s="182"/>
      <c r="AB7" s="182"/>
      <c r="AC7" s="182"/>
      <c r="AD7" s="290"/>
      <c r="AE7" s="291"/>
      <c r="AF7" s="182"/>
      <c r="AG7" s="182"/>
      <c r="AH7" s="182" t="s">
        <v>249</v>
      </c>
      <c r="AI7" s="182"/>
      <c r="AJ7" s="182"/>
      <c r="AK7" s="182"/>
      <c r="AL7" s="290"/>
      <c r="AM7" s="291" t="s">
        <v>249</v>
      </c>
      <c r="AN7" s="182"/>
      <c r="AO7" s="182"/>
      <c r="AP7" s="182"/>
      <c r="AQ7" s="290"/>
      <c r="AR7" s="291"/>
      <c r="AS7" s="182"/>
      <c r="AT7" s="182"/>
      <c r="AU7" s="182"/>
      <c r="AV7" s="182"/>
      <c r="AW7" s="182"/>
      <c r="AX7" s="182"/>
      <c r="AY7" s="182"/>
      <c r="AZ7" s="290"/>
      <c r="BA7" s="291"/>
      <c r="BB7" s="182"/>
      <c r="BC7" s="182"/>
      <c r="BD7" s="182" t="s">
        <v>249</v>
      </c>
      <c r="BE7" s="182"/>
      <c r="BF7" s="182"/>
      <c r="BG7" s="182"/>
      <c r="BH7" s="290"/>
      <c r="BI7" s="291" t="s">
        <v>249</v>
      </c>
      <c r="BJ7" s="182"/>
      <c r="BK7" s="182"/>
      <c r="BL7" s="182"/>
      <c r="BM7" s="290"/>
      <c r="BN7" s="291" t="s">
        <v>249</v>
      </c>
      <c r="BO7" s="182"/>
      <c r="BP7" s="182"/>
      <c r="BQ7" s="182"/>
      <c r="BR7" s="290"/>
      <c r="BS7" s="291"/>
      <c r="BT7" s="290"/>
      <c r="BU7" s="291"/>
      <c r="BV7" s="290"/>
      <c r="BW7" s="291"/>
      <c r="BX7" s="290"/>
      <c r="BY7" s="291"/>
      <c r="BZ7" s="290"/>
      <c r="CA7" s="291"/>
      <c r="CB7" s="182"/>
      <c r="CC7" s="182"/>
      <c r="CD7" s="182"/>
      <c r="CE7" s="182"/>
      <c r="CF7" s="290"/>
    </row>
    <row r="8" spans="1:84" hidden="1" x14ac:dyDescent="0.25">
      <c r="A8" s="182"/>
      <c r="B8" s="182" t="s">
        <v>308</v>
      </c>
      <c r="C8" s="182"/>
      <c r="D8" s="182"/>
      <c r="E8" s="182"/>
      <c r="F8" s="182"/>
      <c r="G8" s="182"/>
      <c r="H8" s="182"/>
      <c r="I8" s="182"/>
      <c r="J8" s="182"/>
      <c r="K8" s="291"/>
      <c r="L8" s="182"/>
      <c r="M8" s="182"/>
      <c r="N8" s="182"/>
      <c r="O8" s="290"/>
      <c r="P8" s="182"/>
      <c r="Q8" s="182"/>
      <c r="R8" s="291"/>
      <c r="S8" s="182"/>
      <c r="T8" s="182"/>
      <c r="U8" s="182"/>
      <c r="V8" s="290"/>
      <c r="W8" s="182"/>
      <c r="X8" s="182"/>
      <c r="Y8" s="182"/>
      <c r="Z8" s="291"/>
      <c r="AA8" s="182"/>
      <c r="AB8" s="182"/>
      <c r="AC8" s="182"/>
      <c r="AD8" s="290"/>
      <c r="AE8" s="291"/>
      <c r="AF8" s="182"/>
      <c r="AG8" s="182"/>
      <c r="AH8" s="182"/>
      <c r="AI8" s="182"/>
      <c r="AJ8" s="182"/>
      <c r="AK8" s="182"/>
      <c r="AL8" s="290"/>
      <c r="AM8" s="291"/>
      <c r="AN8" s="182"/>
      <c r="AO8" s="182"/>
      <c r="AP8" s="182"/>
      <c r="AQ8" s="290"/>
      <c r="AR8" s="291"/>
      <c r="AS8" s="182"/>
      <c r="AT8" s="182"/>
      <c r="AU8" s="182"/>
      <c r="AV8" s="182"/>
      <c r="AW8" s="182"/>
      <c r="AX8" s="182"/>
      <c r="AY8" s="182"/>
      <c r="AZ8" s="290"/>
      <c r="BA8" s="291"/>
      <c r="BB8" s="182"/>
      <c r="BC8" s="182"/>
      <c r="BD8" s="182"/>
      <c r="BE8" s="182"/>
      <c r="BF8" s="182"/>
      <c r="BG8" s="182"/>
      <c r="BH8" s="290"/>
      <c r="BI8" s="291"/>
      <c r="BJ8" s="182"/>
      <c r="BK8" s="182"/>
      <c r="BL8" s="182"/>
      <c r="BM8" s="290"/>
      <c r="BN8" s="291"/>
      <c r="BO8" s="182"/>
      <c r="BP8" s="182"/>
      <c r="BQ8" s="182"/>
      <c r="BR8" s="290"/>
      <c r="BS8" s="291"/>
      <c r="BT8" s="290"/>
      <c r="BU8" s="291"/>
      <c r="BV8" s="290"/>
      <c r="BW8" s="291"/>
      <c r="BX8" s="290"/>
      <c r="BY8" s="291"/>
      <c r="BZ8" s="290"/>
      <c r="CA8" s="291"/>
      <c r="CB8" s="182"/>
      <c r="CC8" s="182"/>
      <c r="CD8" s="182"/>
      <c r="CE8" s="182"/>
      <c r="CF8" s="290"/>
    </row>
    <row r="9" spans="1:84" s="367" customFormat="1" x14ac:dyDescent="0.25">
      <c r="A9" s="380">
        <v>17</v>
      </c>
      <c r="B9" s="381" t="s">
        <v>596</v>
      </c>
      <c r="C9" s="381" t="s">
        <v>16</v>
      </c>
      <c r="D9" s="381" t="s">
        <v>40</v>
      </c>
      <c r="E9" s="381" t="s">
        <v>724</v>
      </c>
      <c r="F9" s="381" t="s">
        <v>643</v>
      </c>
      <c r="G9" s="382">
        <v>2330</v>
      </c>
      <c r="H9" s="382">
        <v>900</v>
      </c>
      <c r="I9" s="382">
        <v>1430</v>
      </c>
      <c r="J9" s="382">
        <v>0</v>
      </c>
      <c r="K9" s="383">
        <v>0.51180555555555551</v>
      </c>
      <c r="L9" s="152">
        <v>0.51180555555555551</v>
      </c>
      <c r="M9" s="384" t="s">
        <v>112</v>
      </c>
      <c r="N9" s="152">
        <v>0</v>
      </c>
      <c r="O9" s="385">
        <v>0</v>
      </c>
      <c r="P9" s="152">
        <v>8.3333335816860199E-2</v>
      </c>
      <c r="Q9" s="152">
        <v>0</v>
      </c>
      <c r="R9" s="383">
        <v>0.59513889137241571</v>
      </c>
      <c r="S9" s="152">
        <v>0</v>
      </c>
      <c r="T9" s="384" t="s">
        <v>112</v>
      </c>
      <c r="U9" s="152">
        <v>0</v>
      </c>
      <c r="V9" s="385">
        <v>900</v>
      </c>
      <c r="W9" s="152">
        <v>8.3333335816860199E-2</v>
      </c>
      <c r="X9" s="152">
        <v>1.5972222222222165E-2</v>
      </c>
      <c r="Y9" s="152">
        <v>1.5972222222222165E-2</v>
      </c>
      <c r="Z9" s="383">
        <v>0.67847222718927591</v>
      </c>
      <c r="AA9" s="152">
        <v>0.68611111111111101</v>
      </c>
      <c r="AB9" s="384" t="s">
        <v>719</v>
      </c>
      <c r="AC9" s="152">
        <v>7.6388716697692871E-3</v>
      </c>
      <c r="AD9" s="385">
        <v>0</v>
      </c>
      <c r="AE9" s="383">
        <v>0</v>
      </c>
      <c r="AF9" s="152">
        <v>0.54375000000000007</v>
      </c>
      <c r="AG9" s="152">
        <v>0</v>
      </c>
      <c r="AH9" s="386">
        <v>0.5561342592592593</v>
      </c>
      <c r="AI9" s="386">
        <v>0.55494212962962963</v>
      </c>
      <c r="AJ9" s="380" t="s">
        <v>718</v>
      </c>
      <c r="AK9" s="386">
        <v>1.1921525001525879E-3</v>
      </c>
      <c r="AL9" s="387">
        <v>103</v>
      </c>
      <c r="AM9" s="388">
        <v>0.55851851851851853</v>
      </c>
      <c r="AN9" s="386">
        <v>0.55966435185185182</v>
      </c>
      <c r="AO9" s="384" t="s">
        <v>719</v>
      </c>
      <c r="AP9" s="386">
        <v>1.1458396911621094E-3</v>
      </c>
      <c r="AQ9" s="387">
        <v>99</v>
      </c>
      <c r="AR9" s="383">
        <v>0.61111111111111105</v>
      </c>
      <c r="AS9" s="152">
        <v>0.62708333333333333</v>
      </c>
      <c r="AT9" s="152">
        <v>1.5972222222222165E-2</v>
      </c>
      <c r="AU9" s="389">
        <v>67</v>
      </c>
      <c r="AV9" s="389">
        <v>0</v>
      </c>
      <c r="AW9" s="389">
        <v>0</v>
      </c>
      <c r="AX9" s="384">
        <v>0</v>
      </c>
      <c r="AY9" s="384">
        <v>0</v>
      </c>
      <c r="AZ9" s="387">
        <v>201</v>
      </c>
      <c r="BA9" s="383">
        <v>0</v>
      </c>
      <c r="BB9" s="152">
        <v>0.6333333333333333</v>
      </c>
      <c r="BC9" s="152">
        <v>0</v>
      </c>
      <c r="BD9" s="386">
        <v>0.64187499999999997</v>
      </c>
      <c r="BE9" s="386">
        <v>0.64962962962962967</v>
      </c>
      <c r="BF9" s="380" t="s">
        <v>719</v>
      </c>
      <c r="BG9" s="386">
        <v>7.7546238899230957E-3</v>
      </c>
      <c r="BH9" s="387">
        <v>600</v>
      </c>
      <c r="BI9" s="388">
        <v>0.66079861111111116</v>
      </c>
      <c r="BJ9" s="386">
        <v>0.66417824074074072</v>
      </c>
      <c r="BK9" s="384" t="s">
        <v>719</v>
      </c>
      <c r="BL9" s="386">
        <v>3.3796429634094238E-3</v>
      </c>
      <c r="BM9" s="387">
        <v>292</v>
      </c>
      <c r="BN9" s="388">
        <v>0.67553240740740739</v>
      </c>
      <c r="BO9" s="386">
        <v>0.67396990740740748</v>
      </c>
      <c r="BP9" s="384" t="s">
        <v>718</v>
      </c>
      <c r="BQ9" s="386">
        <v>1.5624761581420898E-3</v>
      </c>
      <c r="BR9" s="387">
        <v>135</v>
      </c>
      <c r="BS9" s="390">
        <v>0</v>
      </c>
      <c r="BT9" s="387">
        <v>0</v>
      </c>
      <c r="BU9" s="383">
        <v>0.52916666666666667</v>
      </c>
      <c r="BV9" s="391">
        <v>0</v>
      </c>
      <c r="BW9" s="383">
        <v>0.53263888888888888</v>
      </c>
      <c r="BX9" s="391">
        <v>0</v>
      </c>
      <c r="BY9" s="383">
        <v>0.58819444444444446</v>
      </c>
      <c r="BZ9" s="391">
        <v>0</v>
      </c>
      <c r="CA9" s="383">
        <v>0.59305554628372192</v>
      </c>
      <c r="CB9" s="152">
        <v>0.59791666666666665</v>
      </c>
      <c r="CC9" s="152">
        <v>8.3333333333333332E-3</v>
      </c>
      <c r="CD9" s="384" t="s">
        <v>719</v>
      </c>
      <c r="CE9" s="152">
        <v>4.8611164093017578E-3</v>
      </c>
      <c r="CF9" s="391">
        <v>0</v>
      </c>
    </row>
    <row r="10" spans="1:84" s="22" customFormat="1" x14ac:dyDescent="0.25">
      <c r="A10" s="380">
        <v>13</v>
      </c>
      <c r="B10" s="381" t="s">
        <v>601</v>
      </c>
      <c r="C10" s="381" t="s">
        <v>603</v>
      </c>
      <c r="D10" s="381" t="s">
        <v>617</v>
      </c>
      <c r="E10" s="381" t="s">
        <v>612</v>
      </c>
      <c r="F10" s="381" t="s">
        <v>643</v>
      </c>
      <c r="G10" s="382">
        <v>2388.3000000000002</v>
      </c>
      <c r="H10" s="382">
        <v>900</v>
      </c>
      <c r="I10" s="382">
        <v>1188.3</v>
      </c>
      <c r="J10" s="382">
        <v>300</v>
      </c>
      <c r="K10" s="383">
        <v>0.50902777777777775</v>
      </c>
      <c r="L10" s="152">
        <v>0.50902777777777775</v>
      </c>
      <c r="M10" s="384" t="s">
        <v>112</v>
      </c>
      <c r="N10" s="152">
        <v>0</v>
      </c>
      <c r="O10" s="385">
        <v>0</v>
      </c>
      <c r="P10" s="152">
        <v>8.3333335816860199E-2</v>
      </c>
      <c r="Q10" s="152">
        <v>2.0833611488342285E-3</v>
      </c>
      <c r="R10" s="383">
        <v>0.59236111359463794</v>
      </c>
      <c r="S10" s="152">
        <v>0</v>
      </c>
      <c r="T10" s="384" t="s">
        <v>112</v>
      </c>
      <c r="U10" s="152">
        <v>0</v>
      </c>
      <c r="V10" s="385">
        <v>900</v>
      </c>
      <c r="W10" s="152">
        <v>8.3333335816860199E-2</v>
      </c>
      <c r="X10" s="152">
        <v>4.1666666666666519E-3</v>
      </c>
      <c r="Y10" s="152">
        <v>6.2500278155008804E-3</v>
      </c>
      <c r="Z10" s="383">
        <v>0.67569444941149814</v>
      </c>
      <c r="AA10" s="152">
        <v>0.67986111111111114</v>
      </c>
      <c r="AB10" s="384" t="s">
        <v>719</v>
      </c>
      <c r="AC10" s="152">
        <v>4.1666626930236816E-3</v>
      </c>
      <c r="AD10" s="385">
        <v>0</v>
      </c>
      <c r="AE10" s="383">
        <v>0.53541666666666665</v>
      </c>
      <c r="AF10" s="152">
        <v>0.53749999999999998</v>
      </c>
      <c r="AG10" s="152">
        <v>2.0833611488342285E-3</v>
      </c>
      <c r="AH10" s="386">
        <v>0.54988425925925921</v>
      </c>
      <c r="AI10" s="386">
        <v>0.55159722222222218</v>
      </c>
      <c r="AJ10" s="380" t="s">
        <v>719</v>
      </c>
      <c r="AK10" s="386">
        <v>1.7129778861999512E-3</v>
      </c>
      <c r="AL10" s="387">
        <v>148</v>
      </c>
      <c r="AM10" s="388">
        <v>0.55517361111111108</v>
      </c>
      <c r="AN10" s="386">
        <v>0.55568287037037034</v>
      </c>
      <c r="AO10" s="384" t="s">
        <v>719</v>
      </c>
      <c r="AP10" s="386">
        <v>5.092620849609375E-4</v>
      </c>
      <c r="AQ10" s="387">
        <v>44</v>
      </c>
      <c r="AR10" s="383">
        <v>0.60486111111111118</v>
      </c>
      <c r="AS10" s="152">
        <v>0.60902777777777783</v>
      </c>
      <c r="AT10" s="152">
        <v>4.1666666666666519E-3</v>
      </c>
      <c r="AU10" s="389">
        <v>26.1</v>
      </c>
      <c r="AV10" s="389">
        <v>0</v>
      </c>
      <c r="AW10" s="389">
        <v>1</v>
      </c>
      <c r="AX10" s="384">
        <v>0</v>
      </c>
      <c r="AY10" s="384">
        <v>0</v>
      </c>
      <c r="AZ10" s="387">
        <v>93.300000000000011</v>
      </c>
      <c r="BA10" s="383">
        <v>0</v>
      </c>
      <c r="BB10" s="152">
        <v>0.62291666666666667</v>
      </c>
      <c r="BC10" s="152">
        <v>0</v>
      </c>
      <c r="BD10" s="386">
        <v>0.63145833333333334</v>
      </c>
      <c r="BE10" s="386">
        <v>0.63879629629629631</v>
      </c>
      <c r="BF10" s="380" t="s">
        <v>719</v>
      </c>
      <c r="BG10" s="386">
        <v>7.3379278182983398E-3</v>
      </c>
      <c r="BH10" s="387">
        <v>600</v>
      </c>
      <c r="BI10" s="388">
        <v>0.64996527777777779</v>
      </c>
      <c r="BJ10" s="386">
        <v>0.65260416666666665</v>
      </c>
      <c r="BK10" s="384" t="s">
        <v>719</v>
      </c>
      <c r="BL10" s="386">
        <v>2.6388764381408691E-3</v>
      </c>
      <c r="BM10" s="387">
        <v>228</v>
      </c>
      <c r="BN10" s="388">
        <v>0.66395833333333332</v>
      </c>
      <c r="BO10" s="386">
        <v>0.6648263888888889</v>
      </c>
      <c r="BP10" s="384" t="s">
        <v>719</v>
      </c>
      <c r="BQ10" s="386">
        <v>8.6808204650878906E-4</v>
      </c>
      <c r="BR10" s="387">
        <v>75</v>
      </c>
      <c r="BS10" s="390" t="s">
        <v>711</v>
      </c>
      <c r="BT10" s="387">
        <v>300</v>
      </c>
      <c r="BU10" s="383">
        <v>0.52222222222222225</v>
      </c>
      <c r="BV10" s="391">
        <v>0</v>
      </c>
      <c r="BW10" s="383">
        <v>0.52708333333333335</v>
      </c>
      <c r="BX10" s="391">
        <v>0</v>
      </c>
      <c r="BY10" s="383">
        <v>0.58263888888888882</v>
      </c>
      <c r="BZ10" s="391">
        <v>0</v>
      </c>
      <c r="CA10" s="383">
        <v>0.59027779102325439</v>
      </c>
      <c r="CB10" s="152">
        <v>0.59236111111111112</v>
      </c>
      <c r="CC10" s="152">
        <v>8.3333333333333332E-3</v>
      </c>
      <c r="CD10" s="384" t="s">
        <v>719</v>
      </c>
      <c r="CE10" s="152">
        <v>2.0833015441894531E-3</v>
      </c>
      <c r="CF10" s="391">
        <v>0</v>
      </c>
    </row>
    <row r="11" spans="1:84" s="367" customFormat="1" x14ac:dyDescent="0.25">
      <c r="A11" s="354">
        <v>14</v>
      </c>
      <c r="B11" s="355" t="s">
        <v>604</v>
      </c>
      <c r="C11" s="355" t="s">
        <v>606</v>
      </c>
      <c r="D11" s="355" t="s">
        <v>618</v>
      </c>
      <c r="E11" s="355" t="s">
        <v>6</v>
      </c>
      <c r="F11" s="355" t="s">
        <v>643</v>
      </c>
      <c r="G11" s="356">
        <v>2596.5</v>
      </c>
      <c r="H11" s="356">
        <v>0</v>
      </c>
      <c r="I11" s="356">
        <v>2566.5</v>
      </c>
      <c r="J11" s="356">
        <v>30</v>
      </c>
      <c r="K11" s="357">
        <v>0.50972222222222219</v>
      </c>
      <c r="L11" s="358">
        <v>0.50972222222222219</v>
      </c>
      <c r="M11" s="359" t="s">
        <v>112</v>
      </c>
      <c r="N11" s="358">
        <v>0</v>
      </c>
      <c r="O11" s="360">
        <v>0</v>
      </c>
      <c r="P11" s="358">
        <v>8.3333335816860199E-2</v>
      </c>
      <c r="Q11" s="358">
        <v>0</v>
      </c>
      <c r="R11" s="357">
        <v>0.59305555803908239</v>
      </c>
      <c r="S11" s="358">
        <v>0.59305555555555556</v>
      </c>
      <c r="T11" s="359" t="s">
        <v>112</v>
      </c>
      <c r="U11" s="358">
        <v>0</v>
      </c>
      <c r="V11" s="360">
        <v>0</v>
      </c>
      <c r="W11" s="358">
        <v>8.3333335816860199E-2</v>
      </c>
      <c r="X11" s="358">
        <v>0</v>
      </c>
      <c r="Y11" s="358">
        <v>0</v>
      </c>
      <c r="Z11" s="357">
        <v>0.67638889137241576</v>
      </c>
      <c r="AA11" s="358">
        <v>0.67638888888888893</v>
      </c>
      <c r="AB11" s="359" t="s">
        <v>718</v>
      </c>
      <c r="AC11" s="358">
        <v>0</v>
      </c>
      <c r="AD11" s="360">
        <v>0</v>
      </c>
      <c r="AE11" s="357">
        <v>0</v>
      </c>
      <c r="AF11" s="358">
        <v>0.5395833333333333</v>
      </c>
      <c r="AG11" s="358">
        <v>0</v>
      </c>
      <c r="AH11" s="362">
        <v>0.55196759259259254</v>
      </c>
      <c r="AI11" s="362">
        <v>0.55207175925925933</v>
      </c>
      <c r="AJ11" s="354" t="s">
        <v>719</v>
      </c>
      <c r="AK11" s="362">
        <v>1.0412931442260742E-4</v>
      </c>
      <c r="AL11" s="363">
        <v>9</v>
      </c>
      <c r="AM11" s="364">
        <v>0.55564814814814822</v>
      </c>
      <c r="AN11" s="362">
        <v>0.55613425925925919</v>
      </c>
      <c r="AO11" s="359" t="s">
        <v>719</v>
      </c>
      <c r="AP11" s="362">
        <v>4.8613548278808594E-4</v>
      </c>
      <c r="AQ11" s="363">
        <v>42</v>
      </c>
      <c r="AR11" s="357">
        <v>0</v>
      </c>
      <c r="AS11" s="358">
        <v>0</v>
      </c>
      <c r="AT11" s="358">
        <v>0</v>
      </c>
      <c r="AU11" s="365">
        <v>28.5</v>
      </c>
      <c r="AV11" s="365">
        <v>0</v>
      </c>
      <c r="AW11" s="365">
        <v>2</v>
      </c>
      <c r="AX11" s="359">
        <v>0</v>
      </c>
      <c r="AY11" s="359">
        <v>0</v>
      </c>
      <c r="AZ11" s="363">
        <v>115.5</v>
      </c>
      <c r="BA11" s="357">
        <v>0</v>
      </c>
      <c r="BB11" s="358">
        <v>0.62569444444444444</v>
      </c>
      <c r="BC11" s="358">
        <v>0</v>
      </c>
      <c r="BD11" s="362">
        <v>0.63423611111111111</v>
      </c>
      <c r="BE11" s="362">
        <v>0.64290509259259265</v>
      </c>
      <c r="BF11" s="354" t="s">
        <v>719</v>
      </c>
      <c r="BG11" s="362">
        <v>8.6690187454223633E-3</v>
      </c>
      <c r="BH11" s="363">
        <v>600</v>
      </c>
      <c r="BI11" s="364">
        <v>0.65407407407407414</v>
      </c>
      <c r="BJ11" s="362">
        <v>0</v>
      </c>
      <c r="BK11" s="359" t="s">
        <v>112</v>
      </c>
      <c r="BL11" s="362">
        <v>0</v>
      </c>
      <c r="BM11" s="363">
        <v>1800</v>
      </c>
      <c r="BN11" s="364">
        <v>0</v>
      </c>
      <c r="BO11" s="362">
        <v>0.6580555555555555</v>
      </c>
      <c r="BP11" s="359" t="s">
        <v>112</v>
      </c>
      <c r="BQ11" s="362">
        <v>0</v>
      </c>
      <c r="BR11" s="363">
        <v>0</v>
      </c>
      <c r="BS11" s="366" t="s">
        <v>709</v>
      </c>
      <c r="BT11" s="363">
        <v>30</v>
      </c>
      <c r="BU11" s="357">
        <v>0.52500000000000002</v>
      </c>
      <c r="BV11" s="361">
        <v>0</v>
      </c>
      <c r="BW11" s="357">
        <v>0.52986111111111112</v>
      </c>
      <c r="BX11" s="361">
        <v>0</v>
      </c>
      <c r="BY11" s="357">
        <v>0.57638888888888895</v>
      </c>
      <c r="BZ11" s="361">
        <v>0</v>
      </c>
      <c r="CA11" s="357">
        <v>0.59097224473953247</v>
      </c>
      <c r="CB11" s="358">
        <v>0.58888888888888891</v>
      </c>
      <c r="CC11" s="358">
        <v>8.3333333333333332E-3</v>
      </c>
      <c r="CD11" s="359" t="s">
        <v>718</v>
      </c>
      <c r="CE11" s="358">
        <v>2.0833611488342285E-3</v>
      </c>
      <c r="CF11" s="361">
        <v>0</v>
      </c>
    </row>
    <row r="12" spans="1:84" s="22" customFormat="1" x14ac:dyDescent="0.25">
      <c r="A12" s="354">
        <v>16</v>
      </c>
      <c r="B12" s="355" t="s">
        <v>648</v>
      </c>
      <c r="C12" s="355" t="s">
        <v>650</v>
      </c>
      <c r="D12" s="355" t="s">
        <v>651</v>
      </c>
      <c r="E12" s="355" t="s">
        <v>6</v>
      </c>
      <c r="F12" s="355" t="s">
        <v>643</v>
      </c>
      <c r="G12" s="356">
        <v>3248.1</v>
      </c>
      <c r="H12" s="356">
        <v>900</v>
      </c>
      <c r="I12" s="356">
        <v>1118.0999999999999</v>
      </c>
      <c r="J12" s="356">
        <v>1230</v>
      </c>
      <c r="K12" s="357">
        <v>0.51111111111111107</v>
      </c>
      <c r="L12" s="358">
        <v>0.51111111111111118</v>
      </c>
      <c r="M12" s="359" t="s">
        <v>112</v>
      </c>
      <c r="N12" s="358">
        <v>0</v>
      </c>
      <c r="O12" s="360">
        <v>0</v>
      </c>
      <c r="P12" s="358">
        <v>8.3333335816860199E-2</v>
      </c>
      <c r="Q12" s="358">
        <v>0</v>
      </c>
      <c r="R12" s="357">
        <v>0.59444444692797138</v>
      </c>
      <c r="S12" s="358">
        <v>0</v>
      </c>
      <c r="T12" s="359" t="s">
        <v>112</v>
      </c>
      <c r="U12" s="358">
        <v>0</v>
      </c>
      <c r="V12" s="360">
        <v>900</v>
      </c>
      <c r="W12" s="358">
        <v>8.3333335816860199E-2</v>
      </c>
      <c r="X12" s="358">
        <v>2.1527777777777812E-2</v>
      </c>
      <c r="Y12" s="358">
        <v>2.1527777777777812E-2</v>
      </c>
      <c r="Z12" s="357">
        <v>0.67777778274483158</v>
      </c>
      <c r="AA12" s="358">
        <v>0.68611111111111101</v>
      </c>
      <c r="AB12" s="359" t="s">
        <v>719</v>
      </c>
      <c r="AC12" s="358">
        <v>8.3333253860473633E-3</v>
      </c>
      <c r="AD12" s="360">
        <v>0</v>
      </c>
      <c r="AE12" s="357">
        <v>0</v>
      </c>
      <c r="AF12" s="358">
        <v>0.54305555555555551</v>
      </c>
      <c r="AG12" s="358">
        <v>0</v>
      </c>
      <c r="AH12" s="362">
        <v>0.55543981481481475</v>
      </c>
      <c r="AI12" s="362">
        <v>0.5549074074074074</v>
      </c>
      <c r="AJ12" s="354" t="s">
        <v>718</v>
      </c>
      <c r="AK12" s="362">
        <v>5.3244829177856445E-4</v>
      </c>
      <c r="AL12" s="363">
        <v>46</v>
      </c>
      <c r="AM12" s="364">
        <v>0.5584837962962963</v>
      </c>
      <c r="AN12" s="362">
        <v>0.55960648148148151</v>
      </c>
      <c r="AO12" s="359" t="s">
        <v>719</v>
      </c>
      <c r="AP12" s="362">
        <v>1.1227130889892578E-3</v>
      </c>
      <c r="AQ12" s="363">
        <v>97</v>
      </c>
      <c r="AR12" s="357">
        <v>0.60416666666666663</v>
      </c>
      <c r="AS12" s="358">
        <v>0.62569444444444444</v>
      </c>
      <c r="AT12" s="358">
        <v>2.1527777777777812E-2</v>
      </c>
      <c r="AU12" s="365">
        <v>102.7</v>
      </c>
      <c r="AV12" s="365">
        <v>0</v>
      </c>
      <c r="AW12" s="365">
        <v>0</v>
      </c>
      <c r="AX12" s="359">
        <v>0</v>
      </c>
      <c r="AY12" s="359">
        <v>0</v>
      </c>
      <c r="AZ12" s="363">
        <v>308.10000000000002</v>
      </c>
      <c r="BA12" s="357">
        <v>0</v>
      </c>
      <c r="BB12" s="358">
        <v>0.63263888888888886</v>
      </c>
      <c r="BC12" s="358">
        <v>0</v>
      </c>
      <c r="BD12" s="362">
        <v>0.64118055555555553</v>
      </c>
      <c r="BE12" s="362">
        <v>0.64065972222222223</v>
      </c>
      <c r="BF12" s="354" t="s">
        <v>718</v>
      </c>
      <c r="BG12" s="362">
        <v>5.2082538604736328E-4</v>
      </c>
      <c r="BH12" s="363">
        <v>45</v>
      </c>
      <c r="BI12" s="364">
        <v>0.65182870370370372</v>
      </c>
      <c r="BJ12" s="362">
        <v>0.66182870370370372</v>
      </c>
      <c r="BK12" s="359" t="s">
        <v>719</v>
      </c>
      <c r="BL12" s="362">
        <v>9.9999904632568359E-3</v>
      </c>
      <c r="BM12" s="363">
        <v>600</v>
      </c>
      <c r="BN12" s="364">
        <v>0.67318287037037039</v>
      </c>
      <c r="BO12" s="362">
        <v>0.67292824074074076</v>
      </c>
      <c r="BP12" s="359" t="s">
        <v>718</v>
      </c>
      <c r="BQ12" s="362">
        <v>2.5463104248046875E-4</v>
      </c>
      <c r="BR12" s="363">
        <v>22</v>
      </c>
      <c r="BS12" s="366" t="s">
        <v>714</v>
      </c>
      <c r="BT12" s="363">
        <v>1230</v>
      </c>
      <c r="BU12" s="357">
        <v>0.52777777777777779</v>
      </c>
      <c r="BV12" s="361">
        <v>0</v>
      </c>
      <c r="BW12" s="357">
        <v>0.53055555555555556</v>
      </c>
      <c r="BX12" s="361">
        <v>0</v>
      </c>
      <c r="BY12" s="357">
        <v>0.58819444444444446</v>
      </c>
      <c r="BZ12" s="361">
        <v>0</v>
      </c>
      <c r="CA12" s="357">
        <v>0.59236109256744385</v>
      </c>
      <c r="CB12" s="358">
        <v>0.59722222222222221</v>
      </c>
      <c r="CC12" s="358">
        <v>8.3333333333333332E-3</v>
      </c>
      <c r="CD12" s="359" t="s">
        <v>719</v>
      </c>
      <c r="CE12" s="358">
        <v>4.8611164093017578E-3</v>
      </c>
      <c r="CF12" s="361">
        <v>0</v>
      </c>
    </row>
    <row r="13" spans="1:84" s="367" customFormat="1" x14ac:dyDescent="0.25">
      <c r="A13" s="380">
        <v>11</v>
      </c>
      <c r="B13" s="381" t="s">
        <v>593</v>
      </c>
      <c r="C13" s="381" t="s">
        <v>595</v>
      </c>
      <c r="D13" s="381" t="s">
        <v>615</v>
      </c>
      <c r="E13" s="381" t="s">
        <v>208</v>
      </c>
      <c r="F13" s="381" t="s">
        <v>643</v>
      </c>
      <c r="G13" s="382">
        <v>3459.9</v>
      </c>
      <c r="H13" s="382">
        <v>900</v>
      </c>
      <c r="I13" s="382">
        <v>2559.9</v>
      </c>
      <c r="J13" s="382">
        <v>0</v>
      </c>
      <c r="K13" s="383">
        <v>0.50763888888888886</v>
      </c>
      <c r="L13" s="152">
        <v>0.50763888888888886</v>
      </c>
      <c r="M13" s="384" t="s">
        <v>112</v>
      </c>
      <c r="N13" s="152">
        <v>0</v>
      </c>
      <c r="O13" s="385">
        <v>0</v>
      </c>
      <c r="P13" s="152">
        <v>8.3333335816860199E-2</v>
      </c>
      <c r="Q13" s="152">
        <v>0</v>
      </c>
      <c r="R13" s="383">
        <v>0.59097222470574906</v>
      </c>
      <c r="S13" s="152">
        <v>0</v>
      </c>
      <c r="T13" s="384" t="s">
        <v>112</v>
      </c>
      <c r="U13" s="152">
        <v>0</v>
      </c>
      <c r="V13" s="385">
        <v>900</v>
      </c>
      <c r="W13" s="152">
        <v>8.3333335816860199E-2</v>
      </c>
      <c r="X13" s="152">
        <v>1.3889074325561523E-3</v>
      </c>
      <c r="Y13" s="152">
        <v>1.3889074325561523E-3</v>
      </c>
      <c r="Z13" s="383">
        <v>0.67430556052260926</v>
      </c>
      <c r="AA13" s="152">
        <v>0.6743055555555556</v>
      </c>
      <c r="AB13" s="384" t="s">
        <v>112</v>
      </c>
      <c r="AC13" s="152">
        <v>0</v>
      </c>
      <c r="AD13" s="385">
        <v>0</v>
      </c>
      <c r="AE13" s="383">
        <v>0</v>
      </c>
      <c r="AF13" s="152">
        <v>0.54513888888888895</v>
      </c>
      <c r="AG13" s="152">
        <v>0</v>
      </c>
      <c r="AH13" s="386">
        <v>0.55752314814814818</v>
      </c>
      <c r="AI13" s="386">
        <v>0.55744212962962958</v>
      </c>
      <c r="AJ13" s="380" t="s">
        <v>718</v>
      </c>
      <c r="AK13" s="386">
        <v>8.1002712249755859E-5</v>
      </c>
      <c r="AL13" s="387">
        <v>7</v>
      </c>
      <c r="AM13" s="388">
        <v>0.56101851851851847</v>
      </c>
      <c r="AN13" s="386">
        <v>0.56159722222222219</v>
      </c>
      <c r="AO13" s="384" t="s">
        <v>719</v>
      </c>
      <c r="AP13" s="386">
        <v>5.7870149612426758E-4</v>
      </c>
      <c r="AQ13" s="387">
        <v>50</v>
      </c>
      <c r="AR13" s="383">
        <v>0</v>
      </c>
      <c r="AS13" s="152">
        <v>0</v>
      </c>
      <c r="AT13" s="152">
        <v>0</v>
      </c>
      <c r="AU13" s="389">
        <v>24.3</v>
      </c>
      <c r="AV13" s="389">
        <v>0</v>
      </c>
      <c r="AW13" s="389">
        <v>2</v>
      </c>
      <c r="AX13" s="384">
        <v>0</v>
      </c>
      <c r="AY13" s="384">
        <v>0</v>
      </c>
      <c r="AZ13" s="387">
        <v>102.9</v>
      </c>
      <c r="BA13" s="383">
        <v>0.61597222222222225</v>
      </c>
      <c r="BB13" s="152">
        <v>0.61736111111111114</v>
      </c>
      <c r="BC13" s="152">
        <v>1.3889074325561523E-3</v>
      </c>
      <c r="BD13" s="386">
        <v>0.62590277777777781</v>
      </c>
      <c r="BE13" s="386">
        <v>0.635625</v>
      </c>
      <c r="BF13" s="380" t="s">
        <v>719</v>
      </c>
      <c r="BG13" s="386">
        <v>9.7222328186035156E-3</v>
      </c>
      <c r="BH13" s="387">
        <v>600</v>
      </c>
      <c r="BI13" s="388">
        <v>0.64679398148148148</v>
      </c>
      <c r="BJ13" s="386">
        <v>0</v>
      </c>
      <c r="BK13" s="384" t="s">
        <v>112</v>
      </c>
      <c r="BL13" s="386">
        <v>0</v>
      </c>
      <c r="BM13" s="387">
        <v>1800</v>
      </c>
      <c r="BN13" s="388">
        <v>0</v>
      </c>
      <c r="BO13" s="386">
        <v>0.64811342592592591</v>
      </c>
      <c r="BP13" s="384" t="s">
        <v>112</v>
      </c>
      <c r="BQ13" s="386">
        <v>0</v>
      </c>
      <c r="BR13" s="387">
        <v>0</v>
      </c>
      <c r="BS13" s="390">
        <v>0</v>
      </c>
      <c r="BT13" s="387">
        <v>0</v>
      </c>
      <c r="BU13" s="383">
        <v>0.52222222222222225</v>
      </c>
      <c r="BV13" s="391">
        <v>0</v>
      </c>
      <c r="BW13" s="383">
        <v>0.52638888888888891</v>
      </c>
      <c r="BX13" s="391">
        <v>0</v>
      </c>
      <c r="BY13" s="383">
        <v>0.58194444444444449</v>
      </c>
      <c r="BZ13" s="391">
        <v>0</v>
      </c>
      <c r="CA13" s="383">
        <v>0.58888888359069824</v>
      </c>
      <c r="CB13" s="152">
        <v>0.59097222222222223</v>
      </c>
      <c r="CC13" s="152">
        <v>8.3333333333333332E-3</v>
      </c>
      <c r="CD13" s="384" t="s">
        <v>719</v>
      </c>
      <c r="CE13" s="152">
        <v>2.0833611488342285E-3</v>
      </c>
      <c r="CF13" s="391">
        <v>0</v>
      </c>
    </row>
    <row r="14" spans="1:84" s="22" customFormat="1" x14ac:dyDescent="0.25">
      <c r="A14" s="354">
        <v>18</v>
      </c>
      <c r="B14" s="355" t="s">
        <v>652</v>
      </c>
      <c r="C14" s="355" t="s">
        <v>654</v>
      </c>
      <c r="D14" s="355" t="s">
        <v>655</v>
      </c>
      <c r="E14" s="355" t="s">
        <v>6</v>
      </c>
      <c r="F14" s="355" t="s">
        <v>643</v>
      </c>
      <c r="G14" s="356">
        <v>3892.9</v>
      </c>
      <c r="H14" s="356">
        <v>2700</v>
      </c>
      <c r="I14" s="356">
        <v>1192.9000000000001</v>
      </c>
      <c r="J14" s="356">
        <v>0</v>
      </c>
      <c r="K14" s="357">
        <v>0.51249999999999996</v>
      </c>
      <c r="L14" s="358">
        <v>0.51250000000000007</v>
      </c>
      <c r="M14" s="359" t="s">
        <v>112</v>
      </c>
      <c r="N14" s="358">
        <v>0</v>
      </c>
      <c r="O14" s="360">
        <v>0</v>
      </c>
      <c r="P14" s="358">
        <v>8.3333335816860199E-2</v>
      </c>
      <c r="Q14" s="358">
        <v>0</v>
      </c>
      <c r="R14" s="357">
        <v>0.59583333581686027</v>
      </c>
      <c r="S14" s="358">
        <v>0</v>
      </c>
      <c r="T14" s="359" t="s">
        <v>112</v>
      </c>
      <c r="U14" s="358">
        <v>0</v>
      </c>
      <c r="V14" s="360">
        <v>900</v>
      </c>
      <c r="W14" s="358">
        <v>8.3333335816860199E-2</v>
      </c>
      <c r="X14" s="358">
        <v>1.388847827911377E-3</v>
      </c>
      <c r="Y14" s="358">
        <v>1.388847827911377E-3</v>
      </c>
      <c r="Z14" s="357">
        <v>0.67916667163372046</v>
      </c>
      <c r="AA14" s="358">
        <v>0.6791666666666667</v>
      </c>
      <c r="AB14" s="359" t="s">
        <v>112</v>
      </c>
      <c r="AC14" s="358">
        <v>0</v>
      </c>
      <c r="AD14" s="360">
        <v>0</v>
      </c>
      <c r="AE14" s="357">
        <v>0</v>
      </c>
      <c r="AF14" s="358">
        <v>0.53611111111111109</v>
      </c>
      <c r="AG14" s="358">
        <v>0</v>
      </c>
      <c r="AH14" s="362">
        <v>0.54849537037037033</v>
      </c>
      <c r="AI14" s="362">
        <v>0.54666666666666663</v>
      </c>
      <c r="AJ14" s="354" t="s">
        <v>718</v>
      </c>
      <c r="AK14" s="362">
        <v>1.8286705017089844E-3</v>
      </c>
      <c r="AL14" s="363">
        <v>158</v>
      </c>
      <c r="AM14" s="364">
        <v>0.55024305555555553</v>
      </c>
      <c r="AN14" s="362">
        <v>0.5529398148148148</v>
      </c>
      <c r="AO14" s="359" t="s">
        <v>719</v>
      </c>
      <c r="AP14" s="362">
        <v>2.6967525482177734E-3</v>
      </c>
      <c r="AQ14" s="363">
        <v>233</v>
      </c>
      <c r="AR14" s="357">
        <v>0</v>
      </c>
      <c r="AS14" s="358">
        <v>0</v>
      </c>
      <c r="AT14" s="358">
        <v>0</v>
      </c>
      <c r="AU14" s="365">
        <v>51.3</v>
      </c>
      <c r="AV14" s="365">
        <v>0</v>
      </c>
      <c r="AW14" s="365">
        <v>0</v>
      </c>
      <c r="AX14" s="359">
        <v>0</v>
      </c>
      <c r="AY14" s="359">
        <v>0</v>
      </c>
      <c r="AZ14" s="363">
        <v>153.89999999999998</v>
      </c>
      <c r="BA14" s="357">
        <v>0.62708333333333333</v>
      </c>
      <c r="BB14" s="358">
        <v>0.62847222222222221</v>
      </c>
      <c r="BC14" s="358">
        <v>1.388847827911377E-3</v>
      </c>
      <c r="BD14" s="362">
        <v>0.63701388888888888</v>
      </c>
      <c r="BE14" s="362">
        <v>0.64170138888888884</v>
      </c>
      <c r="BF14" s="354" t="s">
        <v>719</v>
      </c>
      <c r="BG14" s="362">
        <v>4.6874880790710449E-3</v>
      </c>
      <c r="BH14" s="363">
        <v>405</v>
      </c>
      <c r="BI14" s="364">
        <v>0.65287037037037032</v>
      </c>
      <c r="BJ14" s="362">
        <v>0.65353009259259254</v>
      </c>
      <c r="BK14" s="359" t="s">
        <v>719</v>
      </c>
      <c r="BL14" s="362">
        <v>6.5976381301879883E-4</v>
      </c>
      <c r="BM14" s="363">
        <v>57</v>
      </c>
      <c r="BN14" s="364">
        <v>0.6648842592592592</v>
      </c>
      <c r="BO14" s="362">
        <v>0.66703703703703709</v>
      </c>
      <c r="BP14" s="359" t="s">
        <v>719</v>
      </c>
      <c r="BQ14" s="362">
        <v>2.1527409553527832E-3</v>
      </c>
      <c r="BR14" s="363">
        <v>186</v>
      </c>
      <c r="BS14" s="366">
        <v>0</v>
      </c>
      <c r="BT14" s="363">
        <v>0</v>
      </c>
      <c r="BU14" s="357">
        <v>0</v>
      </c>
      <c r="BV14" s="361">
        <v>900</v>
      </c>
      <c r="BW14" s="357">
        <v>0</v>
      </c>
      <c r="BX14" s="361">
        <v>900</v>
      </c>
      <c r="BY14" s="357">
        <v>0.58194444444444449</v>
      </c>
      <c r="BZ14" s="361">
        <v>0</v>
      </c>
      <c r="CA14" s="357">
        <v>0.59375</v>
      </c>
      <c r="CB14" s="358">
        <v>0.59583333333333333</v>
      </c>
      <c r="CC14" s="358">
        <v>8.3333333333333332E-3</v>
      </c>
      <c r="CD14" s="359" t="s">
        <v>719</v>
      </c>
      <c r="CE14" s="358">
        <v>2.0833611488342285E-3</v>
      </c>
      <c r="CF14" s="361">
        <v>0</v>
      </c>
    </row>
    <row r="15" spans="1:84" s="367" customFormat="1" x14ac:dyDescent="0.25">
      <c r="A15" s="354">
        <v>10</v>
      </c>
      <c r="B15" s="355" t="s">
        <v>590</v>
      </c>
      <c r="C15" s="355" t="s">
        <v>592</v>
      </c>
      <c r="D15" s="355" t="s">
        <v>613</v>
      </c>
      <c r="E15" s="355" t="s">
        <v>611</v>
      </c>
      <c r="F15" s="355" t="s">
        <v>643</v>
      </c>
      <c r="G15" s="356">
        <v>5027.8999999999996</v>
      </c>
      <c r="H15" s="356">
        <v>1500</v>
      </c>
      <c r="I15" s="356">
        <v>3527.9</v>
      </c>
      <c r="J15" s="356">
        <v>0</v>
      </c>
      <c r="K15" s="357">
        <v>0.50694444444444442</v>
      </c>
      <c r="L15" s="358">
        <v>0.50694444444444442</v>
      </c>
      <c r="M15" s="359" t="s">
        <v>112</v>
      </c>
      <c r="N15" s="358">
        <v>0</v>
      </c>
      <c r="O15" s="360">
        <v>0</v>
      </c>
      <c r="P15" s="358">
        <v>8.3333335816860199E-2</v>
      </c>
      <c r="Q15" s="358">
        <v>2.0833015441894531E-3</v>
      </c>
      <c r="R15" s="357">
        <v>0.59027778026130462</v>
      </c>
      <c r="S15" s="358">
        <v>0.62430555555555556</v>
      </c>
      <c r="T15" s="359" t="s">
        <v>719</v>
      </c>
      <c r="U15" s="358">
        <v>3.4027755260467529E-2</v>
      </c>
      <c r="V15" s="360">
        <v>600</v>
      </c>
      <c r="W15" s="358">
        <v>8.3333335816860199E-2</v>
      </c>
      <c r="X15" s="358">
        <v>0</v>
      </c>
      <c r="Y15" s="358">
        <v>0</v>
      </c>
      <c r="Z15" s="357">
        <v>0.70763889137241576</v>
      </c>
      <c r="AA15" s="358">
        <v>0.69930555555555562</v>
      </c>
      <c r="AB15" s="359" t="s">
        <v>718</v>
      </c>
      <c r="AC15" s="358">
        <v>8.3333253860473633E-3</v>
      </c>
      <c r="AD15" s="360">
        <v>0</v>
      </c>
      <c r="AE15" s="357">
        <v>0.53611111111111109</v>
      </c>
      <c r="AF15" s="358">
        <v>0.53819444444444442</v>
      </c>
      <c r="AG15" s="358">
        <v>2.0833015441894531E-3</v>
      </c>
      <c r="AH15" s="362">
        <v>0.55057870370370365</v>
      </c>
      <c r="AI15" s="362">
        <v>0.55511574074074077</v>
      </c>
      <c r="AJ15" s="354" t="s">
        <v>719</v>
      </c>
      <c r="AK15" s="362">
        <v>4.537045955657959E-3</v>
      </c>
      <c r="AL15" s="363">
        <v>392</v>
      </c>
      <c r="AM15" s="364">
        <v>0.55869212962962966</v>
      </c>
      <c r="AN15" s="362">
        <v>0.57511574074074068</v>
      </c>
      <c r="AO15" s="359" t="s">
        <v>719</v>
      </c>
      <c r="AP15" s="362">
        <v>1.6423583030700684E-2</v>
      </c>
      <c r="AQ15" s="363">
        <v>600</v>
      </c>
      <c r="AR15" s="357">
        <v>0</v>
      </c>
      <c r="AS15" s="358">
        <v>0</v>
      </c>
      <c r="AT15" s="358">
        <v>0</v>
      </c>
      <c r="AU15" s="365">
        <v>35.299999999999997</v>
      </c>
      <c r="AV15" s="365">
        <v>0</v>
      </c>
      <c r="AW15" s="365">
        <v>2</v>
      </c>
      <c r="AX15" s="359">
        <v>0</v>
      </c>
      <c r="AY15" s="359">
        <v>0</v>
      </c>
      <c r="AZ15" s="363">
        <v>135.89999999999998</v>
      </c>
      <c r="BA15" s="357">
        <v>0</v>
      </c>
      <c r="BB15" s="358">
        <v>0.65069444444444446</v>
      </c>
      <c r="BC15" s="358">
        <v>0</v>
      </c>
      <c r="BD15" s="362">
        <v>0.65923611111111113</v>
      </c>
      <c r="BE15" s="362">
        <v>0.66901620370370374</v>
      </c>
      <c r="BF15" s="354" t="s">
        <v>719</v>
      </c>
      <c r="BG15" s="362">
        <v>9.7800493240356445E-3</v>
      </c>
      <c r="BH15" s="363">
        <v>600</v>
      </c>
      <c r="BI15" s="364">
        <v>0.68018518518518523</v>
      </c>
      <c r="BJ15" s="362">
        <v>0</v>
      </c>
      <c r="BK15" s="359" t="s">
        <v>112</v>
      </c>
      <c r="BL15" s="362">
        <v>0</v>
      </c>
      <c r="BM15" s="363">
        <v>1800</v>
      </c>
      <c r="BN15" s="364">
        <v>0</v>
      </c>
      <c r="BO15" s="362">
        <v>0.68333333333333324</v>
      </c>
      <c r="BP15" s="359" t="s">
        <v>112</v>
      </c>
      <c r="BQ15" s="362">
        <v>0</v>
      </c>
      <c r="BR15" s="363">
        <v>0</v>
      </c>
      <c r="BS15" s="366">
        <v>0</v>
      </c>
      <c r="BT15" s="363">
        <v>0</v>
      </c>
      <c r="BU15" s="357">
        <v>0.52152777777777781</v>
      </c>
      <c r="BV15" s="361">
        <v>0</v>
      </c>
      <c r="BW15" s="357">
        <v>0.52638888888888891</v>
      </c>
      <c r="BX15" s="361">
        <v>0</v>
      </c>
      <c r="BY15" s="357">
        <v>0</v>
      </c>
      <c r="BZ15" s="361">
        <v>900</v>
      </c>
      <c r="CA15" s="357">
        <v>0.58819442987442017</v>
      </c>
      <c r="CB15" s="358">
        <v>0.62361111111111112</v>
      </c>
      <c r="CC15" s="358">
        <v>8.3333333333333332E-3</v>
      </c>
      <c r="CD15" s="359" t="s">
        <v>719</v>
      </c>
      <c r="CE15" s="358">
        <v>3.5416662693023682E-2</v>
      </c>
      <c r="CF15" s="361">
        <v>0</v>
      </c>
    </row>
    <row r="16" spans="1:84" s="22" customFormat="1" x14ac:dyDescent="0.25">
      <c r="A16" s="380">
        <v>15</v>
      </c>
      <c r="B16" s="381" t="s">
        <v>119</v>
      </c>
      <c r="C16" s="381" t="s">
        <v>86</v>
      </c>
      <c r="D16" s="381" t="s">
        <v>588</v>
      </c>
      <c r="E16" s="381" t="s">
        <v>6</v>
      </c>
      <c r="F16" s="381" t="s">
        <v>643</v>
      </c>
      <c r="G16" s="382">
        <v>6685.6</v>
      </c>
      <c r="H16" s="382">
        <v>3600</v>
      </c>
      <c r="I16" s="382">
        <v>2785.6</v>
      </c>
      <c r="J16" s="382">
        <v>300</v>
      </c>
      <c r="K16" s="383">
        <v>0.51041666666666663</v>
      </c>
      <c r="L16" s="152">
        <v>0.51041666666666663</v>
      </c>
      <c r="M16" s="384" t="s">
        <v>112</v>
      </c>
      <c r="N16" s="152">
        <v>0</v>
      </c>
      <c r="O16" s="385">
        <v>0</v>
      </c>
      <c r="P16" s="152">
        <v>8.3333335816860199E-2</v>
      </c>
      <c r="Q16" s="152">
        <v>0</v>
      </c>
      <c r="R16" s="383">
        <v>0.59375000248352683</v>
      </c>
      <c r="S16" s="152">
        <v>0</v>
      </c>
      <c r="T16" s="384" t="s">
        <v>112</v>
      </c>
      <c r="U16" s="152">
        <v>0</v>
      </c>
      <c r="V16" s="385">
        <v>900</v>
      </c>
      <c r="W16" s="152">
        <v>8.3333335816860199E-2</v>
      </c>
      <c r="X16" s="152">
        <v>0</v>
      </c>
      <c r="Y16" s="152">
        <v>0</v>
      </c>
      <c r="Z16" s="383">
        <v>0.67708333830038703</v>
      </c>
      <c r="AA16" s="152">
        <v>0.67499999999999993</v>
      </c>
      <c r="AB16" s="384" t="s">
        <v>718</v>
      </c>
      <c r="AC16" s="152">
        <v>2.0833015441894531E-3</v>
      </c>
      <c r="AD16" s="385">
        <v>0</v>
      </c>
      <c r="AE16" s="383">
        <v>0</v>
      </c>
      <c r="AF16" s="152">
        <v>0.53541666666666665</v>
      </c>
      <c r="AG16" s="152">
        <v>0</v>
      </c>
      <c r="AH16" s="386">
        <v>0.54780092592592589</v>
      </c>
      <c r="AI16" s="386">
        <v>0.54475694444444445</v>
      </c>
      <c r="AJ16" s="380" t="s">
        <v>718</v>
      </c>
      <c r="AK16" s="386">
        <v>3.0439496040344238E-3</v>
      </c>
      <c r="AL16" s="387">
        <v>263</v>
      </c>
      <c r="AM16" s="388">
        <v>0.54833333333333334</v>
      </c>
      <c r="AN16" s="386">
        <v>0.54775462962962962</v>
      </c>
      <c r="AO16" s="384" t="s">
        <v>718</v>
      </c>
      <c r="AP16" s="386">
        <v>5.7870149612426758E-4</v>
      </c>
      <c r="AQ16" s="387">
        <v>50</v>
      </c>
      <c r="AR16" s="383">
        <v>0</v>
      </c>
      <c r="AS16" s="152">
        <v>0</v>
      </c>
      <c r="AT16" s="152">
        <v>0</v>
      </c>
      <c r="AU16" s="389">
        <v>19.2</v>
      </c>
      <c r="AV16" s="389">
        <v>0</v>
      </c>
      <c r="AW16" s="389">
        <v>1</v>
      </c>
      <c r="AX16" s="384">
        <v>0</v>
      </c>
      <c r="AY16" s="384">
        <v>0</v>
      </c>
      <c r="AZ16" s="387">
        <v>72.599999999999994</v>
      </c>
      <c r="BA16" s="383">
        <v>0</v>
      </c>
      <c r="BB16" s="152">
        <v>0.61875000000000002</v>
      </c>
      <c r="BC16" s="152">
        <v>0</v>
      </c>
      <c r="BD16" s="386">
        <v>0.62729166666666669</v>
      </c>
      <c r="BE16" s="386">
        <v>0.63942129629629629</v>
      </c>
      <c r="BF16" s="380" t="s">
        <v>719</v>
      </c>
      <c r="BG16" s="386">
        <v>1.2129604816436768E-2</v>
      </c>
      <c r="BH16" s="387">
        <v>600</v>
      </c>
      <c r="BI16" s="388">
        <v>0.65059027777777778</v>
      </c>
      <c r="BJ16" s="386">
        <v>0</v>
      </c>
      <c r="BK16" s="384" t="s">
        <v>112</v>
      </c>
      <c r="BL16" s="386">
        <v>0</v>
      </c>
      <c r="BM16" s="387">
        <v>1800</v>
      </c>
      <c r="BN16" s="388">
        <v>0</v>
      </c>
      <c r="BO16" s="386">
        <v>0.64870370370370367</v>
      </c>
      <c r="BP16" s="384" t="s">
        <v>112</v>
      </c>
      <c r="BQ16" s="386">
        <v>0</v>
      </c>
      <c r="BR16" s="387">
        <v>0</v>
      </c>
      <c r="BS16" s="390" t="s">
        <v>711</v>
      </c>
      <c r="BT16" s="387">
        <v>300</v>
      </c>
      <c r="BU16" s="383">
        <v>0</v>
      </c>
      <c r="BV16" s="391">
        <v>900</v>
      </c>
      <c r="BW16" s="383">
        <v>0</v>
      </c>
      <c r="BX16" s="391">
        <v>900</v>
      </c>
      <c r="BY16" s="383">
        <v>0</v>
      </c>
      <c r="BZ16" s="391">
        <v>900</v>
      </c>
      <c r="CA16" s="383">
        <v>0.59166663885116577</v>
      </c>
      <c r="CB16" s="152">
        <v>0.59305555555555556</v>
      </c>
      <c r="CC16" s="152">
        <v>8.3333333333333332E-3</v>
      </c>
      <c r="CD16" s="384" t="s">
        <v>719</v>
      </c>
      <c r="CE16" s="152">
        <v>1.3889074325561523E-3</v>
      </c>
      <c r="CF16" s="391">
        <v>0</v>
      </c>
    </row>
    <row r="17" spans="1:84" s="367" customFormat="1" x14ac:dyDescent="0.25">
      <c r="A17" s="380">
        <v>25</v>
      </c>
      <c r="B17" s="381" t="s">
        <v>218</v>
      </c>
      <c r="C17" s="381" t="s">
        <v>29</v>
      </c>
      <c r="D17" s="381" t="s">
        <v>30</v>
      </c>
      <c r="E17" s="381" t="s">
        <v>6</v>
      </c>
      <c r="F17" s="381" t="s">
        <v>642</v>
      </c>
      <c r="G17" s="382">
        <v>692.1</v>
      </c>
      <c r="H17" s="382">
        <v>0</v>
      </c>
      <c r="I17" s="382">
        <v>392.1</v>
      </c>
      <c r="J17" s="382">
        <v>300</v>
      </c>
      <c r="K17" s="383">
        <v>0.51736111111111105</v>
      </c>
      <c r="L17" s="152">
        <v>0.51736111111111105</v>
      </c>
      <c r="M17" s="384" t="s">
        <v>112</v>
      </c>
      <c r="N17" s="152">
        <v>0</v>
      </c>
      <c r="O17" s="385">
        <v>0</v>
      </c>
      <c r="P17" s="152">
        <v>8.3333335816860199E-2</v>
      </c>
      <c r="Q17" s="152">
        <v>1.388847827911377E-3</v>
      </c>
      <c r="R17" s="383">
        <v>0.60069444692797125</v>
      </c>
      <c r="S17" s="152">
        <v>0.60138888888888886</v>
      </c>
      <c r="T17" s="384" t="s">
        <v>719</v>
      </c>
      <c r="U17" s="152">
        <v>6.9445371627807617E-4</v>
      </c>
      <c r="V17" s="385">
        <v>0</v>
      </c>
      <c r="W17" s="152">
        <v>8.3333335816860199E-2</v>
      </c>
      <c r="X17" s="152">
        <v>1.7361111111111049E-2</v>
      </c>
      <c r="Y17" s="152">
        <v>1.7361111111111049E-2</v>
      </c>
      <c r="Z17" s="383">
        <v>0.68472222470574906</v>
      </c>
      <c r="AA17" s="152">
        <v>0.68472222222222223</v>
      </c>
      <c r="AB17" s="384" t="s">
        <v>112</v>
      </c>
      <c r="AC17" s="152">
        <v>0</v>
      </c>
      <c r="AD17" s="385">
        <v>0</v>
      </c>
      <c r="AE17" s="383">
        <v>0.54583333333333328</v>
      </c>
      <c r="AF17" s="152">
        <v>0.54722222222222217</v>
      </c>
      <c r="AG17" s="152">
        <v>1.388847827911377E-3</v>
      </c>
      <c r="AH17" s="386">
        <v>0.5596064814814814</v>
      </c>
      <c r="AI17" s="386">
        <v>0.55918981481481478</v>
      </c>
      <c r="AJ17" s="380" t="s">
        <v>718</v>
      </c>
      <c r="AK17" s="386">
        <v>4.1669607162475586E-4</v>
      </c>
      <c r="AL17" s="387">
        <v>36</v>
      </c>
      <c r="AM17" s="388">
        <v>0.56276620370370367</v>
      </c>
      <c r="AN17" s="386">
        <v>0.56412037037037044</v>
      </c>
      <c r="AO17" s="384" t="s">
        <v>719</v>
      </c>
      <c r="AP17" s="386">
        <v>1.3541579246520996E-3</v>
      </c>
      <c r="AQ17" s="387">
        <v>117</v>
      </c>
      <c r="AR17" s="383">
        <v>0.6166666666666667</v>
      </c>
      <c r="AS17" s="152">
        <v>0.63402777777777775</v>
      </c>
      <c r="AT17" s="152">
        <v>1.7361111111111049E-2</v>
      </c>
      <c r="AU17" s="389">
        <v>36.700000000000003</v>
      </c>
      <c r="AV17" s="389">
        <v>0</v>
      </c>
      <c r="AW17" s="389">
        <v>1</v>
      </c>
      <c r="AX17" s="384">
        <v>0</v>
      </c>
      <c r="AY17" s="384">
        <v>0</v>
      </c>
      <c r="AZ17" s="387">
        <v>125.10000000000001</v>
      </c>
      <c r="BA17" s="383">
        <v>0</v>
      </c>
      <c r="BB17" s="152">
        <v>0.63958333333333328</v>
      </c>
      <c r="BC17" s="152">
        <v>0</v>
      </c>
      <c r="BD17" s="386">
        <v>0.64812499999999995</v>
      </c>
      <c r="BE17" s="386">
        <v>0.64872685185185186</v>
      </c>
      <c r="BF17" s="380" t="s">
        <v>719</v>
      </c>
      <c r="BG17" s="386">
        <v>6.0188770294189453E-4</v>
      </c>
      <c r="BH17" s="387">
        <v>52</v>
      </c>
      <c r="BI17" s="388">
        <v>0.65989583333333335</v>
      </c>
      <c r="BJ17" s="386">
        <v>0.6604282407407408</v>
      </c>
      <c r="BK17" s="384" t="s">
        <v>719</v>
      </c>
      <c r="BL17" s="386">
        <v>5.3238868713378906E-4</v>
      </c>
      <c r="BM17" s="387">
        <v>46</v>
      </c>
      <c r="BN17" s="388">
        <v>0.67178240740740747</v>
      </c>
      <c r="BO17" s="386">
        <v>0.67196759259259264</v>
      </c>
      <c r="BP17" s="384" t="s">
        <v>719</v>
      </c>
      <c r="BQ17" s="386">
        <v>1.8513202667236328E-4</v>
      </c>
      <c r="BR17" s="387">
        <v>16</v>
      </c>
      <c r="BS17" s="390" t="s">
        <v>710</v>
      </c>
      <c r="BT17" s="387">
        <v>300</v>
      </c>
      <c r="BU17" s="383">
        <v>0.53194444444444444</v>
      </c>
      <c r="BV17" s="391">
        <v>0</v>
      </c>
      <c r="BW17" s="383">
        <v>0.53541666666666665</v>
      </c>
      <c r="BX17" s="391">
        <v>0</v>
      </c>
      <c r="BY17" s="383">
        <v>0.5854166666666667</v>
      </c>
      <c r="BZ17" s="391">
        <v>0</v>
      </c>
      <c r="CA17" s="383">
        <v>0.59861111640930176</v>
      </c>
      <c r="CB17" s="152">
        <v>0.6</v>
      </c>
      <c r="CC17" s="152">
        <v>8.3333333333333332E-3</v>
      </c>
      <c r="CD17" s="384" t="s">
        <v>719</v>
      </c>
      <c r="CE17" s="152">
        <v>1.3889074325561523E-3</v>
      </c>
      <c r="CF17" s="391">
        <v>0</v>
      </c>
    </row>
    <row r="18" spans="1:84" s="22" customFormat="1" x14ac:dyDescent="0.25">
      <c r="A18" s="354">
        <v>28</v>
      </c>
      <c r="B18" s="355" t="s">
        <v>671</v>
      </c>
      <c r="C18" s="355" t="s">
        <v>673</v>
      </c>
      <c r="D18" s="355" t="s">
        <v>674</v>
      </c>
      <c r="E18" s="355" t="s">
        <v>6</v>
      </c>
      <c r="F18" s="355" t="s">
        <v>642</v>
      </c>
      <c r="G18" s="356">
        <v>1212.5</v>
      </c>
      <c r="H18" s="356">
        <v>0</v>
      </c>
      <c r="I18" s="356">
        <v>882.5</v>
      </c>
      <c r="J18" s="356">
        <v>330</v>
      </c>
      <c r="K18" s="357">
        <v>0.51944444444444438</v>
      </c>
      <c r="L18" s="358">
        <v>0.51944444444444449</v>
      </c>
      <c r="M18" s="359" t="s">
        <v>112</v>
      </c>
      <c r="N18" s="358">
        <v>0</v>
      </c>
      <c r="O18" s="360">
        <v>0</v>
      </c>
      <c r="P18" s="358">
        <v>8.3333335816860199E-2</v>
      </c>
      <c r="Q18" s="358">
        <v>1.3889074325561523E-3</v>
      </c>
      <c r="R18" s="357">
        <v>0.60277778026130469</v>
      </c>
      <c r="S18" s="358">
        <v>0.60277777777777775</v>
      </c>
      <c r="T18" s="359" t="s">
        <v>112</v>
      </c>
      <c r="U18" s="358">
        <v>0</v>
      </c>
      <c r="V18" s="360">
        <v>0</v>
      </c>
      <c r="W18" s="358">
        <v>8.3333335816860199E-2</v>
      </c>
      <c r="X18" s="358">
        <v>0</v>
      </c>
      <c r="Y18" s="358">
        <v>0</v>
      </c>
      <c r="Z18" s="357">
        <v>0.68611111359463794</v>
      </c>
      <c r="AA18" s="358">
        <v>0.68541666666666667</v>
      </c>
      <c r="AB18" s="359" t="s">
        <v>718</v>
      </c>
      <c r="AC18" s="358">
        <v>6.9445371627807617E-4</v>
      </c>
      <c r="AD18" s="360">
        <v>0</v>
      </c>
      <c r="AE18" s="357">
        <v>0.54513888888888895</v>
      </c>
      <c r="AF18" s="358">
        <v>0.54652777777777783</v>
      </c>
      <c r="AG18" s="358">
        <v>1.3889074325561523E-3</v>
      </c>
      <c r="AH18" s="362">
        <v>0.55891203703703707</v>
      </c>
      <c r="AI18" s="362">
        <v>0.55914351851851851</v>
      </c>
      <c r="AJ18" s="354" t="s">
        <v>719</v>
      </c>
      <c r="AK18" s="362">
        <v>2.3150444030761719E-4</v>
      </c>
      <c r="AL18" s="363">
        <v>20</v>
      </c>
      <c r="AM18" s="364">
        <v>0.5627199074074074</v>
      </c>
      <c r="AN18" s="362">
        <v>0.56178240740740737</v>
      </c>
      <c r="AO18" s="359" t="s">
        <v>718</v>
      </c>
      <c r="AP18" s="362">
        <v>9.3746185302734375E-4</v>
      </c>
      <c r="AQ18" s="363">
        <v>81</v>
      </c>
      <c r="AR18" s="357">
        <v>0</v>
      </c>
      <c r="AS18" s="358">
        <v>0</v>
      </c>
      <c r="AT18" s="358">
        <v>0</v>
      </c>
      <c r="AU18" s="365">
        <v>9.5</v>
      </c>
      <c r="AV18" s="365">
        <v>0</v>
      </c>
      <c r="AW18" s="365">
        <v>2</v>
      </c>
      <c r="AX18" s="359">
        <v>0</v>
      </c>
      <c r="AY18" s="359">
        <v>0</v>
      </c>
      <c r="AZ18" s="363">
        <v>58.5</v>
      </c>
      <c r="BA18" s="357">
        <v>0</v>
      </c>
      <c r="BB18" s="358">
        <v>0.64027777777777783</v>
      </c>
      <c r="BC18" s="358">
        <v>0</v>
      </c>
      <c r="BD18" s="362">
        <v>0.6488194444444445</v>
      </c>
      <c r="BE18" s="362">
        <v>0.6532175925925926</v>
      </c>
      <c r="BF18" s="354" t="s">
        <v>719</v>
      </c>
      <c r="BG18" s="362">
        <v>4.3981671333312988E-3</v>
      </c>
      <c r="BH18" s="363">
        <v>380</v>
      </c>
      <c r="BI18" s="364">
        <v>0.66438657407407409</v>
      </c>
      <c r="BJ18" s="362">
        <v>0.66082175925925923</v>
      </c>
      <c r="BK18" s="359" t="s">
        <v>718</v>
      </c>
      <c r="BL18" s="362">
        <v>3.5648345947265625E-3</v>
      </c>
      <c r="BM18" s="363">
        <v>308</v>
      </c>
      <c r="BN18" s="364">
        <v>0.6721759259259259</v>
      </c>
      <c r="BO18" s="362">
        <v>0.67258101851851848</v>
      </c>
      <c r="BP18" s="359" t="s">
        <v>719</v>
      </c>
      <c r="BQ18" s="362">
        <v>4.0507316589355469E-4</v>
      </c>
      <c r="BR18" s="363">
        <v>35</v>
      </c>
      <c r="BS18" s="366" t="s">
        <v>715</v>
      </c>
      <c r="BT18" s="363">
        <v>330</v>
      </c>
      <c r="BU18" s="357">
        <v>0.53125</v>
      </c>
      <c r="BV18" s="361">
        <v>0</v>
      </c>
      <c r="BW18" s="357">
        <v>0.53611111111111109</v>
      </c>
      <c r="BX18" s="361">
        <v>0</v>
      </c>
      <c r="BY18" s="357">
        <v>0.58263888888888882</v>
      </c>
      <c r="BZ18" s="361">
        <v>0</v>
      </c>
      <c r="CA18" s="357">
        <v>0.60069441795349121</v>
      </c>
      <c r="CB18" s="358">
        <v>0.6020833333333333</v>
      </c>
      <c r="CC18" s="358">
        <v>8.3333333333333332E-3</v>
      </c>
      <c r="CD18" s="359" t="s">
        <v>719</v>
      </c>
      <c r="CE18" s="358">
        <v>1.3889074325561523E-3</v>
      </c>
      <c r="CF18" s="361">
        <v>0</v>
      </c>
    </row>
    <row r="19" spans="1:84" s="367" customFormat="1" x14ac:dyDescent="0.25">
      <c r="A19" s="354">
        <v>8</v>
      </c>
      <c r="B19" s="355" t="s">
        <v>608</v>
      </c>
      <c r="C19" s="355" t="s">
        <v>230</v>
      </c>
      <c r="D19" s="355" t="s">
        <v>229</v>
      </c>
      <c r="E19" s="355" t="s">
        <v>6</v>
      </c>
      <c r="F19" s="355" t="s">
        <v>642</v>
      </c>
      <c r="G19" s="356">
        <v>1542.2</v>
      </c>
      <c r="H19" s="356">
        <v>900</v>
      </c>
      <c r="I19" s="356">
        <v>642.20000000000005</v>
      </c>
      <c r="J19" s="356">
        <v>0</v>
      </c>
      <c r="K19" s="357">
        <v>0.50555555555555554</v>
      </c>
      <c r="L19" s="358">
        <v>0.50555555555555554</v>
      </c>
      <c r="M19" s="359" t="s">
        <v>112</v>
      </c>
      <c r="N19" s="358">
        <v>0</v>
      </c>
      <c r="O19" s="360">
        <v>0</v>
      </c>
      <c r="P19" s="358">
        <v>8.3333335816860199E-2</v>
      </c>
      <c r="Q19" s="358">
        <v>0</v>
      </c>
      <c r="R19" s="357">
        <v>0.58888889137241573</v>
      </c>
      <c r="S19" s="358">
        <v>0</v>
      </c>
      <c r="T19" s="359" t="s">
        <v>112</v>
      </c>
      <c r="U19" s="358">
        <v>0</v>
      </c>
      <c r="V19" s="360">
        <v>900</v>
      </c>
      <c r="W19" s="358">
        <v>8.3333335816860199E-2</v>
      </c>
      <c r="X19" s="358">
        <v>0</v>
      </c>
      <c r="Y19" s="358">
        <v>0</v>
      </c>
      <c r="Z19" s="357">
        <v>0.67222222718927593</v>
      </c>
      <c r="AA19" s="358">
        <v>0.66875000000000007</v>
      </c>
      <c r="AB19" s="359" t="s">
        <v>718</v>
      </c>
      <c r="AC19" s="358">
        <v>3.4722089767456055E-3</v>
      </c>
      <c r="AD19" s="360">
        <v>0</v>
      </c>
      <c r="AE19" s="357">
        <v>0</v>
      </c>
      <c r="AF19" s="358">
        <v>0.53472222222222221</v>
      </c>
      <c r="AG19" s="358">
        <v>0</v>
      </c>
      <c r="AH19" s="362">
        <v>0.54710648148148144</v>
      </c>
      <c r="AI19" s="362">
        <v>0.54734953703703704</v>
      </c>
      <c r="AJ19" s="354" t="s">
        <v>719</v>
      </c>
      <c r="AK19" s="362">
        <v>2.4300813674926758E-4</v>
      </c>
      <c r="AL19" s="363">
        <v>21</v>
      </c>
      <c r="AM19" s="364">
        <v>0.55092592592592593</v>
      </c>
      <c r="AN19" s="362">
        <v>0.55156250000000007</v>
      </c>
      <c r="AO19" s="359" t="s">
        <v>719</v>
      </c>
      <c r="AP19" s="362">
        <v>6.3657760620117188E-4</v>
      </c>
      <c r="AQ19" s="363">
        <v>55</v>
      </c>
      <c r="AR19" s="357">
        <v>0</v>
      </c>
      <c r="AS19" s="358">
        <v>0</v>
      </c>
      <c r="AT19" s="358">
        <v>0</v>
      </c>
      <c r="AU19" s="365">
        <v>14.4</v>
      </c>
      <c r="AV19" s="365">
        <v>0</v>
      </c>
      <c r="AW19" s="365">
        <v>0</v>
      </c>
      <c r="AX19" s="359">
        <v>0</v>
      </c>
      <c r="AY19" s="359">
        <v>0</v>
      </c>
      <c r="AZ19" s="363">
        <v>43.2</v>
      </c>
      <c r="BA19" s="357">
        <v>0</v>
      </c>
      <c r="BB19" s="358">
        <v>0.61458333333333337</v>
      </c>
      <c r="BC19" s="358">
        <v>0</v>
      </c>
      <c r="BD19" s="362">
        <v>0.62312500000000004</v>
      </c>
      <c r="BE19" s="362">
        <v>0.62391203703703701</v>
      </c>
      <c r="BF19" s="354" t="s">
        <v>719</v>
      </c>
      <c r="BG19" s="362">
        <v>7.8701972961425781E-4</v>
      </c>
      <c r="BH19" s="363">
        <v>68</v>
      </c>
      <c r="BI19" s="364">
        <v>0.6350810185185185</v>
      </c>
      <c r="BJ19" s="362">
        <v>0.63378472222222226</v>
      </c>
      <c r="BK19" s="359" t="s">
        <v>718</v>
      </c>
      <c r="BL19" s="362">
        <v>1.2962818145751953E-3</v>
      </c>
      <c r="BM19" s="363">
        <v>112</v>
      </c>
      <c r="BN19" s="364">
        <v>0.64513888888888893</v>
      </c>
      <c r="BO19" s="362">
        <v>0.64910879629629636</v>
      </c>
      <c r="BP19" s="359" t="s">
        <v>719</v>
      </c>
      <c r="BQ19" s="362">
        <v>3.9699077606201172E-3</v>
      </c>
      <c r="BR19" s="363">
        <v>343</v>
      </c>
      <c r="BS19" s="366">
        <v>0</v>
      </c>
      <c r="BT19" s="363">
        <v>0</v>
      </c>
      <c r="BU19" s="357">
        <v>0.51944444444444449</v>
      </c>
      <c r="BV19" s="361">
        <v>0</v>
      </c>
      <c r="BW19" s="357">
        <v>0.52361111111111114</v>
      </c>
      <c r="BX19" s="361">
        <v>0</v>
      </c>
      <c r="BY19" s="357">
        <v>0.57222222222222219</v>
      </c>
      <c r="BZ19" s="361">
        <v>0</v>
      </c>
      <c r="CA19" s="357">
        <v>0.58680558204650879</v>
      </c>
      <c r="CB19" s="358">
        <v>0.58888888888888891</v>
      </c>
      <c r="CC19" s="358">
        <v>8.3333333333333332E-3</v>
      </c>
      <c r="CD19" s="359" t="s">
        <v>719</v>
      </c>
      <c r="CE19" s="358">
        <v>2.0833015441894531E-3</v>
      </c>
      <c r="CF19" s="361">
        <v>0</v>
      </c>
    </row>
    <row r="20" spans="1:84" s="22" customFormat="1" x14ac:dyDescent="0.25">
      <c r="A20" s="380">
        <v>23</v>
      </c>
      <c r="B20" s="381" t="s">
        <v>662</v>
      </c>
      <c r="C20" s="381" t="s">
        <v>664</v>
      </c>
      <c r="D20" s="381" t="s">
        <v>665</v>
      </c>
      <c r="E20" s="381" t="s">
        <v>6</v>
      </c>
      <c r="F20" s="381" t="s">
        <v>642</v>
      </c>
      <c r="G20" s="382">
        <v>1657.6</v>
      </c>
      <c r="H20" s="382">
        <v>900</v>
      </c>
      <c r="I20" s="382">
        <v>757.6</v>
      </c>
      <c r="J20" s="382">
        <v>0</v>
      </c>
      <c r="K20" s="383">
        <v>0.51597222222222217</v>
      </c>
      <c r="L20" s="152">
        <v>0.51597222222222217</v>
      </c>
      <c r="M20" s="384" t="s">
        <v>112</v>
      </c>
      <c r="N20" s="152">
        <v>0</v>
      </c>
      <c r="O20" s="385">
        <v>0</v>
      </c>
      <c r="P20" s="152">
        <v>8.3333335816860199E-2</v>
      </c>
      <c r="Q20" s="152">
        <v>0</v>
      </c>
      <c r="R20" s="383">
        <v>0.59930555803908236</v>
      </c>
      <c r="S20" s="152">
        <v>0</v>
      </c>
      <c r="T20" s="384" t="s">
        <v>112</v>
      </c>
      <c r="U20" s="152">
        <v>0</v>
      </c>
      <c r="V20" s="385">
        <v>900</v>
      </c>
      <c r="W20" s="152">
        <v>8.3333335816860199E-2</v>
      </c>
      <c r="X20" s="152">
        <v>1.6666666666666607E-2</v>
      </c>
      <c r="Y20" s="152">
        <v>1.6666666666666607E-2</v>
      </c>
      <c r="Z20" s="383">
        <v>0.68263889385594256</v>
      </c>
      <c r="AA20" s="152">
        <v>0.68541666666666667</v>
      </c>
      <c r="AB20" s="384" t="s">
        <v>719</v>
      </c>
      <c r="AC20" s="152">
        <v>2.7777552604675293E-3</v>
      </c>
      <c r="AD20" s="385">
        <v>0</v>
      </c>
      <c r="AE20" s="383">
        <v>0</v>
      </c>
      <c r="AF20" s="152">
        <v>0.54583333333333328</v>
      </c>
      <c r="AG20" s="152">
        <v>0</v>
      </c>
      <c r="AH20" s="386">
        <v>0.55821759259259252</v>
      </c>
      <c r="AI20" s="386">
        <v>0.55862268518518521</v>
      </c>
      <c r="AJ20" s="380" t="s">
        <v>719</v>
      </c>
      <c r="AK20" s="386">
        <v>4.0507316589355469E-4</v>
      </c>
      <c r="AL20" s="387">
        <v>35</v>
      </c>
      <c r="AM20" s="388">
        <v>0.5621990740740741</v>
      </c>
      <c r="AN20" s="386">
        <v>0.56284722222222217</v>
      </c>
      <c r="AO20" s="384" t="s">
        <v>719</v>
      </c>
      <c r="AP20" s="386">
        <v>6.4814090728759766E-4</v>
      </c>
      <c r="AQ20" s="387">
        <v>56</v>
      </c>
      <c r="AR20" s="383">
        <v>0.61388888888888882</v>
      </c>
      <c r="AS20" s="152">
        <v>0.63055555555555554</v>
      </c>
      <c r="AT20" s="152">
        <v>1.6666666666666607E-2</v>
      </c>
      <c r="AU20" s="389">
        <v>45.2</v>
      </c>
      <c r="AV20" s="389">
        <v>0</v>
      </c>
      <c r="AW20" s="389">
        <v>0</v>
      </c>
      <c r="AX20" s="384">
        <v>0</v>
      </c>
      <c r="AY20" s="384">
        <v>0</v>
      </c>
      <c r="AZ20" s="387">
        <v>135.60000000000002</v>
      </c>
      <c r="BA20" s="383">
        <v>0</v>
      </c>
      <c r="BB20" s="152">
        <v>0.63611111111111118</v>
      </c>
      <c r="BC20" s="152">
        <v>0</v>
      </c>
      <c r="BD20" s="386">
        <v>0.64465277777777785</v>
      </c>
      <c r="BE20" s="386">
        <v>0.64357638888888891</v>
      </c>
      <c r="BF20" s="380" t="s">
        <v>718</v>
      </c>
      <c r="BG20" s="386">
        <v>1.0764002799987793E-3</v>
      </c>
      <c r="BH20" s="387">
        <v>93</v>
      </c>
      <c r="BI20" s="388">
        <v>0.65474537037037039</v>
      </c>
      <c r="BJ20" s="386">
        <v>0.65954861111111118</v>
      </c>
      <c r="BK20" s="384" t="s">
        <v>719</v>
      </c>
      <c r="BL20" s="386">
        <v>4.8032402992248535E-3</v>
      </c>
      <c r="BM20" s="387">
        <v>415</v>
      </c>
      <c r="BN20" s="388">
        <v>0.67090277777777785</v>
      </c>
      <c r="BO20" s="386">
        <v>0.67116898148148152</v>
      </c>
      <c r="BP20" s="384" t="s">
        <v>719</v>
      </c>
      <c r="BQ20" s="386">
        <v>2.6619434356689453E-4</v>
      </c>
      <c r="BR20" s="387">
        <v>23</v>
      </c>
      <c r="BS20" s="390">
        <v>0</v>
      </c>
      <c r="BT20" s="387">
        <v>0</v>
      </c>
      <c r="BU20" s="383">
        <v>0.52986111111111112</v>
      </c>
      <c r="BV20" s="391">
        <v>0</v>
      </c>
      <c r="BW20" s="383">
        <v>0.53402777777777777</v>
      </c>
      <c r="BX20" s="391">
        <v>0</v>
      </c>
      <c r="BY20" s="383">
        <v>0.58611111111111114</v>
      </c>
      <c r="BZ20" s="391">
        <v>0</v>
      </c>
      <c r="CA20" s="383">
        <v>0.59722220897674561</v>
      </c>
      <c r="CB20" s="152">
        <v>0.59652777777777777</v>
      </c>
      <c r="CC20" s="152">
        <v>8.3333333333333332E-3</v>
      </c>
      <c r="CD20" s="384" t="s">
        <v>718</v>
      </c>
      <c r="CE20" s="152">
        <v>6.9445371627807617E-4</v>
      </c>
      <c r="CF20" s="391">
        <v>0</v>
      </c>
    </row>
    <row r="21" spans="1:84" s="367" customFormat="1" hidden="1" x14ac:dyDescent="0.25">
      <c r="A21" s="354">
        <v>12</v>
      </c>
      <c r="B21" s="355" t="s">
        <v>120</v>
      </c>
      <c r="C21" s="355" t="s">
        <v>599</v>
      </c>
      <c r="D21" s="355" t="s">
        <v>616</v>
      </c>
      <c r="E21" s="355" t="s">
        <v>6</v>
      </c>
      <c r="F21" s="355" t="s">
        <v>643</v>
      </c>
      <c r="G21" s="356" t="e">
        <v>#VALUE!</v>
      </c>
      <c r="H21" s="356" t="e">
        <v>#VALUE!</v>
      </c>
      <c r="I21" s="356">
        <v>7200</v>
      </c>
      <c r="J21" s="356">
        <v>0</v>
      </c>
      <c r="K21" s="357">
        <v>0.5083333333333333</v>
      </c>
      <c r="L21" s="358" t="s">
        <v>693</v>
      </c>
      <c r="M21" s="359" t="e">
        <v>#VALUE!</v>
      </c>
      <c r="N21" s="358" t="e">
        <v>#VALUE!</v>
      </c>
      <c r="O21" s="360" t="e">
        <v>#VALUE!</v>
      </c>
      <c r="P21" s="358">
        <v>8.3333335816860199E-2</v>
      </c>
      <c r="Q21" s="358">
        <v>0</v>
      </c>
      <c r="R21" s="357" t="e">
        <v>#VALUE!</v>
      </c>
      <c r="S21" s="358">
        <v>0</v>
      </c>
      <c r="T21" s="359" t="s">
        <v>112</v>
      </c>
      <c r="U21" s="358">
        <v>0</v>
      </c>
      <c r="V21" s="360">
        <v>900</v>
      </c>
      <c r="W21" s="358">
        <v>8.3333335816860199E-2</v>
      </c>
      <c r="X21" s="358">
        <v>0</v>
      </c>
      <c r="Y21" s="358">
        <v>0</v>
      </c>
      <c r="Z21" s="357" t="e">
        <v>#VALUE!</v>
      </c>
      <c r="AA21" s="358">
        <v>0</v>
      </c>
      <c r="AB21" s="359" t="s">
        <v>112</v>
      </c>
      <c r="AC21" s="358">
        <v>0</v>
      </c>
      <c r="AD21" s="360" t="s">
        <v>723</v>
      </c>
      <c r="AE21" s="357">
        <v>0</v>
      </c>
      <c r="AF21" s="358">
        <v>0</v>
      </c>
      <c r="AG21" s="358">
        <v>0</v>
      </c>
      <c r="AH21" s="362">
        <v>0</v>
      </c>
      <c r="AI21" s="362">
        <v>0</v>
      </c>
      <c r="AJ21" s="354" t="s">
        <v>112</v>
      </c>
      <c r="AK21" s="362">
        <v>0</v>
      </c>
      <c r="AL21" s="363">
        <v>1800</v>
      </c>
      <c r="AM21" s="364">
        <v>0</v>
      </c>
      <c r="AN21" s="362">
        <v>0</v>
      </c>
      <c r="AO21" s="359" t="s">
        <v>112</v>
      </c>
      <c r="AP21" s="362">
        <v>0</v>
      </c>
      <c r="AQ21" s="363">
        <v>0</v>
      </c>
      <c r="AR21" s="357">
        <v>0</v>
      </c>
      <c r="AS21" s="358">
        <v>0</v>
      </c>
      <c r="AT21" s="358">
        <v>0</v>
      </c>
      <c r="AU21" s="365">
        <v>0</v>
      </c>
      <c r="AV21" s="365">
        <v>0</v>
      </c>
      <c r="AW21" s="365">
        <v>0</v>
      </c>
      <c r="AX21" s="359">
        <v>0</v>
      </c>
      <c r="AY21" s="359">
        <v>0</v>
      </c>
      <c r="AZ21" s="363">
        <v>1800</v>
      </c>
      <c r="BA21" s="357">
        <v>0</v>
      </c>
      <c r="BB21" s="358">
        <v>0</v>
      </c>
      <c r="BC21" s="358">
        <v>0</v>
      </c>
      <c r="BD21" s="362">
        <v>0</v>
      </c>
      <c r="BE21" s="362">
        <v>0</v>
      </c>
      <c r="BF21" s="354" t="s">
        <v>112</v>
      </c>
      <c r="BG21" s="362">
        <v>0</v>
      </c>
      <c r="BH21" s="363">
        <v>1800</v>
      </c>
      <c r="BI21" s="364">
        <v>0</v>
      </c>
      <c r="BJ21" s="362">
        <v>0</v>
      </c>
      <c r="BK21" s="359" t="s">
        <v>112</v>
      </c>
      <c r="BL21" s="362">
        <v>0</v>
      </c>
      <c r="BM21" s="363">
        <v>1800</v>
      </c>
      <c r="BN21" s="364">
        <v>0</v>
      </c>
      <c r="BO21" s="362">
        <v>0</v>
      </c>
      <c r="BP21" s="359" t="s">
        <v>112</v>
      </c>
      <c r="BQ21" s="362">
        <v>0</v>
      </c>
      <c r="BR21" s="363">
        <v>0</v>
      </c>
      <c r="BS21" s="366">
        <v>0</v>
      </c>
      <c r="BT21" s="363">
        <v>0</v>
      </c>
      <c r="BU21" s="357">
        <v>0</v>
      </c>
      <c r="BV21" s="361">
        <v>900</v>
      </c>
      <c r="BW21" s="357">
        <v>0</v>
      </c>
      <c r="BX21" s="361">
        <v>900</v>
      </c>
      <c r="BY21" s="357">
        <v>0</v>
      </c>
      <c r="BZ21" s="361">
        <v>900</v>
      </c>
      <c r="CA21" s="357" t="e">
        <v>#VALUE!</v>
      </c>
      <c r="CB21" s="358">
        <v>0</v>
      </c>
      <c r="CC21" s="358">
        <v>8.3333333333333332E-3</v>
      </c>
      <c r="CD21" s="359" t="e">
        <v>#VALUE!</v>
      </c>
      <c r="CE21" s="358">
        <v>0</v>
      </c>
      <c r="CF21" s="361">
        <v>900</v>
      </c>
    </row>
    <row r="22" spans="1:84" s="22" customFormat="1" x14ac:dyDescent="0.25">
      <c r="A22" s="354">
        <v>26</v>
      </c>
      <c r="B22" s="355" t="s">
        <v>39</v>
      </c>
      <c r="C22" s="355" t="s">
        <v>216</v>
      </c>
      <c r="D22" s="355" t="s">
        <v>41</v>
      </c>
      <c r="E22" s="355" t="s">
        <v>6</v>
      </c>
      <c r="F22" s="355" t="s">
        <v>642</v>
      </c>
      <c r="G22" s="356">
        <v>3050.3</v>
      </c>
      <c r="H22" s="356">
        <v>0</v>
      </c>
      <c r="I22" s="356">
        <v>2750.3</v>
      </c>
      <c r="J22" s="356">
        <v>300</v>
      </c>
      <c r="K22" s="357">
        <v>0.51805555555555549</v>
      </c>
      <c r="L22" s="358">
        <v>0.5180555555555556</v>
      </c>
      <c r="M22" s="359" t="s">
        <v>112</v>
      </c>
      <c r="N22" s="358">
        <v>0</v>
      </c>
      <c r="O22" s="360">
        <v>0</v>
      </c>
      <c r="P22" s="358">
        <v>8.3333335816860199E-2</v>
      </c>
      <c r="Q22" s="358">
        <v>2.0833611488342285E-3</v>
      </c>
      <c r="R22" s="357">
        <v>0.6013888913724158</v>
      </c>
      <c r="S22" s="358">
        <v>0.6020833333333333</v>
      </c>
      <c r="T22" s="359" t="s">
        <v>719</v>
      </c>
      <c r="U22" s="358">
        <v>6.9445371627807617E-4</v>
      </c>
      <c r="V22" s="360">
        <v>0</v>
      </c>
      <c r="W22" s="358">
        <v>8.3333335816860199E-2</v>
      </c>
      <c r="X22" s="358">
        <v>0</v>
      </c>
      <c r="Y22" s="358">
        <v>0</v>
      </c>
      <c r="Z22" s="357">
        <v>0.6854166691501935</v>
      </c>
      <c r="AA22" s="358">
        <v>0.68541666666666667</v>
      </c>
      <c r="AB22" s="359" t="s">
        <v>718</v>
      </c>
      <c r="AC22" s="358">
        <v>0</v>
      </c>
      <c r="AD22" s="360">
        <v>0</v>
      </c>
      <c r="AE22" s="357">
        <v>0.54861111111111105</v>
      </c>
      <c r="AF22" s="358">
        <v>0.55069444444444449</v>
      </c>
      <c r="AG22" s="358">
        <v>2.0833611488342285E-3</v>
      </c>
      <c r="AH22" s="362">
        <v>0.56307870370370372</v>
      </c>
      <c r="AI22" s="362">
        <v>0.56172453703703706</v>
      </c>
      <c r="AJ22" s="354" t="s">
        <v>718</v>
      </c>
      <c r="AK22" s="362">
        <v>1.3541579246520996E-3</v>
      </c>
      <c r="AL22" s="363">
        <v>117</v>
      </c>
      <c r="AM22" s="364">
        <v>0.56530092592592596</v>
      </c>
      <c r="AN22" s="362">
        <v>0.56716435185185188</v>
      </c>
      <c r="AO22" s="359" t="s">
        <v>719</v>
      </c>
      <c r="AP22" s="362">
        <v>1.8634200096130371E-3</v>
      </c>
      <c r="AQ22" s="363">
        <v>161</v>
      </c>
      <c r="AR22" s="357">
        <v>0</v>
      </c>
      <c r="AS22" s="358">
        <v>0</v>
      </c>
      <c r="AT22" s="358">
        <v>0</v>
      </c>
      <c r="AU22" s="365">
        <v>24.1</v>
      </c>
      <c r="AV22" s="365">
        <v>0</v>
      </c>
      <c r="AW22" s="365">
        <v>0</v>
      </c>
      <c r="AX22" s="359">
        <v>0</v>
      </c>
      <c r="AY22" s="359">
        <v>0</v>
      </c>
      <c r="AZ22" s="363">
        <v>72.300000000000011</v>
      </c>
      <c r="BA22" s="357">
        <v>0</v>
      </c>
      <c r="BB22" s="358">
        <v>0.64097222222222217</v>
      </c>
      <c r="BC22" s="358">
        <v>0</v>
      </c>
      <c r="BD22" s="362">
        <v>0.64951388888888884</v>
      </c>
      <c r="BE22" s="362">
        <v>0.66039351851851846</v>
      </c>
      <c r="BF22" s="354" t="s">
        <v>719</v>
      </c>
      <c r="BG22" s="362">
        <v>1.0879635810852051E-2</v>
      </c>
      <c r="BH22" s="363">
        <v>600</v>
      </c>
      <c r="BI22" s="364">
        <v>0.67156249999999995</v>
      </c>
      <c r="BJ22" s="362">
        <v>0</v>
      </c>
      <c r="BK22" s="359" t="s">
        <v>112</v>
      </c>
      <c r="BL22" s="362">
        <v>0</v>
      </c>
      <c r="BM22" s="363">
        <v>1800</v>
      </c>
      <c r="BN22" s="364">
        <v>0</v>
      </c>
      <c r="BO22" s="362">
        <v>0.67189814814814808</v>
      </c>
      <c r="BP22" s="359" t="s">
        <v>112</v>
      </c>
      <c r="BQ22" s="362">
        <v>0</v>
      </c>
      <c r="BR22" s="363">
        <v>0</v>
      </c>
      <c r="BS22" s="366" t="s">
        <v>713</v>
      </c>
      <c r="BT22" s="363">
        <v>300</v>
      </c>
      <c r="BU22" s="357">
        <v>0.53402777777777777</v>
      </c>
      <c r="BV22" s="361">
        <v>0</v>
      </c>
      <c r="BW22" s="357">
        <v>0.53819444444444442</v>
      </c>
      <c r="BX22" s="361">
        <v>0</v>
      </c>
      <c r="BY22" s="357">
        <v>0.58888888888888891</v>
      </c>
      <c r="BZ22" s="361">
        <v>0</v>
      </c>
      <c r="CA22" s="357">
        <v>0.59930557012557983</v>
      </c>
      <c r="CB22" s="358">
        <v>0.60138888888888886</v>
      </c>
      <c r="CC22" s="358">
        <v>8.3333333333333332E-3</v>
      </c>
      <c r="CD22" s="359" t="s">
        <v>719</v>
      </c>
      <c r="CE22" s="358">
        <v>2.0833015441894531E-3</v>
      </c>
      <c r="CF22" s="361">
        <v>0</v>
      </c>
    </row>
    <row r="23" spans="1:84" s="367" customFormat="1" x14ac:dyDescent="0.25">
      <c r="A23" s="380">
        <v>27</v>
      </c>
      <c r="B23" s="381" t="s">
        <v>607</v>
      </c>
      <c r="C23" s="381" t="s">
        <v>227</v>
      </c>
      <c r="D23" s="381" t="s">
        <v>228</v>
      </c>
      <c r="E23" s="381" t="s">
        <v>6</v>
      </c>
      <c r="F23" s="381" t="s">
        <v>642</v>
      </c>
      <c r="G23" s="382">
        <v>3627.6</v>
      </c>
      <c r="H23" s="382">
        <v>900</v>
      </c>
      <c r="I23" s="382">
        <v>2697.6</v>
      </c>
      <c r="J23" s="382">
        <v>30</v>
      </c>
      <c r="K23" s="383">
        <v>0.51874999999999993</v>
      </c>
      <c r="L23" s="152">
        <v>0.51874999999999993</v>
      </c>
      <c r="M23" s="384" t="s">
        <v>112</v>
      </c>
      <c r="N23" s="152">
        <v>0</v>
      </c>
      <c r="O23" s="385">
        <v>0</v>
      </c>
      <c r="P23" s="152">
        <v>8.3333335816860199E-2</v>
      </c>
      <c r="Q23" s="152">
        <v>0</v>
      </c>
      <c r="R23" s="383">
        <v>0.60208333581686013</v>
      </c>
      <c r="S23" s="152">
        <v>0.6020833333333333</v>
      </c>
      <c r="T23" s="384" t="s">
        <v>112</v>
      </c>
      <c r="U23" s="152">
        <v>0</v>
      </c>
      <c r="V23" s="385">
        <v>0</v>
      </c>
      <c r="W23" s="152">
        <v>8.3333335816860199E-2</v>
      </c>
      <c r="X23" s="152">
        <v>0</v>
      </c>
      <c r="Y23" s="152">
        <v>0</v>
      </c>
      <c r="Z23" s="383">
        <v>0.6854166691501935</v>
      </c>
      <c r="AA23" s="152">
        <v>0.68541666666666667</v>
      </c>
      <c r="AB23" s="384" t="s">
        <v>718</v>
      </c>
      <c r="AC23" s="152">
        <v>0</v>
      </c>
      <c r="AD23" s="385">
        <v>0</v>
      </c>
      <c r="AE23" s="383">
        <v>0</v>
      </c>
      <c r="AF23" s="152">
        <v>0.5493055555555556</v>
      </c>
      <c r="AG23" s="152">
        <v>0</v>
      </c>
      <c r="AH23" s="386">
        <v>0.56168981481481484</v>
      </c>
      <c r="AI23" s="386">
        <v>0.56201388888888892</v>
      </c>
      <c r="AJ23" s="380" t="s">
        <v>719</v>
      </c>
      <c r="AK23" s="386">
        <v>3.2407045364379883E-4</v>
      </c>
      <c r="AL23" s="387">
        <v>28</v>
      </c>
      <c r="AM23" s="388">
        <v>0.56559027777777782</v>
      </c>
      <c r="AN23" s="386">
        <v>0.5667592592592593</v>
      </c>
      <c r="AO23" s="384" t="s">
        <v>719</v>
      </c>
      <c r="AP23" s="386">
        <v>1.1690258979797363E-3</v>
      </c>
      <c r="AQ23" s="387">
        <v>101</v>
      </c>
      <c r="AR23" s="383">
        <v>0</v>
      </c>
      <c r="AS23" s="152">
        <v>0</v>
      </c>
      <c r="AT23" s="152">
        <v>0</v>
      </c>
      <c r="AU23" s="389">
        <v>36.200000000000003</v>
      </c>
      <c r="AV23" s="389">
        <v>0</v>
      </c>
      <c r="AW23" s="389">
        <v>0</v>
      </c>
      <c r="AX23" s="384">
        <v>0</v>
      </c>
      <c r="AY23" s="384" t="s">
        <v>705</v>
      </c>
      <c r="AZ23" s="387">
        <v>168.60000000000002</v>
      </c>
      <c r="BA23" s="383">
        <v>0</v>
      </c>
      <c r="BB23" s="152">
        <v>0.6381944444444444</v>
      </c>
      <c r="BC23" s="152">
        <v>0</v>
      </c>
      <c r="BD23" s="386">
        <v>0.64673611111111107</v>
      </c>
      <c r="BE23" s="386">
        <v>0.6564120370370371</v>
      </c>
      <c r="BF23" s="380" t="s">
        <v>719</v>
      </c>
      <c r="BG23" s="386">
        <v>9.6759796142578125E-3</v>
      </c>
      <c r="BH23" s="387">
        <v>600</v>
      </c>
      <c r="BI23" s="388">
        <v>0.66758101851851859</v>
      </c>
      <c r="BJ23" s="386">
        <v>0</v>
      </c>
      <c r="BK23" s="384" t="s">
        <v>112</v>
      </c>
      <c r="BL23" s="386">
        <v>0</v>
      </c>
      <c r="BM23" s="387">
        <v>1800</v>
      </c>
      <c r="BN23" s="388">
        <v>0</v>
      </c>
      <c r="BO23" s="386">
        <v>0.66787037037037045</v>
      </c>
      <c r="BP23" s="384" t="s">
        <v>112</v>
      </c>
      <c r="BQ23" s="386">
        <v>0</v>
      </c>
      <c r="BR23" s="387">
        <v>0</v>
      </c>
      <c r="BS23" s="390" t="s">
        <v>709</v>
      </c>
      <c r="BT23" s="387">
        <v>30</v>
      </c>
      <c r="BU23" s="383">
        <v>0.53472222222222221</v>
      </c>
      <c r="BV23" s="391">
        <v>0</v>
      </c>
      <c r="BW23" s="383">
        <v>0</v>
      </c>
      <c r="BX23" s="391">
        <v>900</v>
      </c>
      <c r="BY23" s="383">
        <v>0.58819444444444446</v>
      </c>
      <c r="BZ23" s="391">
        <v>0</v>
      </c>
      <c r="CA23" s="383">
        <v>0.60000002384185791</v>
      </c>
      <c r="CB23" s="152">
        <v>0.60069444444444442</v>
      </c>
      <c r="CC23" s="152">
        <v>8.3333333333333332E-3</v>
      </c>
      <c r="CD23" s="384" t="s">
        <v>112</v>
      </c>
      <c r="CE23" s="152">
        <v>6.9439411163330078E-4</v>
      </c>
      <c r="CF23" s="391">
        <v>0</v>
      </c>
    </row>
    <row r="24" spans="1:84" s="22" customFormat="1" x14ac:dyDescent="0.25">
      <c r="A24" s="354">
        <v>24</v>
      </c>
      <c r="B24" s="355" t="s">
        <v>666</v>
      </c>
      <c r="C24" s="355" t="s">
        <v>668</v>
      </c>
      <c r="D24" s="355" t="s">
        <v>670</v>
      </c>
      <c r="E24" s="355" t="s">
        <v>725</v>
      </c>
      <c r="F24" s="355" t="s">
        <v>550</v>
      </c>
      <c r="G24" s="356">
        <v>108.9</v>
      </c>
      <c r="H24" s="356">
        <v>0</v>
      </c>
      <c r="I24" s="356">
        <v>108.9</v>
      </c>
      <c r="J24" s="356">
        <v>0</v>
      </c>
      <c r="K24" s="357">
        <v>0.51666666666666661</v>
      </c>
      <c r="L24" s="358">
        <v>0.51666666666666672</v>
      </c>
      <c r="M24" s="359" t="s">
        <v>112</v>
      </c>
      <c r="N24" s="358">
        <v>0</v>
      </c>
      <c r="O24" s="360">
        <v>0</v>
      </c>
      <c r="P24" s="358">
        <v>8.3333335816860199E-2</v>
      </c>
      <c r="Q24" s="358">
        <v>3.4722089767456055E-3</v>
      </c>
      <c r="R24" s="357">
        <v>0.60000000248352692</v>
      </c>
      <c r="S24" s="358">
        <v>0.6</v>
      </c>
      <c r="T24" s="359" t="s">
        <v>112</v>
      </c>
      <c r="U24" s="358">
        <v>0</v>
      </c>
      <c r="V24" s="360">
        <v>0</v>
      </c>
      <c r="W24" s="358">
        <v>8.3333335816860199E-2</v>
      </c>
      <c r="X24" s="358">
        <v>0</v>
      </c>
      <c r="Y24" s="358">
        <v>0</v>
      </c>
      <c r="Z24" s="357">
        <v>0.68333333581686018</v>
      </c>
      <c r="AA24" s="358">
        <v>0.68125000000000002</v>
      </c>
      <c r="AB24" s="359" t="s">
        <v>718</v>
      </c>
      <c r="AC24" s="358">
        <v>2.0833611488342285E-3</v>
      </c>
      <c r="AD24" s="360">
        <v>0</v>
      </c>
      <c r="AE24" s="357">
        <v>0.54513888888888895</v>
      </c>
      <c r="AF24" s="358">
        <v>0.54861111111111105</v>
      </c>
      <c r="AG24" s="358">
        <v>3.4722089767456055E-3</v>
      </c>
      <c r="AH24" s="362">
        <v>0.56099537037037028</v>
      </c>
      <c r="AI24" s="362">
        <v>0.5611342592592593</v>
      </c>
      <c r="AJ24" s="354" t="s">
        <v>719</v>
      </c>
      <c r="AK24" s="362">
        <v>1.3887882232666016E-4</v>
      </c>
      <c r="AL24" s="363">
        <v>12</v>
      </c>
      <c r="AM24" s="364">
        <v>0.5647106481481482</v>
      </c>
      <c r="AN24" s="362">
        <v>0.56473379629629628</v>
      </c>
      <c r="AO24" s="359" t="s">
        <v>719</v>
      </c>
      <c r="AP24" s="362">
        <v>2.3126602172851563E-5</v>
      </c>
      <c r="AQ24" s="363">
        <v>2</v>
      </c>
      <c r="AR24" s="357">
        <v>0</v>
      </c>
      <c r="AS24" s="358">
        <v>0</v>
      </c>
      <c r="AT24" s="358">
        <v>0</v>
      </c>
      <c r="AU24" s="365">
        <v>23.3</v>
      </c>
      <c r="AV24" s="365">
        <v>0</v>
      </c>
      <c r="AW24" s="365">
        <v>1</v>
      </c>
      <c r="AX24" s="359">
        <v>0</v>
      </c>
      <c r="AY24" s="359">
        <v>0</v>
      </c>
      <c r="AZ24" s="363">
        <v>84.9</v>
      </c>
      <c r="BA24" s="357">
        <v>0</v>
      </c>
      <c r="BB24" s="358">
        <v>0.63680555555555551</v>
      </c>
      <c r="BC24" s="358">
        <v>0</v>
      </c>
      <c r="BD24" s="362">
        <v>0.64534722222222218</v>
      </c>
      <c r="BE24" s="362">
        <v>0.64538194444444441</v>
      </c>
      <c r="BF24" s="354" t="s">
        <v>719</v>
      </c>
      <c r="BG24" s="362">
        <v>3.4689903259277344E-5</v>
      </c>
      <c r="BH24" s="363">
        <v>3</v>
      </c>
      <c r="BI24" s="364">
        <v>0.6565509259259259</v>
      </c>
      <c r="BJ24" s="362">
        <v>0.65653935185185186</v>
      </c>
      <c r="BK24" s="359" t="s">
        <v>718</v>
      </c>
      <c r="BL24" s="362">
        <v>1.1563301086425781E-5</v>
      </c>
      <c r="BM24" s="363">
        <v>1</v>
      </c>
      <c r="BN24" s="364">
        <v>0.66789351851851853</v>
      </c>
      <c r="BO24" s="362">
        <v>0.66796296296296298</v>
      </c>
      <c r="BP24" s="359" t="s">
        <v>719</v>
      </c>
      <c r="BQ24" s="362">
        <v>6.9439411163330078E-5</v>
      </c>
      <c r="BR24" s="363">
        <v>6</v>
      </c>
      <c r="BS24" s="366">
        <v>0</v>
      </c>
      <c r="BT24" s="363">
        <v>0</v>
      </c>
      <c r="BU24" s="357">
        <v>0.53194444444444444</v>
      </c>
      <c r="BV24" s="361">
        <v>0</v>
      </c>
      <c r="BW24" s="357">
        <v>0.53472222222222221</v>
      </c>
      <c r="BX24" s="361">
        <v>0</v>
      </c>
      <c r="BY24" s="357">
        <v>0.58680555555555558</v>
      </c>
      <c r="BZ24" s="361">
        <v>0</v>
      </c>
      <c r="CA24" s="357">
        <v>0.59791666269302368</v>
      </c>
      <c r="CB24" s="358">
        <v>0.59583333333333333</v>
      </c>
      <c r="CC24" s="358">
        <v>8.3333333333333332E-3</v>
      </c>
      <c r="CD24" s="359" t="s">
        <v>718</v>
      </c>
      <c r="CE24" s="358">
        <v>2.0833015441894531E-3</v>
      </c>
      <c r="CF24" s="361">
        <v>0</v>
      </c>
    </row>
    <row r="25" spans="1:84" s="367" customFormat="1" x14ac:dyDescent="0.25">
      <c r="A25" s="354">
        <v>20</v>
      </c>
      <c r="B25" s="355" t="s">
        <v>556</v>
      </c>
      <c r="C25" s="355" t="s">
        <v>570</v>
      </c>
      <c r="D25" s="355" t="s">
        <v>580</v>
      </c>
      <c r="E25" s="355" t="s">
        <v>579</v>
      </c>
      <c r="F25" s="355" t="s">
        <v>550</v>
      </c>
      <c r="G25" s="356">
        <v>297.89999999999998</v>
      </c>
      <c r="H25" s="356">
        <v>120</v>
      </c>
      <c r="I25" s="356">
        <v>177.9</v>
      </c>
      <c r="J25" s="356">
        <v>0</v>
      </c>
      <c r="K25" s="357">
        <v>0.51388888888888884</v>
      </c>
      <c r="L25" s="358">
        <v>0.51388888888888895</v>
      </c>
      <c r="M25" s="359" t="s">
        <v>112</v>
      </c>
      <c r="N25" s="358">
        <v>0</v>
      </c>
      <c r="O25" s="360">
        <v>0</v>
      </c>
      <c r="P25" s="358">
        <v>8.3333335816860199E-2</v>
      </c>
      <c r="Q25" s="358">
        <v>0</v>
      </c>
      <c r="R25" s="357">
        <v>0.59722222470574915</v>
      </c>
      <c r="S25" s="358">
        <v>0.59722222222222221</v>
      </c>
      <c r="T25" s="359" t="s">
        <v>112</v>
      </c>
      <c r="U25" s="358">
        <v>0</v>
      </c>
      <c r="V25" s="360">
        <v>0</v>
      </c>
      <c r="W25" s="358">
        <v>8.3333335816860199E-2</v>
      </c>
      <c r="X25" s="358">
        <v>0</v>
      </c>
      <c r="Y25" s="358">
        <v>0</v>
      </c>
      <c r="Z25" s="357">
        <v>0.68055555803908241</v>
      </c>
      <c r="AA25" s="358">
        <v>0.67222222222222217</v>
      </c>
      <c r="AB25" s="359" t="s">
        <v>718</v>
      </c>
      <c r="AC25" s="358">
        <v>8.3333849906921387E-3</v>
      </c>
      <c r="AD25" s="360">
        <v>0</v>
      </c>
      <c r="AE25" s="357">
        <v>0</v>
      </c>
      <c r="AF25" s="358">
        <v>0.54097222222222219</v>
      </c>
      <c r="AG25" s="358">
        <v>0</v>
      </c>
      <c r="AH25" s="362">
        <v>0.55335648148148142</v>
      </c>
      <c r="AI25" s="362">
        <v>0.55333333333333334</v>
      </c>
      <c r="AJ25" s="354" t="s">
        <v>718</v>
      </c>
      <c r="AK25" s="362">
        <v>2.3126602172851563E-5</v>
      </c>
      <c r="AL25" s="363">
        <v>2</v>
      </c>
      <c r="AM25" s="364">
        <v>0.55690972222222224</v>
      </c>
      <c r="AN25" s="362">
        <v>0.55692129629629628</v>
      </c>
      <c r="AO25" s="359" t="s">
        <v>719</v>
      </c>
      <c r="AP25" s="362">
        <v>1.1563301086425781E-5</v>
      </c>
      <c r="AQ25" s="363">
        <v>1</v>
      </c>
      <c r="AR25" s="357">
        <v>0</v>
      </c>
      <c r="AS25" s="358">
        <v>0</v>
      </c>
      <c r="AT25" s="358">
        <v>0</v>
      </c>
      <c r="AU25" s="365">
        <v>24.3</v>
      </c>
      <c r="AV25" s="365">
        <v>0</v>
      </c>
      <c r="AW25" s="365">
        <v>2</v>
      </c>
      <c r="AX25" s="359">
        <v>0</v>
      </c>
      <c r="AY25" s="359" t="s">
        <v>705</v>
      </c>
      <c r="AZ25" s="363">
        <v>162.9</v>
      </c>
      <c r="BA25" s="357">
        <v>0</v>
      </c>
      <c r="BB25" s="358">
        <v>0.62638888888888888</v>
      </c>
      <c r="BC25" s="358">
        <v>0</v>
      </c>
      <c r="BD25" s="362">
        <v>0.63493055555555555</v>
      </c>
      <c r="BE25" s="362">
        <v>0.63493055555555555</v>
      </c>
      <c r="BF25" s="354" t="s">
        <v>112</v>
      </c>
      <c r="BG25" s="362">
        <v>0</v>
      </c>
      <c r="BH25" s="363">
        <v>0</v>
      </c>
      <c r="BI25" s="364">
        <v>0.64609953703703704</v>
      </c>
      <c r="BJ25" s="362">
        <v>0.64611111111111108</v>
      </c>
      <c r="BK25" s="359" t="s">
        <v>719</v>
      </c>
      <c r="BL25" s="362">
        <v>1.1622905731201172E-5</v>
      </c>
      <c r="BM25" s="363">
        <v>1</v>
      </c>
      <c r="BN25" s="364">
        <v>0.65746527777777775</v>
      </c>
      <c r="BO25" s="362">
        <v>0.65733796296296299</v>
      </c>
      <c r="BP25" s="359" t="s">
        <v>718</v>
      </c>
      <c r="BQ25" s="362">
        <v>1.2731552124023438E-4</v>
      </c>
      <c r="BR25" s="363">
        <v>11</v>
      </c>
      <c r="BS25" s="366">
        <v>0</v>
      </c>
      <c r="BT25" s="363">
        <v>0</v>
      </c>
      <c r="BU25" s="357">
        <v>0.52569444444444446</v>
      </c>
      <c r="BV25" s="361">
        <v>0</v>
      </c>
      <c r="BW25" s="357">
        <v>0.52986111111111112</v>
      </c>
      <c r="BX25" s="361">
        <v>0</v>
      </c>
      <c r="BY25" s="357">
        <v>0.57708333333333328</v>
      </c>
      <c r="BZ25" s="361">
        <v>0</v>
      </c>
      <c r="CA25" s="357">
        <v>0.59513890743255615</v>
      </c>
      <c r="CB25" s="358">
        <v>0.5854166666666667</v>
      </c>
      <c r="CC25" s="358">
        <v>8.3333333333333332E-3</v>
      </c>
      <c r="CD25" s="359" t="s">
        <v>718</v>
      </c>
      <c r="CE25" s="358">
        <v>9.7222328186035156E-3</v>
      </c>
      <c r="CF25" s="361">
        <v>120</v>
      </c>
    </row>
    <row r="26" spans="1:84" s="22" customFormat="1" x14ac:dyDescent="0.25">
      <c r="A26" s="354" t="s">
        <v>629</v>
      </c>
      <c r="B26" s="355" t="s">
        <v>619</v>
      </c>
      <c r="C26" s="355" t="s">
        <v>121</v>
      </c>
      <c r="D26" s="355" t="s">
        <v>214</v>
      </c>
      <c r="E26" s="355" t="s">
        <v>208</v>
      </c>
      <c r="F26" s="355" t="s">
        <v>550</v>
      </c>
      <c r="G26" s="356">
        <v>554.29999999999995</v>
      </c>
      <c r="H26" s="356">
        <v>0</v>
      </c>
      <c r="I26" s="356">
        <v>554.29999999999995</v>
      </c>
      <c r="J26" s="356">
        <v>0</v>
      </c>
      <c r="K26" s="357">
        <v>0.49027777777777781</v>
      </c>
      <c r="L26" s="358">
        <v>0.49027777777777781</v>
      </c>
      <c r="M26" s="359" t="s">
        <v>112</v>
      </c>
      <c r="N26" s="358">
        <v>0</v>
      </c>
      <c r="O26" s="360">
        <v>0</v>
      </c>
      <c r="P26" s="358">
        <v>8.3333335816860199E-2</v>
      </c>
      <c r="Q26" s="358">
        <v>0</v>
      </c>
      <c r="R26" s="357">
        <v>0.57361111359463801</v>
      </c>
      <c r="S26" s="358">
        <v>0.57361111111111118</v>
      </c>
      <c r="T26" s="359" t="s">
        <v>112</v>
      </c>
      <c r="U26" s="358">
        <v>0</v>
      </c>
      <c r="V26" s="360">
        <v>0</v>
      </c>
      <c r="W26" s="358">
        <v>8.3333335816860199E-2</v>
      </c>
      <c r="X26" s="358">
        <v>0</v>
      </c>
      <c r="Y26" s="358">
        <v>0</v>
      </c>
      <c r="Z26" s="357">
        <v>0.65694444692797138</v>
      </c>
      <c r="AA26" s="358">
        <v>0.65277777777777779</v>
      </c>
      <c r="AB26" s="359" t="s">
        <v>718</v>
      </c>
      <c r="AC26" s="358">
        <v>4.1666626930236816E-3</v>
      </c>
      <c r="AD26" s="360">
        <v>0</v>
      </c>
      <c r="AE26" s="357">
        <v>0</v>
      </c>
      <c r="AF26" s="358">
        <v>0.51527777777777783</v>
      </c>
      <c r="AG26" s="358">
        <v>0</v>
      </c>
      <c r="AH26" s="362">
        <v>0.52766203703703707</v>
      </c>
      <c r="AI26" s="362">
        <v>0.52923611111111113</v>
      </c>
      <c r="AJ26" s="354" t="s">
        <v>719</v>
      </c>
      <c r="AK26" s="362">
        <v>1.574099063873291E-3</v>
      </c>
      <c r="AL26" s="363">
        <v>136</v>
      </c>
      <c r="AM26" s="364">
        <v>0.53281250000000002</v>
      </c>
      <c r="AN26" s="362">
        <v>0.53263888888888888</v>
      </c>
      <c r="AO26" s="359" t="s">
        <v>718</v>
      </c>
      <c r="AP26" s="362">
        <v>1.735687255859375E-4</v>
      </c>
      <c r="AQ26" s="363">
        <v>15</v>
      </c>
      <c r="AR26" s="357">
        <v>0</v>
      </c>
      <c r="AS26" s="358">
        <v>0.58472222222222225</v>
      </c>
      <c r="AT26" s="358">
        <v>0</v>
      </c>
      <c r="AU26" s="365">
        <v>5.0999999999999996</v>
      </c>
      <c r="AV26" s="365">
        <v>0</v>
      </c>
      <c r="AW26" s="365">
        <v>2</v>
      </c>
      <c r="AX26" s="359">
        <v>0</v>
      </c>
      <c r="AY26" s="359">
        <v>0</v>
      </c>
      <c r="AZ26" s="363">
        <v>45.3</v>
      </c>
      <c r="BA26" s="357">
        <v>0</v>
      </c>
      <c r="BB26" s="358">
        <v>0.6069444444444444</v>
      </c>
      <c r="BC26" s="358">
        <v>0</v>
      </c>
      <c r="BD26" s="362">
        <v>0.61548611111111107</v>
      </c>
      <c r="BE26" s="362">
        <v>0.6149189814814815</v>
      </c>
      <c r="BF26" s="354" t="s">
        <v>718</v>
      </c>
      <c r="BG26" s="362">
        <v>5.6707859039306641E-4</v>
      </c>
      <c r="BH26" s="363">
        <v>49</v>
      </c>
      <c r="BI26" s="364">
        <v>0.62608796296296299</v>
      </c>
      <c r="BJ26" s="362">
        <v>0.62449074074074074</v>
      </c>
      <c r="BK26" s="359" t="s">
        <v>718</v>
      </c>
      <c r="BL26" s="362">
        <v>1.5972256660461426E-3</v>
      </c>
      <c r="BM26" s="363">
        <v>138</v>
      </c>
      <c r="BN26" s="364">
        <v>0.6358449074074074</v>
      </c>
      <c r="BO26" s="362">
        <v>0.63386574074074076</v>
      </c>
      <c r="BP26" s="359" t="s">
        <v>718</v>
      </c>
      <c r="BQ26" s="362">
        <v>1.9791722297668457E-3</v>
      </c>
      <c r="BR26" s="363">
        <v>171</v>
      </c>
      <c r="BS26" s="366">
        <v>0</v>
      </c>
      <c r="BT26" s="363">
        <v>0</v>
      </c>
      <c r="BU26" s="357">
        <v>0.50138888888888888</v>
      </c>
      <c r="BV26" s="361">
        <v>0</v>
      </c>
      <c r="BW26" s="357">
        <v>0.50486111111111109</v>
      </c>
      <c r="BX26" s="361">
        <v>0</v>
      </c>
      <c r="BY26" s="357">
        <v>0.55486111111111114</v>
      </c>
      <c r="BZ26" s="361">
        <v>0</v>
      </c>
      <c r="CA26" s="357">
        <v>0.57152777910232544</v>
      </c>
      <c r="CB26" s="358">
        <v>0.56388888888888888</v>
      </c>
      <c r="CC26" s="358">
        <v>8.3333333333333332E-3</v>
      </c>
      <c r="CD26" s="359" t="s">
        <v>718</v>
      </c>
      <c r="CE26" s="358">
        <v>7.6388716697692871E-3</v>
      </c>
      <c r="CF26" s="361">
        <v>0</v>
      </c>
    </row>
    <row r="27" spans="1:84" s="367" customFormat="1" x14ac:dyDescent="0.25">
      <c r="A27" s="380">
        <v>19</v>
      </c>
      <c r="B27" s="381" t="s">
        <v>220</v>
      </c>
      <c r="C27" s="381" t="s">
        <v>222</v>
      </c>
      <c r="D27" s="381" t="s">
        <v>28</v>
      </c>
      <c r="E27" s="381" t="s">
        <v>6</v>
      </c>
      <c r="F27" s="381" t="s">
        <v>550</v>
      </c>
      <c r="G27" s="382">
        <v>1176.9000000000001</v>
      </c>
      <c r="H27" s="382">
        <v>0</v>
      </c>
      <c r="I27" s="382">
        <v>1176.9000000000001</v>
      </c>
      <c r="J27" s="382">
        <v>0</v>
      </c>
      <c r="K27" s="383">
        <v>0.5131944444444444</v>
      </c>
      <c r="L27" s="152">
        <v>0.5131944444444444</v>
      </c>
      <c r="M27" s="384" t="s">
        <v>112</v>
      </c>
      <c r="N27" s="152">
        <v>0</v>
      </c>
      <c r="O27" s="385">
        <v>0</v>
      </c>
      <c r="P27" s="152">
        <v>8.3333335816860199E-2</v>
      </c>
      <c r="Q27" s="152">
        <v>1.3889074325561523E-3</v>
      </c>
      <c r="R27" s="383">
        <v>0.5965277802613046</v>
      </c>
      <c r="S27" s="152">
        <v>0.59652777777777777</v>
      </c>
      <c r="T27" s="384" t="s">
        <v>112</v>
      </c>
      <c r="U27" s="152">
        <v>0</v>
      </c>
      <c r="V27" s="385">
        <v>0</v>
      </c>
      <c r="W27" s="152">
        <v>8.3333335816860199E-2</v>
      </c>
      <c r="X27" s="152">
        <v>1.7361111111111049E-2</v>
      </c>
      <c r="Y27" s="152">
        <v>1.7361111111111049E-2</v>
      </c>
      <c r="Z27" s="383">
        <v>0.67986111359463797</v>
      </c>
      <c r="AA27" s="152">
        <v>0.69652777777777775</v>
      </c>
      <c r="AB27" s="384" t="s">
        <v>719</v>
      </c>
      <c r="AC27" s="152">
        <v>1.6666650772094727E-2</v>
      </c>
      <c r="AD27" s="385">
        <v>0</v>
      </c>
      <c r="AE27" s="383">
        <v>0.54027777777777775</v>
      </c>
      <c r="AF27" s="152">
        <v>0.54166666666666663</v>
      </c>
      <c r="AG27" s="152">
        <v>1.3889074325561523E-3</v>
      </c>
      <c r="AH27" s="386">
        <v>0.55405092592592586</v>
      </c>
      <c r="AI27" s="386">
        <v>0.55563657407407407</v>
      </c>
      <c r="AJ27" s="380" t="s">
        <v>719</v>
      </c>
      <c r="AK27" s="386">
        <v>1.5856623649597168E-3</v>
      </c>
      <c r="AL27" s="387">
        <v>137</v>
      </c>
      <c r="AM27" s="388">
        <v>0.55921296296296297</v>
      </c>
      <c r="AN27" s="386">
        <v>0.56123842592592588</v>
      </c>
      <c r="AO27" s="384" t="s">
        <v>719</v>
      </c>
      <c r="AP27" s="386">
        <v>2.0254254341125488E-3</v>
      </c>
      <c r="AQ27" s="387">
        <v>175</v>
      </c>
      <c r="AR27" s="383">
        <v>0.61111111111111105</v>
      </c>
      <c r="AS27" s="152">
        <v>0.62847222222222221</v>
      </c>
      <c r="AT27" s="152">
        <v>1.7361111111111049E-2</v>
      </c>
      <c r="AU27" s="389">
        <v>30.3</v>
      </c>
      <c r="AV27" s="389">
        <v>0</v>
      </c>
      <c r="AW27" s="389">
        <v>0</v>
      </c>
      <c r="AX27" s="384">
        <v>0</v>
      </c>
      <c r="AY27" s="384">
        <v>0</v>
      </c>
      <c r="AZ27" s="387">
        <v>90.9</v>
      </c>
      <c r="BA27" s="383">
        <v>0</v>
      </c>
      <c r="BB27" s="152">
        <v>0.63472222222222219</v>
      </c>
      <c r="BC27" s="152">
        <v>0</v>
      </c>
      <c r="BD27" s="386">
        <v>0.64326388888888886</v>
      </c>
      <c r="BE27" s="386">
        <v>0.64197916666666666</v>
      </c>
      <c r="BF27" s="380" t="s">
        <v>718</v>
      </c>
      <c r="BG27" s="386">
        <v>1.2847185134887695E-3</v>
      </c>
      <c r="BH27" s="387">
        <v>111</v>
      </c>
      <c r="BI27" s="388">
        <v>0.65314814814814814</v>
      </c>
      <c r="BJ27" s="386">
        <v>0.65387731481481481</v>
      </c>
      <c r="BK27" s="384" t="s">
        <v>719</v>
      </c>
      <c r="BL27" s="386">
        <v>7.2914361953735352E-4</v>
      </c>
      <c r="BM27" s="387">
        <v>63</v>
      </c>
      <c r="BN27" s="388">
        <v>0.66523148148148148</v>
      </c>
      <c r="BO27" s="386">
        <v>0.67552083333333324</v>
      </c>
      <c r="BP27" s="384" t="s">
        <v>719</v>
      </c>
      <c r="BQ27" s="386">
        <v>1.0289371013641357E-2</v>
      </c>
      <c r="BR27" s="387">
        <v>600</v>
      </c>
      <c r="BS27" s="390">
        <v>0</v>
      </c>
      <c r="BT27" s="387">
        <v>0</v>
      </c>
      <c r="BU27" s="383">
        <v>0.52777777777777779</v>
      </c>
      <c r="BV27" s="391">
        <v>0</v>
      </c>
      <c r="BW27" s="383">
        <v>0.53263888888888888</v>
      </c>
      <c r="BX27" s="391">
        <v>0</v>
      </c>
      <c r="BY27" s="383">
        <v>0.58124999999999993</v>
      </c>
      <c r="BZ27" s="391">
        <v>0</v>
      </c>
      <c r="CA27" s="383">
        <v>0.59444445371627808</v>
      </c>
      <c r="CB27" s="152">
        <v>0.59583333333333333</v>
      </c>
      <c r="CC27" s="152">
        <v>8.3333333333333332E-3</v>
      </c>
      <c r="CD27" s="384" t="s">
        <v>719</v>
      </c>
      <c r="CE27" s="152">
        <v>1.3889074325561523E-3</v>
      </c>
      <c r="CF27" s="391">
        <v>0</v>
      </c>
    </row>
    <row r="28" spans="1:84" s="22" customFormat="1" x14ac:dyDescent="0.25">
      <c r="A28" s="354">
        <v>22</v>
      </c>
      <c r="B28" s="355" t="s">
        <v>656</v>
      </c>
      <c r="C28" s="355" t="s">
        <v>658</v>
      </c>
      <c r="D28" s="355" t="s">
        <v>661</v>
      </c>
      <c r="E28" s="355" t="s">
        <v>660</v>
      </c>
      <c r="F28" s="355" t="s">
        <v>550</v>
      </c>
      <c r="G28" s="356">
        <v>2610.3000000000002</v>
      </c>
      <c r="H28" s="356">
        <v>0</v>
      </c>
      <c r="I28" s="356">
        <v>2610.3000000000002</v>
      </c>
      <c r="J28" s="356">
        <v>0</v>
      </c>
      <c r="K28" s="357">
        <v>0.51527777777777772</v>
      </c>
      <c r="L28" s="358">
        <v>0.51527777777777783</v>
      </c>
      <c r="M28" s="359" t="s">
        <v>112</v>
      </c>
      <c r="N28" s="358">
        <v>0</v>
      </c>
      <c r="O28" s="360">
        <v>0</v>
      </c>
      <c r="P28" s="358">
        <v>8.3333335816860199E-2</v>
      </c>
      <c r="Q28" s="358">
        <v>2.0833015441894531E-3</v>
      </c>
      <c r="R28" s="357">
        <v>0.59861111359463803</v>
      </c>
      <c r="S28" s="358">
        <v>0.59861111111111109</v>
      </c>
      <c r="T28" s="359" t="s">
        <v>112</v>
      </c>
      <c r="U28" s="358">
        <v>0</v>
      </c>
      <c r="V28" s="360">
        <v>0</v>
      </c>
      <c r="W28" s="358">
        <v>8.3333335816860199E-2</v>
      </c>
      <c r="X28" s="358">
        <v>0</v>
      </c>
      <c r="Y28" s="358">
        <v>0</v>
      </c>
      <c r="Z28" s="357">
        <v>0.68194444692797129</v>
      </c>
      <c r="AA28" s="358">
        <v>0.67499999999999993</v>
      </c>
      <c r="AB28" s="359" t="s">
        <v>718</v>
      </c>
      <c r="AC28" s="358">
        <v>6.9444179534912109E-3</v>
      </c>
      <c r="AD28" s="360">
        <v>0</v>
      </c>
      <c r="AE28" s="357">
        <v>0.54583333333333328</v>
      </c>
      <c r="AF28" s="358">
        <v>0.54791666666666672</v>
      </c>
      <c r="AG28" s="358">
        <v>2.0833015441894531E-3</v>
      </c>
      <c r="AH28" s="362">
        <v>0.56030092592592595</v>
      </c>
      <c r="AI28" s="362">
        <v>0.56027777777777776</v>
      </c>
      <c r="AJ28" s="354" t="s">
        <v>718</v>
      </c>
      <c r="AK28" s="362">
        <v>2.3186206817626953E-5</v>
      </c>
      <c r="AL28" s="363">
        <v>2</v>
      </c>
      <c r="AM28" s="364">
        <v>0.56385416666666666</v>
      </c>
      <c r="AN28" s="362">
        <v>0.56431712962962965</v>
      </c>
      <c r="AO28" s="359" t="s">
        <v>719</v>
      </c>
      <c r="AP28" s="362">
        <v>4.6294927597045898E-4</v>
      </c>
      <c r="AQ28" s="363">
        <v>40</v>
      </c>
      <c r="AR28" s="357">
        <v>0</v>
      </c>
      <c r="AS28" s="358">
        <v>0</v>
      </c>
      <c r="AT28" s="358">
        <v>0</v>
      </c>
      <c r="AU28" s="365">
        <v>56.1</v>
      </c>
      <c r="AV28" s="365">
        <v>0</v>
      </c>
      <c r="AW28" s="365">
        <v>0</v>
      </c>
      <c r="AX28" s="359">
        <v>0</v>
      </c>
      <c r="AY28" s="359">
        <v>0</v>
      </c>
      <c r="AZ28" s="363">
        <v>168.3</v>
      </c>
      <c r="BA28" s="357">
        <v>0</v>
      </c>
      <c r="BB28" s="358">
        <v>0.62916666666666665</v>
      </c>
      <c r="BC28" s="358">
        <v>0</v>
      </c>
      <c r="BD28" s="362">
        <v>0.63770833333333332</v>
      </c>
      <c r="BE28" s="362">
        <v>0.64837962962962969</v>
      </c>
      <c r="BF28" s="354" t="s">
        <v>719</v>
      </c>
      <c r="BG28" s="362">
        <v>1.0671317577362061E-2</v>
      </c>
      <c r="BH28" s="363">
        <v>600</v>
      </c>
      <c r="BI28" s="364">
        <v>0.65954861111111118</v>
      </c>
      <c r="BJ28" s="362">
        <v>0</v>
      </c>
      <c r="BK28" s="359" t="s">
        <v>112</v>
      </c>
      <c r="BL28" s="362">
        <v>0</v>
      </c>
      <c r="BM28" s="363">
        <v>1800</v>
      </c>
      <c r="BN28" s="364">
        <v>0</v>
      </c>
      <c r="BO28" s="362">
        <v>0.65969907407407413</v>
      </c>
      <c r="BP28" s="359" t="s">
        <v>112</v>
      </c>
      <c r="BQ28" s="362">
        <v>0</v>
      </c>
      <c r="BR28" s="363">
        <v>0</v>
      </c>
      <c r="BS28" s="366">
        <v>0</v>
      </c>
      <c r="BT28" s="363">
        <v>0</v>
      </c>
      <c r="BU28" s="357">
        <v>0.52986111111111112</v>
      </c>
      <c r="BV28" s="361">
        <v>0</v>
      </c>
      <c r="BW28" s="357">
        <v>0.53402777777777777</v>
      </c>
      <c r="BX28" s="361">
        <v>0</v>
      </c>
      <c r="BY28" s="357">
        <v>0.5854166666666667</v>
      </c>
      <c r="BZ28" s="361">
        <v>0</v>
      </c>
      <c r="CA28" s="357">
        <v>0.59652775526046753</v>
      </c>
      <c r="CB28" s="358">
        <v>0.59375</v>
      </c>
      <c r="CC28" s="358">
        <v>8.3333333333333332E-3</v>
      </c>
      <c r="CD28" s="359" t="s">
        <v>718</v>
      </c>
      <c r="CE28" s="358">
        <v>2.7777552604675293E-3</v>
      </c>
      <c r="CF28" s="361">
        <v>0</v>
      </c>
    </row>
    <row r="29" spans="1:84" s="367" customFormat="1" x14ac:dyDescent="0.25">
      <c r="A29" s="380">
        <v>5</v>
      </c>
      <c r="B29" s="381" t="s">
        <v>562</v>
      </c>
      <c r="C29" s="381" t="s">
        <v>573</v>
      </c>
      <c r="D29" s="381" t="s">
        <v>585</v>
      </c>
      <c r="E29" s="381" t="s">
        <v>721</v>
      </c>
      <c r="F29" s="381" t="s">
        <v>549</v>
      </c>
      <c r="G29" s="382">
        <v>124.5</v>
      </c>
      <c r="H29" s="382">
        <v>0</v>
      </c>
      <c r="I29" s="382">
        <v>124.5</v>
      </c>
      <c r="J29" s="382">
        <v>0</v>
      </c>
      <c r="K29" s="383">
        <v>0.50347222222222221</v>
      </c>
      <c r="L29" s="152">
        <v>0.50347222222222221</v>
      </c>
      <c r="M29" s="384" t="s">
        <v>112</v>
      </c>
      <c r="N29" s="152">
        <v>0</v>
      </c>
      <c r="O29" s="385">
        <v>0</v>
      </c>
      <c r="P29" s="152">
        <v>8.3333335816860199E-2</v>
      </c>
      <c r="Q29" s="152">
        <v>0</v>
      </c>
      <c r="R29" s="383">
        <v>0.58680555803908241</v>
      </c>
      <c r="S29" s="152">
        <v>0.58680555555555558</v>
      </c>
      <c r="T29" s="384" t="s">
        <v>112</v>
      </c>
      <c r="U29" s="152">
        <v>0</v>
      </c>
      <c r="V29" s="385">
        <v>0</v>
      </c>
      <c r="W29" s="152">
        <v>8.3333335816860199E-2</v>
      </c>
      <c r="X29" s="152">
        <v>4.1666626930236816E-3</v>
      </c>
      <c r="Y29" s="152">
        <v>4.1666626930236816E-3</v>
      </c>
      <c r="Z29" s="383">
        <v>0.67013889137241578</v>
      </c>
      <c r="AA29" s="152">
        <v>0.6645833333333333</v>
      </c>
      <c r="AB29" s="384" t="s">
        <v>718</v>
      </c>
      <c r="AC29" s="152">
        <v>5.555570125579834E-3</v>
      </c>
      <c r="AD29" s="385">
        <v>0</v>
      </c>
      <c r="AE29" s="383">
        <v>0</v>
      </c>
      <c r="AF29" s="152">
        <v>0.52986111111111112</v>
      </c>
      <c r="AG29" s="152">
        <v>0</v>
      </c>
      <c r="AH29" s="386">
        <v>0.54224537037037035</v>
      </c>
      <c r="AI29" s="386">
        <v>0.54224537037037035</v>
      </c>
      <c r="AJ29" s="380" t="s">
        <v>112</v>
      </c>
      <c r="AK29" s="386">
        <v>0</v>
      </c>
      <c r="AL29" s="387">
        <v>0</v>
      </c>
      <c r="AM29" s="388">
        <v>0.54582175925925924</v>
      </c>
      <c r="AN29" s="386">
        <v>0.54583333333333328</v>
      </c>
      <c r="AO29" s="384" t="s">
        <v>719</v>
      </c>
      <c r="AP29" s="386">
        <v>1.1563301086425781E-5</v>
      </c>
      <c r="AQ29" s="387">
        <v>1</v>
      </c>
      <c r="AR29" s="383">
        <v>0</v>
      </c>
      <c r="AS29" s="152">
        <v>0</v>
      </c>
      <c r="AT29" s="152">
        <v>0</v>
      </c>
      <c r="AU29" s="389">
        <v>28.5</v>
      </c>
      <c r="AV29" s="389">
        <v>0</v>
      </c>
      <c r="AW29" s="389">
        <v>2</v>
      </c>
      <c r="AX29" s="384">
        <v>0</v>
      </c>
      <c r="AY29" s="384">
        <v>0</v>
      </c>
      <c r="AZ29" s="387">
        <v>115.5</v>
      </c>
      <c r="BA29" s="383">
        <v>0.60763888888888895</v>
      </c>
      <c r="BB29" s="152">
        <v>0.6118055555555556</v>
      </c>
      <c r="BC29" s="152">
        <v>4.1666626930236816E-3</v>
      </c>
      <c r="BD29" s="386">
        <v>0.62034722222222227</v>
      </c>
      <c r="BE29" s="386">
        <v>0.62040509259259258</v>
      </c>
      <c r="BF29" s="380" t="s">
        <v>719</v>
      </c>
      <c r="BG29" s="386">
        <v>5.7876110076904297E-5</v>
      </c>
      <c r="BH29" s="387">
        <v>5</v>
      </c>
      <c r="BI29" s="388">
        <v>0.63157407407407407</v>
      </c>
      <c r="BJ29" s="386">
        <v>0.63156250000000003</v>
      </c>
      <c r="BK29" s="384" t="s">
        <v>718</v>
      </c>
      <c r="BL29" s="386">
        <v>1.1622905731201172E-5</v>
      </c>
      <c r="BM29" s="387">
        <v>1</v>
      </c>
      <c r="BN29" s="388">
        <v>0.64291666666666669</v>
      </c>
      <c r="BO29" s="386">
        <v>0.6428935185185185</v>
      </c>
      <c r="BP29" s="384" t="s">
        <v>718</v>
      </c>
      <c r="BQ29" s="386">
        <v>2.3186206817626953E-5</v>
      </c>
      <c r="BR29" s="387">
        <v>2</v>
      </c>
      <c r="BS29" s="390">
        <v>0</v>
      </c>
      <c r="BT29" s="387">
        <v>0</v>
      </c>
      <c r="BU29" s="383">
        <v>0.51736111111111105</v>
      </c>
      <c r="BV29" s="391">
        <v>0</v>
      </c>
      <c r="BW29" s="383">
        <v>0.52083333333333337</v>
      </c>
      <c r="BX29" s="391">
        <v>0</v>
      </c>
      <c r="BY29" s="383">
        <v>0.56736111111111109</v>
      </c>
      <c r="BZ29" s="391">
        <v>0</v>
      </c>
      <c r="CA29" s="383">
        <v>0.58472222089767456</v>
      </c>
      <c r="CB29" s="152">
        <v>0.57986111111111105</v>
      </c>
      <c r="CC29" s="152">
        <v>8.3333333333333332E-3</v>
      </c>
      <c r="CD29" s="384" t="s">
        <v>718</v>
      </c>
      <c r="CE29" s="152">
        <v>4.8611164093017578E-3</v>
      </c>
      <c r="CF29" s="391">
        <v>0</v>
      </c>
    </row>
    <row r="30" spans="1:84" s="22" customFormat="1" hidden="1" x14ac:dyDescent="0.25">
      <c r="A30" s="380">
        <v>21</v>
      </c>
      <c r="B30" s="381" t="s">
        <v>560</v>
      </c>
      <c r="C30" s="381" t="s">
        <v>572</v>
      </c>
      <c r="D30" s="381" t="s">
        <v>583</v>
      </c>
      <c r="E30" s="381" t="s">
        <v>582</v>
      </c>
      <c r="F30" s="381" t="s">
        <v>550</v>
      </c>
      <c r="G30" s="382" t="e">
        <v>#VALUE!</v>
      </c>
      <c r="H30" s="382" t="e">
        <v>#VALUE!</v>
      </c>
      <c r="I30" s="382">
        <v>7200</v>
      </c>
      <c r="J30" s="382">
        <v>0</v>
      </c>
      <c r="K30" s="383">
        <v>0.51458333333333328</v>
      </c>
      <c r="L30" s="152" t="s">
        <v>693</v>
      </c>
      <c r="M30" s="384" t="e">
        <v>#VALUE!</v>
      </c>
      <c r="N30" s="152" t="e">
        <v>#VALUE!</v>
      </c>
      <c r="O30" s="385" t="e">
        <v>#VALUE!</v>
      </c>
      <c r="P30" s="152">
        <v>8.3333335816860199E-2</v>
      </c>
      <c r="Q30" s="152">
        <v>0</v>
      </c>
      <c r="R30" s="383" t="e">
        <v>#VALUE!</v>
      </c>
      <c r="S30" s="152">
        <v>0</v>
      </c>
      <c r="T30" s="384" t="s">
        <v>112</v>
      </c>
      <c r="U30" s="152">
        <v>0</v>
      </c>
      <c r="V30" s="385">
        <v>900</v>
      </c>
      <c r="W30" s="152">
        <v>8.3333335816860199E-2</v>
      </c>
      <c r="X30" s="152">
        <v>0</v>
      </c>
      <c r="Y30" s="152">
        <v>0</v>
      </c>
      <c r="Z30" s="383" t="e">
        <v>#VALUE!</v>
      </c>
      <c r="AA30" s="152">
        <v>0</v>
      </c>
      <c r="AB30" s="384" t="s">
        <v>112</v>
      </c>
      <c r="AC30" s="152">
        <v>0</v>
      </c>
      <c r="AD30" s="385" t="s">
        <v>723</v>
      </c>
      <c r="AE30" s="383">
        <v>0</v>
      </c>
      <c r="AF30" s="152">
        <v>0</v>
      </c>
      <c r="AG30" s="152">
        <v>0</v>
      </c>
      <c r="AH30" s="386">
        <v>0</v>
      </c>
      <c r="AI30" s="386">
        <v>0</v>
      </c>
      <c r="AJ30" s="380" t="s">
        <v>112</v>
      </c>
      <c r="AK30" s="386">
        <v>0</v>
      </c>
      <c r="AL30" s="387">
        <v>1800</v>
      </c>
      <c r="AM30" s="388">
        <v>0</v>
      </c>
      <c r="AN30" s="386">
        <v>0</v>
      </c>
      <c r="AO30" s="384" t="s">
        <v>112</v>
      </c>
      <c r="AP30" s="386">
        <v>0</v>
      </c>
      <c r="AQ30" s="387">
        <v>0</v>
      </c>
      <c r="AR30" s="383">
        <v>0</v>
      </c>
      <c r="AS30" s="152">
        <v>0</v>
      </c>
      <c r="AT30" s="152">
        <v>0</v>
      </c>
      <c r="AU30" s="389">
        <v>0</v>
      </c>
      <c r="AV30" s="389">
        <v>0</v>
      </c>
      <c r="AW30" s="389">
        <v>0</v>
      </c>
      <c r="AX30" s="384">
        <v>0</v>
      </c>
      <c r="AY30" s="384">
        <v>0</v>
      </c>
      <c r="AZ30" s="387">
        <v>1800</v>
      </c>
      <c r="BA30" s="383">
        <v>0</v>
      </c>
      <c r="BB30" s="152">
        <v>0</v>
      </c>
      <c r="BC30" s="152">
        <v>0</v>
      </c>
      <c r="BD30" s="386">
        <v>0</v>
      </c>
      <c r="BE30" s="386">
        <v>0</v>
      </c>
      <c r="BF30" s="380" t="s">
        <v>112</v>
      </c>
      <c r="BG30" s="386">
        <v>0</v>
      </c>
      <c r="BH30" s="387">
        <v>1800</v>
      </c>
      <c r="BI30" s="388">
        <v>0</v>
      </c>
      <c r="BJ30" s="386">
        <v>0</v>
      </c>
      <c r="BK30" s="384" t="s">
        <v>112</v>
      </c>
      <c r="BL30" s="386">
        <v>0</v>
      </c>
      <c r="BM30" s="387">
        <v>1800</v>
      </c>
      <c r="BN30" s="388">
        <v>0</v>
      </c>
      <c r="BO30" s="386">
        <v>0</v>
      </c>
      <c r="BP30" s="384" t="s">
        <v>112</v>
      </c>
      <c r="BQ30" s="386">
        <v>0</v>
      </c>
      <c r="BR30" s="387">
        <v>0</v>
      </c>
      <c r="BS30" s="390">
        <v>0</v>
      </c>
      <c r="BT30" s="387">
        <v>0</v>
      </c>
      <c r="BU30" s="383">
        <v>0</v>
      </c>
      <c r="BV30" s="391">
        <v>900</v>
      </c>
      <c r="BW30" s="383">
        <v>0</v>
      </c>
      <c r="BX30" s="391">
        <v>900</v>
      </c>
      <c r="BY30" s="383">
        <v>0</v>
      </c>
      <c r="BZ30" s="391">
        <v>900</v>
      </c>
      <c r="CA30" s="383" t="e">
        <v>#VALUE!</v>
      </c>
      <c r="CB30" s="152">
        <v>0</v>
      </c>
      <c r="CC30" s="152">
        <v>8.3333333333333332E-3</v>
      </c>
      <c r="CD30" s="384" t="e">
        <v>#VALUE!</v>
      </c>
      <c r="CE30" s="152">
        <v>0</v>
      </c>
      <c r="CF30" s="391">
        <v>900</v>
      </c>
    </row>
    <row r="31" spans="1:84" s="367" customFormat="1" x14ac:dyDescent="0.25">
      <c r="A31" s="380">
        <v>1</v>
      </c>
      <c r="B31" s="381" t="s">
        <v>551</v>
      </c>
      <c r="C31" s="381" t="s">
        <v>568</v>
      </c>
      <c r="D31" s="381" t="s">
        <v>577</v>
      </c>
      <c r="E31" s="381" t="s">
        <v>208</v>
      </c>
      <c r="F31" s="381" t="s">
        <v>549</v>
      </c>
      <c r="G31" s="382">
        <v>577.5</v>
      </c>
      <c r="H31" s="382">
        <v>0</v>
      </c>
      <c r="I31" s="382">
        <v>577.5</v>
      </c>
      <c r="J31" s="382">
        <v>0</v>
      </c>
      <c r="K31" s="383">
        <v>0.52013888888888882</v>
      </c>
      <c r="L31" s="152">
        <v>0.52013888888888882</v>
      </c>
      <c r="M31" s="384" t="s">
        <v>112</v>
      </c>
      <c r="N31" s="152">
        <v>0</v>
      </c>
      <c r="O31" s="385">
        <v>0</v>
      </c>
      <c r="P31" s="152">
        <v>8.3333335816860199E-2</v>
      </c>
      <c r="Q31" s="152">
        <v>2.0833611488342285E-3</v>
      </c>
      <c r="R31" s="383">
        <v>0.60347222470574902</v>
      </c>
      <c r="S31" s="152">
        <v>0.60347222222222219</v>
      </c>
      <c r="T31" s="384" t="s">
        <v>112</v>
      </c>
      <c r="U31" s="152">
        <v>0</v>
      </c>
      <c r="V31" s="385">
        <v>0</v>
      </c>
      <c r="W31" s="152">
        <v>8.3333335816860199E-2</v>
      </c>
      <c r="X31" s="152">
        <v>1.7361111111111049E-2</v>
      </c>
      <c r="Y31" s="152">
        <v>1.7361111111111049E-2</v>
      </c>
      <c r="Z31" s="383">
        <v>0.68680555803908239</v>
      </c>
      <c r="AA31" s="152">
        <v>0.69305555555555554</v>
      </c>
      <c r="AB31" s="384" t="s">
        <v>719</v>
      </c>
      <c r="AC31" s="152">
        <v>6.2500238418579102E-3</v>
      </c>
      <c r="AD31" s="385">
        <v>0</v>
      </c>
      <c r="AE31" s="383">
        <v>0.54791666666666672</v>
      </c>
      <c r="AF31" s="152">
        <v>0.54999999999999993</v>
      </c>
      <c r="AG31" s="152">
        <v>2.0833611488342285E-3</v>
      </c>
      <c r="AH31" s="386">
        <v>0.56238425925925917</v>
      </c>
      <c r="AI31" s="386">
        <v>0.56440972222222219</v>
      </c>
      <c r="AJ31" s="380" t="s">
        <v>719</v>
      </c>
      <c r="AK31" s="386">
        <v>2.0254850387573242E-3</v>
      </c>
      <c r="AL31" s="387">
        <v>175</v>
      </c>
      <c r="AM31" s="388">
        <v>0.56798611111111108</v>
      </c>
      <c r="AN31" s="386">
        <v>0.5680439814814815</v>
      </c>
      <c r="AO31" s="384" t="s">
        <v>719</v>
      </c>
      <c r="AP31" s="386">
        <v>5.7876110076904297E-5</v>
      </c>
      <c r="AQ31" s="387">
        <v>5</v>
      </c>
      <c r="AR31" s="383">
        <v>0.62083333333333335</v>
      </c>
      <c r="AS31" s="152">
        <v>0.6381944444444444</v>
      </c>
      <c r="AT31" s="152">
        <v>1.7361111111111049E-2</v>
      </c>
      <c r="AU31" s="389">
        <v>111.5</v>
      </c>
      <c r="AV31" s="389">
        <v>0</v>
      </c>
      <c r="AW31" s="389">
        <v>0</v>
      </c>
      <c r="AX31" s="384">
        <v>0</v>
      </c>
      <c r="AY31" s="384">
        <v>0</v>
      </c>
      <c r="AZ31" s="387">
        <v>334.5</v>
      </c>
      <c r="BA31" s="383">
        <v>0</v>
      </c>
      <c r="BB31" s="152">
        <v>0.64583333333333337</v>
      </c>
      <c r="BC31" s="152">
        <v>0</v>
      </c>
      <c r="BD31" s="386">
        <v>0.65437500000000004</v>
      </c>
      <c r="BE31" s="386">
        <v>0.65487268518518515</v>
      </c>
      <c r="BF31" s="380" t="s">
        <v>719</v>
      </c>
      <c r="BG31" s="386">
        <v>4.9763917922973633E-4</v>
      </c>
      <c r="BH31" s="387">
        <v>43</v>
      </c>
      <c r="BI31" s="388">
        <v>0.66604166666666664</v>
      </c>
      <c r="BJ31" s="386">
        <v>0.66621527777777778</v>
      </c>
      <c r="BK31" s="384" t="s">
        <v>719</v>
      </c>
      <c r="BL31" s="386">
        <v>1.7362833023071289E-4</v>
      </c>
      <c r="BM31" s="387">
        <v>15</v>
      </c>
      <c r="BN31" s="388">
        <v>0.67756944444444445</v>
      </c>
      <c r="BO31" s="386">
        <v>0.67762731481481486</v>
      </c>
      <c r="BP31" s="384" t="s">
        <v>719</v>
      </c>
      <c r="BQ31" s="386">
        <v>5.7876110076904297E-5</v>
      </c>
      <c r="BR31" s="387">
        <v>5</v>
      </c>
      <c r="BS31" s="390">
        <v>0</v>
      </c>
      <c r="BT31" s="387">
        <v>0</v>
      </c>
      <c r="BU31" s="383">
        <v>0.53333333333333333</v>
      </c>
      <c r="BV31" s="391">
        <v>0</v>
      </c>
      <c r="BW31" s="383">
        <v>0.53749999999999998</v>
      </c>
      <c r="BX31" s="391">
        <v>0</v>
      </c>
      <c r="BY31" s="383">
        <v>0.59166666666666667</v>
      </c>
      <c r="BZ31" s="391">
        <v>0</v>
      </c>
      <c r="CA31" s="383">
        <v>0.60138887166976929</v>
      </c>
      <c r="CB31" s="152">
        <v>0.6020833333333333</v>
      </c>
      <c r="CC31" s="152">
        <v>8.3333333333333332E-3</v>
      </c>
      <c r="CD31" s="384" t="s">
        <v>719</v>
      </c>
      <c r="CE31" s="152">
        <v>6.9445371627807617E-4</v>
      </c>
      <c r="CF31" s="391">
        <v>0</v>
      </c>
    </row>
    <row r="32" spans="1:84" s="22" customFormat="1" x14ac:dyDescent="0.25">
      <c r="A32" s="380">
        <v>7</v>
      </c>
      <c r="B32" s="381" t="s">
        <v>566</v>
      </c>
      <c r="C32" s="381" t="s">
        <v>575</v>
      </c>
      <c r="D32" s="381" t="s">
        <v>587</v>
      </c>
      <c r="E32" s="381" t="s">
        <v>722</v>
      </c>
      <c r="F32" s="381" t="s">
        <v>549</v>
      </c>
      <c r="G32" s="382">
        <v>862.3</v>
      </c>
      <c r="H32" s="382">
        <v>0</v>
      </c>
      <c r="I32" s="382">
        <v>862.3</v>
      </c>
      <c r="J32" s="382">
        <v>0</v>
      </c>
      <c r="K32" s="383">
        <v>0.50486111111111109</v>
      </c>
      <c r="L32" s="152">
        <v>0.50486111111111109</v>
      </c>
      <c r="M32" s="384" t="s">
        <v>112</v>
      </c>
      <c r="N32" s="152">
        <v>0</v>
      </c>
      <c r="O32" s="385">
        <v>0</v>
      </c>
      <c r="P32" s="152">
        <v>8.3333335816860199E-2</v>
      </c>
      <c r="Q32" s="152">
        <v>0</v>
      </c>
      <c r="R32" s="383">
        <v>0.58819444692797129</v>
      </c>
      <c r="S32" s="152">
        <v>0.58819444444444446</v>
      </c>
      <c r="T32" s="384" t="s">
        <v>112</v>
      </c>
      <c r="U32" s="152">
        <v>0</v>
      </c>
      <c r="V32" s="385">
        <v>0</v>
      </c>
      <c r="W32" s="152">
        <v>8.3333335816860199E-2</v>
      </c>
      <c r="X32" s="152">
        <v>0</v>
      </c>
      <c r="Y32" s="152">
        <v>0</v>
      </c>
      <c r="Z32" s="383">
        <v>0.67152778026130466</v>
      </c>
      <c r="AA32" s="152">
        <v>0.66736111111111107</v>
      </c>
      <c r="AB32" s="384" t="s">
        <v>718</v>
      </c>
      <c r="AC32" s="152">
        <v>4.1666626930236816E-3</v>
      </c>
      <c r="AD32" s="385">
        <v>0</v>
      </c>
      <c r="AE32" s="383">
        <v>0</v>
      </c>
      <c r="AF32" s="152">
        <v>0.53402777777777777</v>
      </c>
      <c r="AG32" s="152">
        <v>0</v>
      </c>
      <c r="AH32" s="386">
        <v>0.546412037037037</v>
      </c>
      <c r="AI32" s="386">
        <v>0.54736111111111108</v>
      </c>
      <c r="AJ32" s="380" t="s">
        <v>719</v>
      </c>
      <c r="AK32" s="386">
        <v>9.4908475875854492E-4</v>
      </c>
      <c r="AL32" s="387">
        <v>82</v>
      </c>
      <c r="AM32" s="388">
        <v>0.55093749999999997</v>
      </c>
      <c r="AN32" s="386">
        <v>0.55094907407407401</v>
      </c>
      <c r="AO32" s="384" t="s">
        <v>719</v>
      </c>
      <c r="AP32" s="386">
        <v>1.1622905731201172E-5</v>
      </c>
      <c r="AQ32" s="387">
        <v>1</v>
      </c>
      <c r="AR32" s="383">
        <v>0</v>
      </c>
      <c r="AS32" s="152">
        <v>0.60833333333333328</v>
      </c>
      <c r="AT32" s="152">
        <v>0</v>
      </c>
      <c r="AU32" s="389">
        <v>30.1</v>
      </c>
      <c r="AV32" s="389">
        <v>0</v>
      </c>
      <c r="AW32" s="389">
        <v>0</v>
      </c>
      <c r="AX32" s="384">
        <v>0</v>
      </c>
      <c r="AY32" s="384" t="s">
        <v>705</v>
      </c>
      <c r="AZ32" s="387">
        <v>150.30000000000001</v>
      </c>
      <c r="BA32" s="383">
        <v>0</v>
      </c>
      <c r="BB32" s="152">
        <v>0.61527777777777781</v>
      </c>
      <c r="BC32" s="152">
        <v>0</v>
      </c>
      <c r="BD32" s="386">
        <v>0.62381944444444448</v>
      </c>
      <c r="BE32" s="386">
        <v>0.62988425925925928</v>
      </c>
      <c r="BF32" s="380" t="s">
        <v>719</v>
      </c>
      <c r="BG32" s="386">
        <v>6.0647726058959961E-3</v>
      </c>
      <c r="BH32" s="387">
        <v>524</v>
      </c>
      <c r="BI32" s="388">
        <v>0.64105324074074077</v>
      </c>
      <c r="BJ32" s="386">
        <v>0.64143518518518516</v>
      </c>
      <c r="BK32" s="384" t="s">
        <v>719</v>
      </c>
      <c r="BL32" s="386">
        <v>3.8194656372070313E-4</v>
      </c>
      <c r="BM32" s="387">
        <v>33</v>
      </c>
      <c r="BN32" s="388">
        <v>0.65278935185185183</v>
      </c>
      <c r="BO32" s="386">
        <v>0.65362268518518518</v>
      </c>
      <c r="BP32" s="384" t="s">
        <v>719</v>
      </c>
      <c r="BQ32" s="386">
        <v>8.3333253860473633E-4</v>
      </c>
      <c r="BR32" s="387">
        <v>72</v>
      </c>
      <c r="BS32" s="390">
        <v>0</v>
      </c>
      <c r="BT32" s="387">
        <v>0</v>
      </c>
      <c r="BU32" s="383">
        <v>0.52083333333333337</v>
      </c>
      <c r="BV32" s="391">
        <v>0</v>
      </c>
      <c r="BW32" s="383">
        <v>0.52430555555555558</v>
      </c>
      <c r="BX32" s="391">
        <v>0</v>
      </c>
      <c r="BY32" s="383">
        <v>0.57430555555555551</v>
      </c>
      <c r="BZ32" s="391">
        <v>0</v>
      </c>
      <c r="CA32" s="383">
        <v>0.58611112833023071</v>
      </c>
      <c r="CB32" s="152">
        <v>0.58124999999999993</v>
      </c>
      <c r="CC32" s="152">
        <v>8.3333333333333332E-3</v>
      </c>
      <c r="CD32" s="384" t="s">
        <v>718</v>
      </c>
      <c r="CE32" s="152">
        <v>4.8611164093017578E-3</v>
      </c>
      <c r="CF32" s="391">
        <v>0</v>
      </c>
    </row>
    <row r="33" spans="1:84" s="367" customFormat="1" x14ac:dyDescent="0.25">
      <c r="A33" s="354">
        <v>6</v>
      </c>
      <c r="B33" s="355" t="s">
        <v>564</v>
      </c>
      <c r="C33" s="355" t="s">
        <v>574</v>
      </c>
      <c r="D33" s="355" t="s">
        <v>586</v>
      </c>
      <c r="E33" s="355" t="s">
        <v>208</v>
      </c>
      <c r="F33" s="355" t="s">
        <v>549</v>
      </c>
      <c r="G33" s="356">
        <v>2525.1</v>
      </c>
      <c r="H33" s="356">
        <v>0</v>
      </c>
      <c r="I33" s="356">
        <v>2525.1</v>
      </c>
      <c r="J33" s="356">
        <v>0</v>
      </c>
      <c r="K33" s="357">
        <v>0.50416666666666665</v>
      </c>
      <c r="L33" s="358">
        <v>0.50416666666666665</v>
      </c>
      <c r="M33" s="359" t="s">
        <v>112</v>
      </c>
      <c r="N33" s="358">
        <v>0</v>
      </c>
      <c r="O33" s="360">
        <v>0</v>
      </c>
      <c r="P33" s="358">
        <v>8.3333335816860199E-2</v>
      </c>
      <c r="Q33" s="358">
        <v>0</v>
      </c>
      <c r="R33" s="357">
        <v>0.58750000248352685</v>
      </c>
      <c r="S33" s="358">
        <v>0.58750000000000002</v>
      </c>
      <c r="T33" s="359" t="s">
        <v>112</v>
      </c>
      <c r="U33" s="358">
        <v>0</v>
      </c>
      <c r="V33" s="360">
        <v>0</v>
      </c>
      <c r="W33" s="358">
        <v>8.3333335816860199E-2</v>
      </c>
      <c r="X33" s="358">
        <v>0</v>
      </c>
      <c r="Y33" s="358">
        <v>0</v>
      </c>
      <c r="Z33" s="357">
        <v>0.67083333581686022</v>
      </c>
      <c r="AA33" s="358">
        <v>0.66388888888888886</v>
      </c>
      <c r="AB33" s="359" t="s">
        <v>718</v>
      </c>
      <c r="AC33" s="358">
        <v>6.9444775581359863E-3</v>
      </c>
      <c r="AD33" s="360">
        <v>0</v>
      </c>
      <c r="AE33" s="357">
        <v>0</v>
      </c>
      <c r="AF33" s="358">
        <v>0.53680555555555554</v>
      </c>
      <c r="AG33" s="358">
        <v>0</v>
      </c>
      <c r="AH33" s="362">
        <v>0.54918981481481477</v>
      </c>
      <c r="AI33" s="362">
        <v>0.54951388888888886</v>
      </c>
      <c r="AJ33" s="354" t="s">
        <v>719</v>
      </c>
      <c r="AK33" s="362">
        <v>3.2407045364379883E-4</v>
      </c>
      <c r="AL33" s="363">
        <v>28</v>
      </c>
      <c r="AM33" s="364">
        <v>0.55309027777777775</v>
      </c>
      <c r="AN33" s="362">
        <v>0.55306712962962956</v>
      </c>
      <c r="AO33" s="359" t="s">
        <v>718</v>
      </c>
      <c r="AP33" s="362">
        <v>2.3126602172851563E-5</v>
      </c>
      <c r="AQ33" s="363">
        <v>2</v>
      </c>
      <c r="AR33" s="357">
        <v>0</v>
      </c>
      <c r="AS33" s="358">
        <v>0</v>
      </c>
      <c r="AT33" s="358">
        <v>0</v>
      </c>
      <c r="AU33" s="365">
        <v>21.7</v>
      </c>
      <c r="AV33" s="365">
        <v>0</v>
      </c>
      <c r="AW33" s="365">
        <v>2</v>
      </c>
      <c r="AX33" s="359">
        <v>0</v>
      </c>
      <c r="AY33" s="359">
        <v>0</v>
      </c>
      <c r="AZ33" s="363">
        <v>95.1</v>
      </c>
      <c r="BA33" s="357">
        <v>0</v>
      </c>
      <c r="BB33" s="358">
        <v>0.61319444444444449</v>
      </c>
      <c r="BC33" s="358">
        <v>0</v>
      </c>
      <c r="BD33" s="362">
        <v>0.62173611111111116</v>
      </c>
      <c r="BE33" s="362">
        <v>0.63062499999999999</v>
      </c>
      <c r="BF33" s="354" t="s">
        <v>719</v>
      </c>
      <c r="BG33" s="362">
        <v>8.8889002799987793E-3</v>
      </c>
      <c r="BH33" s="363">
        <v>600</v>
      </c>
      <c r="BI33" s="364">
        <v>0.64179398148148148</v>
      </c>
      <c r="BJ33" s="362">
        <v>0</v>
      </c>
      <c r="BK33" s="359" t="s">
        <v>112</v>
      </c>
      <c r="BL33" s="362">
        <v>0</v>
      </c>
      <c r="BM33" s="363">
        <v>1800</v>
      </c>
      <c r="BN33" s="364">
        <v>0</v>
      </c>
      <c r="BO33" s="362">
        <v>0.64148148148148143</v>
      </c>
      <c r="BP33" s="359" t="s">
        <v>112</v>
      </c>
      <c r="BQ33" s="362">
        <v>0</v>
      </c>
      <c r="BR33" s="363">
        <v>0</v>
      </c>
      <c r="BS33" s="366">
        <v>0</v>
      </c>
      <c r="BT33" s="363">
        <v>0</v>
      </c>
      <c r="BU33" s="357">
        <v>0.52083333333333337</v>
      </c>
      <c r="BV33" s="361">
        <v>0</v>
      </c>
      <c r="BW33" s="357">
        <v>0.52569444444444446</v>
      </c>
      <c r="BX33" s="361">
        <v>0</v>
      </c>
      <c r="BY33" s="357">
        <v>0.57430555555555551</v>
      </c>
      <c r="BZ33" s="361">
        <v>0</v>
      </c>
      <c r="CA33" s="357">
        <v>0.58541667461395264</v>
      </c>
      <c r="CB33" s="358">
        <v>0.58333333333333337</v>
      </c>
      <c r="CC33" s="358">
        <v>8.3333333333333332E-3</v>
      </c>
      <c r="CD33" s="359" t="s">
        <v>718</v>
      </c>
      <c r="CE33" s="358">
        <v>2.0833611488342285E-3</v>
      </c>
      <c r="CF33" s="361">
        <v>0</v>
      </c>
    </row>
    <row r="34" spans="1:84" s="22" customFormat="1" x14ac:dyDescent="0.25">
      <c r="A34" s="354">
        <v>4</v>
      </c>
      <c r="B34" s="355" t="s">
        <v>558</v>
      </c>
      <c r="C34" s="355" t="s">
        <v>571</v>
      </c>
      <c r="D34" s="355" t="s">
        <v>581</v>
      </c>
      <c r="E34" s="355" t="s">
        <v>208</v>
      </c>
      <c r="F34" s="355" t="s">
        <v>549</v>
      </c>
      <c r="G34" s="356">
        <v>2549.1</v>
      </c>
      <c r="H34" s="356">
        <v>0</v>
      </c>
      <c r="I34" s="356">
        <v>2549.1</v>
      </c>
      <c r="J34" s="356">
        <v>0</v>
      </c>
      <c r="K34" s="357">
        <v>0.50277777777777777</v>
      </c>
      <c r="L34" s="358">
        <v>0.50277777777777777</v>
      </c>
      <c r="M34" s="359" t="s">
        <v>112</v>
      </c>
      <c r="N34" s="358">
        <v>0</v>
      </c>
      <c r="O34" s="360">
        <v>0</v>
      </c>
      <c r="P34" s="358">
        <v>8.3333335816860199E-2</v>
      </c>
      <c r="Q34" s="358">
        <v>1.3889074325561523E-3</v>
      </c>
      <c r="R34" s="357">
        <v>0.58611111359463797</v>
      </c>
      <c r="S34" s="358">
        <v>0.58611111111111114</v>
      </c>
      <c r="T34" s="359" t="s">
        <v>112</v>
      </c>
      <c r="U34" s="358">
        <v>0</v>
      </c>
      <c r="V34" s="360">
        <v>0</v>
      </c>
      <c r="W34" s="358">
        <v>8.3333335816860199E-2</v>
      </c>
      <c r="X34" s="358">
        <v>5.555570125579834E-3</v>
      </c>
      <c r="Y34" s="358">
        <v>5.555570125579834E-3</v>
      </c>
      <c r="Z34" s="357">
        <v>0.66944444692797134</v>
      </c>
      <c r="AA34" s="358">
        <v>0.66249999999999998</v>
      </c>
      <c r="AB34" s="359" t="s">
        <v>718</v>
      </c>
      <c r="AC34" s="358">
        <v>6.9444179534912109E-3</v>
      </c>
      <c r="AD34" s="360">
        <v>0</v>
      </c>
      <c r="AE34" s="357">
        <v>0.53194444444444444</v>
      </c>
      <c r="AF34" s="358">
        <v>0.53333333333333333</v>
      </c>
      <c r="AG34" s="358">
        <v>1.3889074325561523E-3</v>
      </c>
      <c r="AH34" s="362">
        <v>0.54571759259259256</v>
      </c>
      <c r="AI34" s="362">
        <v>0.54592592592592593</v>
      </c>
      <c r="AJ34" s="354" t="s">
        <v>719</v>
      </c>
      <c r="AK34" s="362">
        <v>2.0831823348999023E-4</v>
      </c>
      <c r="AL34" s="363">
        <v>18</v>
      </c>
      <c r="AM34" s="364">
        <v>0.54950231481481482</v>
      </c>
      <c r="AN34" s="362">
        <v>0.54953703703703705</v>
      </c>
      <c r="AO34" s="359" t="s">
        <v>719</v>
      </c>
      <c r="AP34" s="362">
        <v>3.4749507904052734E-5</v>
      </c>
      <c r="AQ34" s="363">
        <v>3</v>
      </c>
      <c r="AR34" s="357">
        <v>0</v>
      </c>
      <c r="AS34" s="358">
        <v>0.60069444444444442</v>
      </c>
      <c r="AT34" s="358">
        <v>0</v>
      </c>
      <c r="AU34" s="365">
        <v>7.7</v>
      </c>
      <c r="AV34" s="365">
        <v>0</v>
      </c>
      <c r="AW34" s="365">
        <v>3</v>
      </c>
      <c r="AX34" s="359">
        <v>0</v>
      </c>
      <c r="AY34" s="359" t="s">
        <v>705</v>
      </c>
      <c r="AZ34" s="363">
        <v>128.1</v>
      </c>
      <c r="BA34" s="357">
        <v>0.60555555555555551</v>
      </c>
      <c r="BB34" s="358">
        <v>0.61111111111111105</v>
      </c>
      <c r="BC34" s="358">
        <v>5.555570125579834E-3</v>
      </c>
      <c r="BD34" s="362">
        <v>0.61965277777777772</v>
      </c>
      <c r="BE34" s="362">
        <v>0.62883101851851853</v>
      </c>
      <c r="BF34" s="354" t="s">
        <v>719</v>
      </c>
      <c r="BG34" s="362">
        <v>9.1782808303833008E-3</v>
      </c>
      <c r="BH34" s="363">
        <v>600</v>
      </c>
      <c r="BI34" s="364">
        <v>0.64</v>
      </c>
      <c r="BJ34" s="362">
        <v>0</v>
      </c>
      <c r="BK34" s="359" t="s">
        <v>112</v>
      </c>
      <c r="BL34" s="362">
        <v>0</v>
      </c>
      <c r="BM34" s="363">
        <v>1800</v>
      </c>
      <c r="BN34" s="364">
        <v>0</v>
      </c>
      <c r="BO34" s="362">
        <v>0.64020833333333338</v>
      </c>
      <c r="BP34" s="359" t="s">
        <v>112</v>
      </c>
      <c r="BQ34" s="362">
        <v>0</v>
      </c>
      <c r="BR34" s="363">
        <v>0</v>
      </c>
      <c r="BS34" s="366">
        <v>0</v>
      </c>
      <c r="BT34" s="363">
        <v>0</v>
      </c>
      <c r="BU34" s="357">
        <v>0.51944444444444449</v>
      </c>
      <c r="BV34" s="361">
        <v>0</v>
      </c>
      <c r="BW34" s="357">
        <v>0.5229166666666667</v>
      </c>
      <c r="BX34" s="361">
        <v>0</v>
      </c>
      <c r="BY34" s="357">
        <v>0.57222222222222219</v>
      </c>
      <c r="BZ34" s="361">
        <v>0</v>
      </c>
      <c r="CA34" s="357">
        <v>0.58402776718139648</v>
      </c>
      <c r="CB34" s="358">
        <v>0.57986111111111105</v>
      </c>
      <c r="CC34" s="358">
        <v>8.3333333333333332E-3</v>
      </c>
      <c r="CD34" s="359" t="s">
        <v>718</v>
      </c>
      <c r="CE34" s="358">
        <v>4.1666626930236816E-3</v>
      </c>
      <c r="CF34" s="361">
        <v>0</v>
      </c>
    </row>
    <row r="35" spans="1:84" s="367" customFormat="1" x14ac:dyDescent="0.25">
      <c r="A35" s="380">
        <v>3</v>
      </c>
      <c r="B35" s="381" t="s">
        <v>555</v>
      </c>
      <c r="C35" s="381" t="s">
        <v>210</v>
      </c>
      <c r="D35" s="381" t="s">
        <v>212</v>
      </c>
      <c r="E35" s="381" t="s">
        <v>720</v>
      </c>
      <c r="F35" s="381" t="s">
        <v>549</v>
      </c>
      <c r="G35" s="382">
        <v>3986.8</v>
      </c>
      <c r="H35" s="382">
        <v>2700</v>
      </c>
      <c r="I35" s="382">
        <v>986.8</v>
      </c>
      <c r="J35" s="382">
        <v>300</v>
      </c>
      <c r="K35" s="383">
        <v>0.50208333333333333</v>
      </c>
      <c r="L35" s="152">
        <v>0.50208333333333333</v>
      </c>
      <c r="M35" s="384" t="s">
        <v>112</v>
      </c>
      <c r="N35" s="152">
        <v>0</v>
      </c>
      <c r="O35" s="385">
        <v>0</v>
      </c>
      <c r="P35" s="152">
        <v>8.3333335816860199E-2</v>
      </c>
      <c r="Q35" s="152">
        <v>0</v>
      </c>
      <c r="R35" s="383">
        <v>0.58541666915019352</v>
      </c>
      <c r="S35" s="152">
        <v>0</v>
      </c>
      <c r="T35" s="384" t="s">
        <v>112</v>
      </c>
      <c r="U35" s="152">
        <v>0</v>
      </c>
      <c r="V35" s="385">
        <v>900</v>
      </c>
      <c r="W35" s="152">
        <v>8.3333335816860199E-2</v>
      </c>
      <c r="X35" s="152">
        <v>6.2499642372131348E-3</v>
      </c>
      <c r="Y35" s="152">
        <v>6.2499642372131348E-3</v>
      </c>
      <c r="Z35" s="383">
        <v>0.66875000496705372</v>
      </c>
      <c r="AA35" s="152">
        <v>0.66736111111111107</v>
      </c>
      <c r="AB35" s="384" t="s">
        <v>718</v>
      </c>
      <c r="AC35" s="152">
        <v>1.388847827911377E-3</v>
      </c>
      <c r="AD35" s="385">
        <v>0</v>
      </c>
      <c r="AE35" s="383">
        <v>0</v>
      </c>
      <c r="AF35" s="152">
        <v>0.52777777777777779</v>
      </c>
      <c r="AG35" s="152">
        <v>0</v>
      </c>
      <c r="AH35" s="386">
        <v>0.54016203703703702</v>
      </c>
      <c r="AI35" s="386">
        <v>0.54026620370370371</v>
      </c>
      <c r="AJ35" s="380" t="s">
        <v>719</v>
      </c>
      <c r="AK35" s="386">
        <v>1.0418891906738281E-4</v>
      </c>
      <c r="AL35" s="387">
        <v>9</v>
      </c>
      <c r="AM35" s="388">
        <v>0.5438425925925926</v>
      </c>
      <c r="AN35" s="386">
        <v>0.54553240740740738</v>
      </c>
      <c r="AO35" s="384" t="s">
        <v>719</v>
      </c>
      <c r="AP35" s="386">
        <v>1.6897916793823242E-3</v>
      </c>
      <c r="AQ35" s="387">
        <v>146</v>
      </c>
      <c r="AR35" s="383">
        <v>0</v>
      </c>
      <c r="AS35" s="152">
        <v>0.59930555555555554</v>
      </c>
      <c r="AT35" s="152">
        <v>0</v>
      </c>
      <c r="AU35" s="389">
        <v>31.6</v>
      </c>
      <c r="AV35" s="389">
        <v>0</v>
      </c>
      <c r="AW35" s="389">
        <v>2</v>
      </c>
      <c r="AX35" s="384">
        <v>0</v>
      </c>
      <c r="AY35" s="384">
        <v>0</v>
      </c>
      <c r="AZ35" s="387">
        <v>124.80000000000001</v>
      </c>
      <c r="BA35" s="383">
        <v>0.60416666666666663</v>
      </c>
      <c r="BB35" s="152">
        <v>0.61041666666666672</v>
      </c>
      <c r="BC35" s="152">
        <v>6.2499642372131348E-3</v>
      </c>
      <c r="BD35" s="386">
        <v>0.61895833333333339</v>
      </c>
      <c r="BE35" s="386">
        <v>0.61908564814814815</v>
      </c>
      <c r="BF35" s="380" t="s">
        <v>719</v>
      </c>
      <c r="BG35" s="386">
        <v>1.2731552124023438E-4</v>
      </c>
      <c r="BH35" s="387">
        <v>11</v>
      </c>
      <c r="BI35" s="388">
        <v>0.63025462962962964</v>
      </c>
      <c r="BJ35" s="386">
        <v>0.64131944444444444</v>
      </c>
      <c r="BK35" s="384" t="s">
        <v>719</v>
      </c>
      <c r="BL35" s="386">
        <v>1.1064827442169189E-2</v>
      </c>
      <c r="BM35" s="387">
        <v>600</v>
      </c>
      <c r="BN35" s="388">
        <v>0.65267361111111111</v>
      </c>
      <c r="BO35" s="386">
        <v>0.65156249999999993</v>
      </c>
      <c r="BP35" s="384" t="s">
        <v>718</v>
      </c>
      <c r="BQ35" s="386">
        <v>1.1110901832580566E-3</v>
      </c>
      <c r="BR35" s="387">
        <v>96</v>
      </c>
      <c r="BS35" s="390" t="s">
        <v>712</v>
      </c>
      <c r="BT35" s="387">
        <v>300</v>
      </c>
      <c r="BU35" s="383">
        <v>0</v>
      </c>
      <c r="BV35" s="391">
        <v>900</v>
      </c>
      <c r="BW35" s="383">
        <v>0</v>
      </c>
      <c r="BX35" s="391">
        <v>900</v>
      </c>
      <c r="BY35" s="383">
        <v>0.56874999999999998</v>
      </c>
      <c r="BZ35" s="391">
        <v>0</v>
      </c>
      <c r="CA35" s="383">
        <v>0.58333331346511841</v>
      </c>
      <c r="CB35" s="152">
        <v>0.58402777777777781</v>
      </c>
      <c r="CC35" s="152">
        <v>8.3333333333333332E-3</v>
      </c>
      <c r="CD35" s="384" t="s">
        <v>719</v>
      </c>
      <c r="CE35" s="152">
        <v>6.9445371627807617E-4</v>
      </c>
      <c r="CF35" s="391">
        <v>0</v>
      </c>
    </row>
    <row r="36" spans="1:84" s="22" customFormat="1" x14ac:dyDescent="0.25">
      <c r="A36" s="354">
        <v>2</v>
      </c>
      <c r="B36" s="355" t="s">
        <v>553</v>
      </c>
      <c r="C36" s="355" t="s">
        <v>569</v>
      </c>
      <c r="D36" s="355" t="s">
        <v>578</v>
      </c>
      <c r="E36" s="355" t="s">
        <v>6</v>
      </c>
      <c r="F36" s="355" t="s">
        <v>549</v>
      </c>
      <c r="G36" s="356">
        <v>6999</v>
      </c>
      <c r="H36" s="356">
        <v>2700</v>
      </c>
      <c r="I36" s="356">
        <v>4299</v>
      </c>
      <c r="J36" s="356">
        <v>0</v>
      </c>
      <c r="K36" s="357">
        <v>0.50138888888888888</v>
      </c>
      <c r="L36" s="358">
        <v>0.50138888888888888</v>
      </c>
      <c r="M36" s="359" t="s">
        <v>112</v>
      </c>
      <c r="N36" s="358">
        <v>0</v>
      </c>
      <c r="O36" s="360">
        <v>0</v>
      </c>
      <c r="P36" s="358">
        <v>8.3333335816860199E-2</v>
      </c>
      <c r="Q36" s="358">
        <v>0</v>
      </c>
      <c r="R36" s="357">
        <v>0.58472222470574908</v>
      </c>
      <c r="S36" s="358">
        <v>0</v>
      </c>
      <c r="T36" s="359" t="s">
        <v>112</v>
      </c>
      <c r="U36" s="358">
        <v>0</v>
      </c>
      <c r="V36" s="360">
        <v>900</v>
      </c>
      <c r="W36" s="358">
        <v>8.3333335816860199E-2</v>
      </c>
      <c r="X36" s="358">
        <v>1.8749992052713993E-2</v>
      </c>
      <c r="Y36" s="358">
        <v>1.8749992052713993E-2</v>
      </c>
      <c r="Z36" s="357">
        <v>0.66805556052260928</v>
      </c>
      <c r="AA36" s="358">
        <v>0.66111111111111109</v>
      </c>
      <c r="AB36" s="359" t="s">
        <v>718</v>
      </c>
      <c r="AC36" s="358">
        <v>6.9444179534912109E-3</v>
      </c>
      <c r="AD36" s="360">
        <v>0</v>
      </c>
      <c r="AE36" s="357">
        <v>0</v>
      </c>
      <c r="AF36" s="358">
        <v>0.52708333333333335</v>
      </c>
      <c r="AG36" s="358">
        <v>0</v>
      </c>
      <c r="AH36" s="362">
        <v>0.53946759259259258</v>
      </c>
      <c r="AI36" s="362">
        <v>0</v>
      </c>
      <c r="AJ36" s="354" t="s">
        <v>112</v>
      </c>
      <c r="AK36" s="362">
        <v>0</v>
      </c>
      <c r="AL36" s="363">
        <v>1800</v>
      </c>
      <c r="AM36" s="364">
        <v>0</v>
      </c>
      <c r="AN36" s="362">
        <v>0.54322916666666665</v>
      </c>
      <c r="AO36" s="359" t="s">
        <v>112</v>
      </c>
      <c r="AP36" s="362">
        <v>0</v>
      </c>
      <c r="AQ36" s="363">
        <v>0</v>
      </c>
      <c r="AR36" s="357">
        <v>0.58680555555555558</v>
      </c>
      <c r="AS36" s="358">
        <v>0.59722222222222221</v>
      </c>
      <c r="AT36" s="358">
        <v>1.041666666666663E-2</v>
      </c>
      <c r="AU36" s="365">
        <v>18</v>
      </c>
      <c r="AV36" s="365">
        <v>0</v>
      </c>
      <c r="AW36" s="365">
        <v>3</v>
      </c>
      <c r="AX36" s="359">
        <v>0</v>
      </c>
      <c r="AY36" s="359">
        <v>0</v>
      </c>
      <c r="AZ36" s="363">
        <v>99</v>
      </c>
      <c r="BA36" s="357">
        <v>0.60138888888888886</v>
      </c>
      <c r="BB36" s="358">
        <v>0.60972222222222217</v>
      </c>
      <c r="BC36" s="358">
        <v>8.3333253860473633E-3</v>
      </c>
      <c r="BD36" s="362">
        <v>0.61826388888888884</v>
      </c>
      <c r="BE36" s="362">
        <v>0.62910879629629635</v>
      </c>
      <c r="BF36" s="354" t="s">
        <v>719</v>
      </c>
      <c r="BG36" s="362">
        <v>1.0844886302947998E-2</v>
      </c>
      <c r="BH36" s="363">
        <v>600</v>
      </c>
      <c r="BI36" s="364">
        <v>0.64027777777777783</v>
      </c>
      <c r="BJ36" s="362">
        <v>0</v>
      </c>
      <c r="BK36" s="359" t="s">
        <v>112</v>
      </c>
      <c r="BL36" s="362">
        <v>0</v>
      </c>
      <c r="BM36" s="363">
        <v>1800</v>
      </c>
      <c r="BN36" s="364">
        <v>0</v>
      </c>
      <c r="BO36" s="362">
        <v>0.64628472222222222</v>
      </c>
      <c r="BP36" s="359" t="s">
        <v>112</v>
      </c>
      <c r="BQ36" s="362">
        <v>0</v>
      </c>
      <c r="BR36" s="363">
        <v>0</v>
      </c>
      <c r="BS36" s="366">
        <v>0</v>
      </c>
      <c r="BT36" s="363">
        <v>0</v>
      </c>
      <c r="BU36" s="357">
        <v>0.51527777777777783</v>
      </c>
      <c r="BV36" s="361">
        <v>0</v>
      </c>
      <c r="BW36" s="357">
        <v>0</v>
      </c>
      <c r="BX36" s="361">
        <v>900</v>
      </c>
      <c r="BY36" s="357">
        <v>0</v>
      </c>
      <c r="BZ36" s="361">
        <v>900</v>
      </c>
      <c r="CA36" s="357">
        <v>0.58263885974884033</v>
      </c>
      <c r="CB36" s="358">
        <v>0.5756944444444444</v>
      </c>
      <c r="CC36" s="358">
        <v>8.3333333333333332E-3</v>
      </c>
      <c r="CD36" s="359" t="s">
        <v>718</v>
      </c>
      <c r="CE36" s="358">
        <v>6.9444179534912109E-3</v>
      </c>
      <c r="CF36" s="361">
        <v>0</v>
      </c>
    </row>
    <row r="37" spans="1:84" s="367" customFormat="1" x14ac:dyDescent="0.25">
      <c r="A37" s="182"/>
      <c r="B37" s="57"/>
      <c r="C37" s="182"/>
      <c r="D37" s="182"/>
      <c r="E37" s="182"/>
      <c r="F37" s="182"/>
      <c r="G37" s="182"/>
      <c r="H37" s="182"/>
      <c r="I37" s="182"/>
      <c r="J37" s="182"/>
      <c r="K37" s="289"/>
      <c r="L37" s="182"/>
      <c r="M37" s="182"/>
      <c r="N37" s="182"/>
      <c r="O37" s="290"/>
      <c r="P37" s="182"/>
      <c r="Q37" s="182"/>
      <c r="R37" s="289"/>
      <c r="S37" s="182"/>
      <c r="T37" s="182"/>
      <c r="U37" s="182"/>
      <c r="V37" s="290"/>
      <c r="W37" s="182"/>
      <c r="X37" s="182"/>
      <c r="Y37" s="182"/>
      <c r="Z37" s="289"/>
      <c r="AA37" s="182"/>
      <c r="AB37" s="182"/>
      <c r="AC37" s="182"/>
      <c r="AD37" s="290"/>
      <c r="AE37" s="289"/>
      <c r="AF37" s="182"/>
      <c r="AG37" s="182"/>
      <c r="AH37" s="184"/>
      <c r="AI37" s="57"/>
      <c r="AJ37" s="182"/>
      <c r="AK37" s="182"/>
      <c r="AL37" s="290"/>
      <c r="AM37" s="299"/>
      <c r="AN37" s="57"/>
      <c r="AO37" s="182"/>
      <c r="AP37" s="182"/>
      <c r="AQ37" s="290"/>
      <c r="AR37" s="289"/>
      <c r="AS37" s="182"/>
      <c r="AT37" s="182"/>
      <c r="AU37" s="182"/>
      <c r="AV37" s="182"/>
      <c r="AW37" s="182"/>
      <c r="AX37" s="182"/>
      <c r="AY37" s="182"/>
      <c r="AZ37" s="290"/>
      <c r="BA37" s="289"/>
      <c r="BB37" s="182"/>
      <c r="BC37" s="182"/>
      <c r="BD37" s="184"/>
      <c r="BE37" s="57"/>
      <c r="BF37" s="182"/>
      <c r="BG37" s="182"/>
      <c r="BH37" s="290"/>
      <c r="BI37" s="299"/>
      <c r="BJ37" s="57"/>
      <c r="BK37" s="182"/>
      <c r="BL37" s="182"/>
      <c r="BM37" s="290"/>
      <c r="BN37" s="299"/>
      <c r="BO37" s="57"/>
      <c r="BP37" s="182"/>
      <c r="BQ37" s="182"/>
      <c r="BR37" s="290"/>
      <c r="BS37" s="289"/>
      <c r="BT37" s="290"/>
      <c r="BU37" s="289"/>
      <c r="BV37" s="290"/>
      <c r="BW37" s="289"/>
      <c r="BX37" s="290"/>
      <c r="BY37" s="289"/>
      <c r="BZ37" s="290"/>
      <c r="CA37" s="291"/>
      <c r="CB37" s="57"/>
      <c r="CC37" s="57"/>
      <c r="CD37" s="182"/>
      <c r="CE37" s="182"/>
      <c r="CF37" s="290"/>
    </row>
    <row r="38" spans="1:84" s="22" customFormat="1" hidden="1" x14ac:dyDescent="0.25">
      <c r="A38" s="380" t="s">
        <v>112</v>
      </c>
      <c r="B38" s="381">
        <v>0</v>
      </c>
      <c r="C38" s="381">
        <v>0</v>
      </c>
      <c r="D38" s="381">
        <v>0</v>
      </c>
      <c r="E38" s="381">
        <v>0</v>
      </c>
      <c r="F38" s="381">
        <v>0</v>
      </c>
      <c r="G38" s="382" t="s">
        <v>112</v>
      </c>
      <c r="H38" s="382" t="s">
        <v>726</v>
      </c>
      <c r="I38" s="382">
        <v>7200</v>
      </c>
      <c r="J38" s="382">
        <v>0</v>
      </c>
      <c r="K38" s="383">
        <v>0.52013888888888882</v>
      </c>
      <c r="L38" s="152">
        <v>0</v>
      </c>
      <c r="M38" s="384" t="s">
        <v>112</v>
      </c>
      <c r="N38" s="152">
        <v>0</v>
      </c>
      <c r="O38" s="385" t="s">
        <v>726</v>
      </c>
      <c r="P38" s="152">
        <v>8.3333335816860199E-2</v>
      </c>
      <c r="Q38" s="152">
        <v>0</v>
      </c>
      <c r="R38" s="383">
        <v>0.60347222470574902</v>
      </c>
      <c r="S38" s="152">
        <v>0</v>
      </c>
      <c r="T38" s="384" t="s">
        <v>112</v>
      </c>
      <c r="U38" s="152">
        <v>0</v>
      </c>
      <c r="V38" s="385">
        <v>900</v>
      </c>
      <c r="W38" s="152">
        <v>8.3333335816860199E-2</v>
      </c>
      <c r="X38" s="152">
        <v>0</v>
      </c>
      <c r="Y38" s="152">
        <v>0</v>
      </c>
      <c r="Z38" s="383">
        <v>0.68680556052260922</v>
      </c>
      <c r="AA38" s="152">
        <v>0</v>
      </c>
      <c r="AB38" s="384" t="s">
        <v>112</v>
      </c>
      <c r="AC38" s="152">
        <v>0</v>
      </c>
      <c r="AD38" s="385" t="s">
        <v>723</v>
      </c>
      <c r="AE38" s="383">
        <v>0</v>
      </c>
      <c r="AF38" s="152">
        <v>0</v>
      </c>
      <c r="AG38" s="152">
        <v>0</v>
      </c>
      <c r="AH38" s="386">
        <v>0</v>
      </c>
      <c r="AI38" s="386">
        <v>0</v>
      </c>
      <c r="AJ38" s="380" t="s">
        <v>112</v>
      </c>
      <c r="AK38" s="386">
        <v>0</v>
      </c>
      <c r="AL38" s="387">
        <v>1800</v>
      </c>
      <c r="AM38" s="388">
        <v>0</v>
      </c>
      <c r="AN38" s="386">
        <v>0</v>
      </c>
      <c r="AO38" s="384" t="s">
        <v>112</v>
      </c>
      <c r="AP38" s="386">
        <v>0</v>
      </c>
      <c r="AQ38" s="387">
        <v>0</v>
      </c>
      <c r="AR38" s="383">
        <v>0</v>
      </c>
      <c r="AS38" s="152">
        <v>0</v>
      </c>
      <c r="AT38" s="152">
        <v>0</v>
      </c>
      <c r="AU38" s="389">
        <v>0</v>
      </c>
      <c r="AV38" s="389">
        <v>0</v>
      </c>
      <c r="AW38" s="389">
        <v>0</v>
      </c>
      <c r="AX38" s="384">
        <v>0</v>
      </c>
      <c r="AY38" s="384">
        <v>0</v>
      </c>
      <c r="AZ38" s="387">
        <v>1800</v>
      </c>
      <c r="BA38" s="383">
        <v>0</v>
      </c>
      <c r="BB38" s="152">
        <v>0</v>
      </c>
      <c r="BC38" s="152">
        <v>0</v>
      </c>
      <c r="BD38" s="386">
        <v>0</v>
      </c>
      <c r="BE38" s="386">
        <v>0</v>
      </c>
      <c r="BF38" s="380" t="s">
        <v>112</v>
      </c>
      <c r="BG38" s="386">
        <v>0</v>
      </c>
      <c r="BH38" s="387">
        <v>1800</v>
      </c>
      <c r="BI38" s="388">
        <v>0</v>
      </c>
      <c r="BJ38" s="386">
        <v>0</v>
      </c>
      <c r="BK38" s="384" t="s">
        <v>112</v>
      </c>
      <c r="BL38" s="386">
        <v>0</v>
      </c>
      <c r="BM38" s="387">
        <v>1800</v>
      </c>
      <c r="BN38" s="388">
        <v>0</v>
      </c>
      <c r="BO38" s="386">
        <v>0</v>
      </c>
      <c r="BP38" s="384" t="s">
        <v>112</v>
      </c>
      <c r="BQ38" s="386">
        <v>0</v>
      </c>
      <c r="BR38" s="387">
        <v>0</v>
      </c>
      <c r="BS38" s="390">
        <v>0</v>
      </c>
      <c r="BT38" s="387">
        <v>0</v>
      </c>
      <c r="BU38" s="383">
        <v>0</v>
      </c>
      <c r="BV38" s="391">
        <v>900</v>
      </c>
      <c r="BW38" s="383">
        <v>0</v>
      </c>
      <c r="BX38" s="391">
        <v>900</v>
      </c>
      <c r="BY38" s="383">
        <v>0</v>
      </c>
      <c r="BZ38" s="391">
        <v>900</v>
      </c>
      <c r="CA38" s="383">
        <v>0.60138887166976929</v>
      </c>
      <c r="CB38" s="152">
        <v>0</v>
      </c>
      <c r="CC38" s="152">
        <v>8.3333333333333332E-3</v>
      </c>
      <c r="CD38" s="384" t="s">
        <v>112</v>
      </c>
      <c r="CE38" s="152">
        <v>0</v>
      </c>
      <c r="CF38" s="391">
        <v>900</v>
      </c>
    </row>
    <row r="39" spans="1:84" s="367" customFormat="1" hidden="1" x14ac:dyDescent="0.25">
      <c r="A39" s="354" t="s">
        <v>112</v>
      </c>
      <c r="B39" s="355">
        <v>0</v>
      </c>
      <c r="C39" s="355">
        <v>0</v>
      </c>
      <c r="D39" s="355">
        <v>0</v>
      </c>
      <c r="E39" s="355">
        <v>0</v>
      </c>
      <c r="F39" s="355">
        <v>0</v>
      </c>
      <c r="G39" s="356" t="s">
        <v>112</v>
      </c>
      <c r="H39" s="356" t="s">
        <v>726</v>
      </c>
      <c r="I39" s="356">
        <v>7200</v>
      </c>
      <c r="J39" s="356">
        <v>0</v>
      </c>
      <c r="K39" s="357">
        <v>0.52013888888888882</v>
      </c>
      <c r="L39" s="358">
        <v>0</v>
      </c>
      <c r="M39" s="359" t="s">
        <v>112</v>
      </c>
      <c r="N39" s="358">
        <v>0</v>
      </c>
      <c r="O39" s="360" t="s">
        <v>726</v>
      </c>
      <c r="P39" s="358">
        <v>8.3333335816860199E-2</v>
      </c>
      <c r="Q39" s="358">
        <v>0</v>
      </c>
      <c r="R39" s="357">
        <v>0.60347222470574902</v>
      </c>
      <c r="S39" s="358">
        <v>0</v>
      </c>
      <c r="T39" s="359" t="s">
        <v>112</v>
      </c>
      <c r="U39" s="358">
        <v>0</v>
      </c>
      <c r="V39" s="360">
        <v>900</v>
      </c>
      <c r="W39" s="358">
        <v>8.3333335816860199E-2</v>
      </c>
      <c r="X39" s="358">
        <v>0</v>
      </c>
      <c r="Y39" s="358">
        <v>0</v>
      </c>
      <c r="Z39" s="357">
        <v>0.68680556052260922</v>
      </c>
      <c r="AA39" s="358">
        <v>0</v>
      </c>
      <c r="AB39" s="359" t="s">
        <v>112</v>
      </c>
      <c r="AC39" s="358">
        <v>0</v>
      </c>
      <c r="AD39" s="360" t="s">
        <v>723</v>
      </c>
      <c r="AE39" s="357">
        <v>0</v>
      </c>
      <c r="AF39" s="358">
        <v>0</v>
      </c>
      <c r="AG39" s="358">
        <v>0</v>
      </c>
      <c r="AH39" s="362">
        <v>0</v>
      </c>
      <c r="AI39" s="362">
        <v>0</v>
      </c>
      <c r="AJ39" s="354" t="s">
        <v>112</v>
      </c>
      <c r="AK39" s="362">
        <v>0</v>
      </c>
      <c r="AL39" s="363">
        <v>1800</v>
      </c>
      <c r="AM39" s="364">
        <v>0</v>
      </c>
      <c r="AN39" s="362">
        <v>0</v>
      </c>
      <c r="AO39" s="359" t="s">
        <v>112</v>
      </c>
      <c r="AP39" s="362">
        <v>0</v>
      </c>
      <c r="AQ39" s="363">
        <v>0</v>
      </c>
      <c r="AR39" s="357">
        <v>0</v>
      </c>
      <c r="AS39" s="358">
        <v>0</v>
      </c>
      <c r="AT39" s="358">
        <v>0</v>
      </c>
      <c r="AU39" s="365">
        <v>0</v>
      </c>
      <c r="AV39" s="365">
        <v>0</v>
      </c>
      <c r="AW39" s="365">
        <v>0</v>
      </c>
      <c r="AX39" s="359">
        <v>0</v>
      </c>
      <c r="AY39" s="359">
        <v>0</v>
      </c>
      <c r="AZ39" s="363">
        <v>1800</v>
      </c>
      <c r="BA39" s="357">
        <v>0</v>
      </c>
      <c r="BB39" s="358">
        <v>0</v>
      </c>
      <c r="BC39" s="358">
        <v>0</v>
      </c>
      <c r="BD39" s="362">
        <v>0</v>
      </c>
      <c r="BE39" s="362">
        <v>0</v>
      </c>
      <c r="BF39" s="354" t="s">
        <v>112</v>
      </c>
      <c r="BG39" s="362">
        <v>0</v>
      </c>
      <c r="BH39" s="363">
        <v>1800</v>
      </c>
      <c r="BI39" s="364">
        <v>0</v>
      </c>
      <c r="BJ39" s="362">
        <v>0</v>
      </c>
      <c r="BK39" s="359" t="s">
        <v>112</v>
      </c>
      <c r="BL39" s="362">
        <v>0</v>
      </c>
      <c r="BM39" s="363">
        <v>1800</v>
      </c>
      <c r="BN39" s="364">
        <v>0</v>
      </c>
      <c r="BO39" s="362">
        <v>0</v>
      </c>
      <c r="BP39" s="359" t="s">
        <v>112</v>
      </c>
      <c r="BQ39" s="362">
        <v>0</v>
      </c>
      <c r="BR39" s="363">
        <v>0</v>
      </c>
      <c r="BS39" s="366">
        <v>0</v>
      </c>
      <c r="BT39" s="363">
        <v>0</v>
      </c>
      <c r="BU39" s="357">
        <v>0</v>
      </c>
      <c r="BV39" s="361">
        <v>900</v>
      </c>
      <c r="BW39" s="357">
        <v>0</v>
      </c>
      <c r="BX39" s="361">
        <v>900</v>
      </c>
      <c r="BY39" s="357">
        <v>0</v>
      </c>
      <c r="BZ39" s="361">
        <v>900</v>
      </c>
      <c r="CA39" s="357">
        <v>0.60138887166976929</v>
      </c>
      <c r="CB39" s="358">
        <v>0</v>
      </c>
      <c r="CC39" s="358">
        <v>8.3333333333333332E-3</v>
      </c>
      <c r="CD39" s="359" t="s">
        <v>112</v>
      </c>
      <c r="CE39" s="358">
        <v>0</v>
      </c>
      <c r="CF39" s="361">
        <v>900</v>
      </c>
    </row>
    <row r="40" spans="1:84" s="22" customFormat="1" hidden="1" x14ac:dyDescent="0.25">
      <c r="A40" s="380" t="s">
        <v>112</v>
      </c>
      <c r="B40" s="381">
        <v>0</v>
      </c>
      <c r="C40" s="381">
        <v>0</v>
      </c>
      <c r="D40" s="381">
        <v>0</v>
      </c>
      <c r="E40" s="381">
        <v>0</v>
      </c>
      <c r="F40" s="381">
        <v>0</v>
      </c>
      <c r="G40" s="382" t="s">
        <v>112</v>
      </c>
      <c r="H40" s="382" t="s">
        <v>726</v>
      </c>
      <c r="I40" s="382">
        <v>7200</v>
      </c>
      <c r="J40" s="382">
        <v>0</v>
      </c>
      <c r="K40" s="383">
        <v>0.52013888888888882</v>
      </c>
      <c r="L40" s="152">
        <v>0</v>
      </c>
      <c r="M40" s="384" t="s">
        <v>112</v>
      </c>
      <c r="N40" s="152">
        <v>0</v>
      </c>
      <c r="O40" s="385" t="s">
        <v>726</v>
      </c>
      <c r="P40" s="152">
        <v>8.3333335816860199E-2</v>
      </c>
      <c r="Q40" s="152">
        <v>0</v>
      </c>
      <c r="R40" s="383">
        <v>0.60347222470574902</v>
      </c>
      <c r="S40" s="152">
        <v>0</v>
      </c>
      <c r="T40" s="384" t="s">
        <v>112</v>
      </c>
      <c r="U40" s="152">
        <v>0</v>
      </c>
      <c r="V40" s="385">
        <v>900</v>
      </c>
      <c r="W40" s="152">
        <v>8.3333335816860199E-2</v>
      </c>
      <c r="X40" s="152">
        <v>0</v>
      </c>
      <c r="Y40" s="152">
        <v>0</v>
      </c>
      <c r="Z40" s="383">
        <v>0.68680556052260922</v>
      </c>
      <c r="AA40" s="152">
        <v>0</v>
      </c>
      <c r="AB40" s="384" t="s">
        <v>112</v>
      </c>
      <c r="AC40" s="152">
        <v>0</v>
      </c>
      <c r="AD40" s="385" t="s">
        <v>723</v>
      </c>
      <c r="AE40" s="383">
        <v>0</v>
      </c>
      <c r="AF40" s="152">
        <v>0</v>
      </c>
      <c r="AG40" s="152">
        <v>0</v>
      </c>
      <c r="AH40" s="386">
        <v>0</v>
      </c>
      <c r="AI40" s="386">
        <v>0</v>
      </c>
      <c r="AJ40" s="380" t="s">
        <v>112</v>
      </c>
      <c r="AK40" s="386">
        <v>0</v>
      </c>
      <c r="AL40" s="387">
        <v>1800</v>
      </c>
      <c r="AM40" s="388">
        <v>0</v>
      </c>
      <c r="AN40" s="386">
        <v>0</v>
      </c>
      <c r="AO40" s="384" t="s">
        <v>112</v>
      </c>
      <c r="AP40" s="386">
        <v>0</v>
      </c>
      <c r="AQ40" s="387">
        <v>0</v>
      </c>
      <c r="AR40" s="383">
        <v>0</v>
      </c>
      <c r="AS40" s="152">
        <v>0</v>
      </c>
      <c r="AT40" s="152">
        <v>0</v>
      </c>
      <c r="AU40" s="389">
        <v>0</v>
      </c>
      <c r="AV40" s="389">
        <v>0</v>
      </c>
      <c r="AW40" s="389">
        <v>0</v>
      </c>
      <c r="AX40" s="384">
        <v>0</v>
      </c>
      <c r="AY40" s="384">
        <v>0</v>
      </c>
      <c r="AZ40" s="387">
        <v>1800</v>
      </c>
      <c r="BA40" s="383">
        <v>0</v>
      </c>
      <c r="BB40" s="152">
        <v>0</v>
      </c>
      <c r="BC40" s="152">
        <v>0</v>
      </c>
      <c r="BD40" s="386">
        <v>0</v>
      </c>
      <c r="BE40" s="386">
        <v>0</v>
      </c>
      <c r="BF40" s="380" t="s">
        <v>112</v>
      </c>
      <c r="BG40" s="386">
        <v>0</v>
      </c>
      <c r="BH40" s="387">
        <v>1800</v>
      </c>
      <c r="BI40" s="388">
        <v>0</v>
      </c>
      <c r="BJ40" s="386">
        <v>0</v>
      </c>
      <c r="BK40" s="384" t="s">
        <v>112</v>
      </c>
      <c r="BL40" s="386">
        <v>0</v>
      </c>
      <c r="BM40" s="387">
        <v>1800</v>
      </c>
      <c r="BN40" s="388">
        <v>0</v>
      </c>
      <c r="BO40" s="386">
        <v>0</v>
      </c>
      <c r="BP40" s="384" t="s">
        <v>112</v>
      </c>
      <c r="BQ40" s="386">
        <v>0</v>
      </c>
      <c r="BR40" s="387">
        <v>0</v>
      </c>
      <c r="BS40" s="390">
        <v>0</v>
      </c>
      <c r="BT40" s="387">
        <v>0</v>
      </c>
      <c r="BU40" s="383">
        <v>0</v>
      </c>
      <c r="BV40" s="391">
        <v>900</v>
      </c>
      <c r="BW40" s="383">
        <v>0</v>
      </c>
      <c r="BX40" s="391">
        <v>900</v>
      </c>
      <c r="BY40" s="383">
        <v>0</v>
      </c>
      <c r="BZ40" s="391">
        <v>900</v>
      </c>
      <c r="CA40" s="383">
        <v>0.60138887166976929</v>
      </c>
      <c r="CB40" s="152">
        <v>0</v>
      </c>
      <c r="CC40" s="152">
        <v>8.3333333333333332E-3</v>
      </c>
      <c r="CD40" s="384" t="s">
        <v>112</v>
      </c>
      <c r="CE40" s="152">
        <v>0</v>
      </c>
      <c r="CF40" s="391">
        <v>900</v>
      </c>
    </row>
    <row r="41" spans="1:84" s="367" customFormat="1" hidden="1" x14ac:dyDescent="0.25">
      <c r="A41" s="354" t="s">
        <v>112</v>
      </c>
      <c r="B41" s="355">
        <v>0</v>
      </c>
      <c r="C41" s="355">
        <v>0</v>
      </c>
      <c r="D41" s="355">
        <v>0</v>
      </c>
      <c r="E41" s="355">
        <v>0</v>
      </c>
      <c r="F41" s="355">
        <v>0</v>
      </c>
      <c r="G41" s="356" t="s">
        <v>112</v>
      </c>
      <c r="H41" s="356" t="s">
        <v>726</v>
      </c>
      <c r="I41" s="356">
        <v>7200</v>
      </c>
      <c r="J41" s="356">
        <v>0</v>
      </c>
      <c r="K41" s="357">
        <v>0.52013888888888882</v>
      </c>
      <c r="L41" s="358">
        <v>0</v>
      </c>
      <c r="M41" s="359" t="s">
        <v>112</v>
      </c>
      <c r="N41" s="358">
        <v>0</v>
      </c>
      <c r="O41" s="360" t="s">
        <v>726</v>
      </c>
      <c r="P41" s="358">
        <v>8.3333335816860199E-2</v>
      </c>
      <c r="Q41" s="358">
        <v>0</v>
      </c>
      <c r="R41" s="357">
        <v>0.60347222470574902</v>
      </c>
      <c r="S41" s="358">
        <v>0</v>
      </c>
      <c r="T41" s="359" t="s">
        <v>112</v>
      </c>
      <c r="U41" s="358">
        <v>0</v>
      </c>
      <c r="V41" s="360">
        <v>900</v>
      </c>
      <c r="W41" s="358">
        <v>8.3333335816860199E-2</v>
      </c>
      <c r="X41" s="358">
        <v>0</v>
      </c>
      <c r="Y41" s="358">
        <v>0</v>
      </c>
      <c r="Z41" s="357">
        <v>0.68680556052260922</v>
      </c>
      <c r="AA41" s="358">
        <v>0</v>
      </c>
      <c r="AB41" s="359" t="s">
        <v>112</v>
      </c>
      <c r="AC41" s="358">
        <v>0</v>
      </c>
      <c r="AD41" s="360" t="s">
        <v>723</v>
      </c>
      <c r="AE41" s="357">
        <v>0</v>
      </c>
      <c r="AF41" s="358">
        <v>0</v>
      </c>
      <c r="AG41" s="358">
        <v>0</v>
      </c>
      <c r="AH41" s="362">
        <v>0</v>
      </c>
      <c r="AI41" s="362">
        <v>0</v>
      </c>
      <c r="AJ41" s="354" t="s">
        <v>112</v>
      </c>
      <c r="AK41" s="362">
        <v>0</v>
      </c>
      <c r="AL41" s="363">
        <v>1800</v>
      </c>
      <c r="AM41" s="364">
        <v>0</v>
      </c>
      <c r="AN41" s="362">
        <v>0</v>
      </c>
      <c r="AO41" s="359" t="s">
        <v>112</v>
      </c>
      <c r="AP41" s="362">
        <v>0</v>
      </c>
      <c r="AQ41" s="363">
        <v>0</v>
      </c>
      <c r="AR41" s="357">
        <v>0</v>
      </c>
      <c r="AS41" s="358">
        <v>0</v>
      </c>
      <c r="AT41" s="358">
        <v>0</v>
      </c>
      <c r="AU41" s="365">
        <v>0</v>
      </c>
      <c r="AV41" s="365">
        <v>0</v>
      </c>
      <c r="AW41" s="365">
        <v>0</v>
      </c>
      <c r="AX41" s="359">
        <v>0</v>
      </c>
      <c r="AY41" s="359">
        <v>0</v>
      </c>
      <c r="AZ41" s="363">
        <v>1800</v>
      </c>
      <c r="BA41" s="357">
        <v>0</v>
      </c>
      <c r="BB41" s="358">
        <v>0</v>
      </c>
      <c r="BC41" s="358">
        <v>0</v>
      </c>
      <c r="BD41" s="362">
        <v>0</v>
      </c>
      <c r="BE41" s="362">
        <v>0</v>
      </c>
      <c r="BF41" s="354" t="s">
        <v>112</v>
      </c>
      <c r="BG41" s="362">
        <v>0</v>
      </c>
      <c r="BH41" s="363">
        <v>1800</v>
      </c>
      <c r="BI41" s="364">
        <v>0</v>
      </c>
      <c r="BJ41" s="362">
        <v>0</v>
      </c>
      <c r="BK41" s="359" t="s">
        <v>112</v>
      </c>
      <c r="BL41" s="362">
        <v>0</v>
      </c>
      <c r="BM41" s="363">
        <v>1800</v>
      </c>
      <c r="BN41" s="364">
        <v>0</v>
      </c>
      <c r="BO41" s="362">
        <v>0</v>
      </c>
      <c r="BP41" s="359" t="s">
        <v>112</v>
      </c>
      <c r="BQ41" s="362">
        <v>0</v>
      </c>
      <c r="BR41" s="363">
        <v>0</v>
      </c>
      <c r="BS41" s="366">
        <v>0</v>
      </c>
      <c r="BT41" s="363">
        <v>0</v>
      </c>
      <c r="BU41" s="357">
        <v>0</v>
      </c>
      <c r="BV41" s="361">
        <v>900</v>
      </c>
      <c r="BW41" s="357">
        <v>0</v>
      </c>
      <c r="BX41" s="361">
        <v>900</v>
      </c>
      <c r="BY41" s="357">
        <v>0</v>
      </c>
      <c r="BZ41" s="361">
        <v>900</v>
      </c>
      <c r="CA41" s="357">
        <v>0.60138887166976929</v>
      </c>
      <c r="CB41" s="358">
        <v>0</v>
      </c>
      <c r="CC41" s="358">
        <v>8.3333333333333332E-3</v>
      </c>
      <c r="CD41" s="359" t="s">
        <v>112</v>
      </c>
      <c r="CE41" s="358">
        <v>0</v>
      </c>
      <c r="CF41" s="361">
        <v>900</v>
      </c>
    </row>
    <row r="42" spans="1:84" s="22" customFormat="1" hidden="1" x14ac:dyDescent="0.25">
      <c r="A42" s="380" t="s">
        <v>112</v>
      </c>
      <c r="B42" s="381">
        <v>0</v>
      </c>
      <c r="C42" s="381">
        <v>0</v>
      </c>
      <c r="D42" s="381">
        <v>0</v>
      </c>
      <c r="E42" s="381">
        <v>0</v>
      </c>
      <c r="F42" s="381">
        <v>0</v>
      </c>
      <c r="G42" s="382" t="s">
        <v>112</v>
      </c>
      <c r="H42" s="382" t="s">
        <v>726</v>
      </c>
      <c r="I42" s="382">
        <v>7200</v>
      </c>
      <c r="J42" s="382">
        <v>0</v>
      </c>
      <c r="K42" s="383">
        <v>0.52013888888888882</v>
      </c>
      <c r="L42" s="152">
        <v>0</v>
      </c>
      <c r="M42" s="384" t="s">
        <v>112</v>
      </c>
      <c r="N42" s="152">
        <v>0</v>
      </c>
      <c r="O42" s="385" t="s">
        <v>726</v>
      </c>
      <c r="P42" s="152">
        <v>8.3333335816860199E-2</v>
      </c>
      <c r="Q42" s="152">
        <v>0</v>
      </c>
      <c r="R42" s="383">
        <v>0.60347222470574902</v>
      </c>
      <c r="S42" s="152">
        <v>0</v>
      </c>
      <c r="T42" s="384" t="s">
        <v>112</v>
      </c>
      <c r="U42" s="152">
        <v>0</v>
      </c>
      <c r="V42" s="385">
        <v>900</v>
      </c>
      <c r="W42" s="152">
        <v>8.3333335816860199E-2</v>
      </c>
      <c r="X42" s="152">
        <v>0</v>
      </c>
      <c r="Y42" s="152">
        <v>0</v>
      </c>
      <c r="Z42" s="383">
        <v>0.68680556052260922</v>
      </c>
      <c r="AA42" s="152">
        <v>0</v>
      </c>
      <c r="AB42" s="384" t="s">
        <v>112</v>
      </c>
      <c r="AC42" s="152">
        <v>0</v>
      </c>
      <c r="AD42" s="385" t="s">
        <v>723</v>
      </c>
      <c r="AE42" s="383">
        <v>0</v>
      </c>
      <c r="AF42" s="152">
        <v>0</v>
      </c>
      <c r="AG42" s="152">
        <v>0</v>
      </c>
      <c r="AH42" s="386">
        <v>0</v>
      </c>
      <c r="AI42" s="386">
        <v>0</v>
      </c>
      <c r="AJ42" s="380" t="s">
        <v>112</v>
      </c>
      <c r="AK42" s="386">
        <v>0</v>
      </c>
      <c r="AL42" s="387">
        <v>1800</v>
      </c>
      <c r="AM42" s="388">
        <v>0</v>
      </c>
      <c r="AN42" s="386">
        <v>0</v>
      </c>
      <c r="AO42" s="384" t="s">
        <v>112</v>
      </c>
      <c r="AP42" s="386">
        <v>0</v>
      </c>
      <c r="AQ42" s="387">
        <v>0</v>
      </c>
      <c r="AR42" s="383">
        <v>0</v>
      </c>
      <c r="AS42" s="152">
        <v>0</v>
      </c>
      <c r="AT42" s="152">
        <v>0</v>
      </c>
      <c r="AU42" s="389">
        <v>0</v>
      </c>
      <c r="AV42" s="389">
        <v>0</v>
      </c>
      <c r="AW42" s="389">
        <v>0</v>
      </c>
      <c r="AX42" s="384">
        <v>0</v>
      </c>
      <c r="AY42" s="384">
        <v>0</v>
      </c>
      <c r="AZ42" s="387">
        <v>1800</v>
      </c>
      <c r="BA42" s="383">
        <v>0</v>
      </c>
      <c r="BB42" s="152">
        <v>0</v>
      </c>
      <c r="BC42" s="152">
        <v>0</v>
      </c>
      <c r="BD42" s="386">
        <v>0</v>
      </c>
      <c r="BE42" s="386">
        <v>0</v>
      </c>
      <c r="BF42" s="380" t="s">
        <v>112</v>
      </c>
      <c r="BG42" s="386">
        <v>0</v>
      </c>
      <c r="BH42" s="387">
        <v>1800</v>
      </c>
      <c r="BI42" s="388">
        <v>0</v>
      </c>
      <c r="BJ42" s="386">
        <v>0</v>
      </c>
      <c r="BK42" s="384" t="s">
        <v>112</v>
      </c>
      <c r="BL42" s="386">
        <v>0</v>
      </c>
      <c r="BM42" s="387">
        <v>1800</v>
      </c>
      <c r="BN42" s="388">
        <v>0</v>
      </c>
      <c r="BO42" s="386">
        <v>0</v>
      </c>
      <c r="BP42" s="384" t="s">
        <v>112</v>
      </c>
      <c r="BQ42" s="386">
        <v>0</v>
      </c>
      <c r="BR42" s="387">
        <v>0</v>
      </c>
      <c r="BS42" s="390">
        <v>0</v>
      </c>
      <c r="BT42" s="387">
        <v>0</v>
      </c>
      <c r="BU42" s="383">
        <v>0</v>
      </c>
      <c r="BV42" s="391">
        <v>900</v>
      </c>
      <c r="BW42" s="383">
        <v>0</v>
      </c>
      <c r="BX42" s="391">
        <v>900</v>
      </c>
      <c r="BY42" s="383">
        <v>0</v>
      </c>
      <c r="BZ42" s="391">
        <v>900</v>
      </c>
      <c r="CA42" s="383">
        <v>0.60138887166976929</v>
      </c>
      <c r="CB42" s="152">
        <v>0</v>
      </c>
      <c r="CC42" s="152">
        <v>8.3333333333333332E-3</v>
      </c>
      <c r="CD42" s="384" t="s">
        <v>112</v>
      </c>
      <c r="CE42" s="152">
        <v>0</v>
      </c>
      <c r="CF42" s="391">
        <v>900</v>
      </c>
    </row>
    <row r="43" spans="1:84" s="367" customFormat="1" hidden="1" x14ac:dyDescent="0.25">
      <c r="A43" s="354" t="s">
        <v>112</v>
      </c>
      <c r="B43" s="355">
        <v>0</v>
      </c>
      <c r="C43" s="355">
        <v>0</v>
      </c>
      <c r="D43" s="355">
        <v>0</v>
      </c>
      <c r="E43" s="355">
        <v>0</v>
      </c>
      <c r="F43" s="355">
        <v>0</v>
      </c>
      <c r="G43" s="356" t="s">
        <v>112</v>
      </c>
      <c r="H43" s="356" t="s">
        <v>726</v>
      </c>
      <c r="I43" s="356">
        <v>7200</v>
      </c>
      <c r="J43" s="356">
        <v>0</v>
      </c>
      <c r="K43" s="357">
        <v>0.52013888888888882</v>
      </c>
      <c r="L43" s="358">
        <v>0</v>
      </c>
      <c r="M43" s="359" t="s">
        <v>112</v>
      </c>
      <c r="N43" s="358">
        <v>0</v>
      </c>
      <c r="O43" s="360" t="s">
        <v>726</v>
      </c>
      <c r="P43" s="358">
        <v>8.3333335816860199E-2</v>
      </c>
      <c r="Q43" s="358">
        <v>0</v>
      </c>
      <c r="R43" s="357">
        <v>0.60347222470574902</v>
      </c>
      <c r="S43" s="358">
        <v>0</v>
      </c>
      <c r="T43" s="359" t="s">
        <v>112</v>
      </c>
      <c r="U43" s="358">
        <v>0</v>
      </c>
      <c r="V43" s="360">
        <v>900</v>
      </c>
      <c r="W43" s="358">
        <v>8.3333335816860199E-2</v>
      </c>
      <c r="X43" s="358">
        <v>0</v>
      </c>
      <c r="Y43" s="358">
        <v>0</v>
      </c>
      <c r="Z43" s="357">
        <v>0.68680556052260922</v>
      </c>
      <c r="AA43" s="358">
        <v>0</v>
      </c>
      <c r="AB43" s="359" t="s">
        <v>112</v>
      </c>
      <c r="AC43" s="358">
        <v>0</v>
      </c>
      <c r="AD43" s="360" t="s">
        <v>723</v>
      </c>
      <c r="AE43" s="357">
        <v>0</v>
      </c>
      <c r="AF43" s="358">
        <v>0</v>
      </c>
      <c r="AG43" s="358">
        <v>0</v>
      </c>
      <c r="AH43" s="362">
        <v>0</v>
      </c>
      <c r="AI43" s="362">
        <v>0</v>
      </c>
      <c r="AJ43" s="354" t="s">
        <v>112</v>
      </c>
      <c r="AK43" s="362">
        <v>0</v>
      </c>
      <c r="AL43" s="363">
        <v>1800</v>
      </c>
      <c r="AM43" s="364">
        <v>0</v>
      </c>
      <c r="AN43" s="362">
        <v>0</v>
      </c>
      <c r="AO43" s="359" t="s">
        <v>112</v>
      </c>
      <c r="AP43" s="362">
        <v>0</v>
      </c>
      <c r="AQ43" s="363">
        <v>0</v>
      </c>
      <c r="AR43" s="357">
        <v>0</v>
      </c>
      <c r="AS43" s="358">
        <v>0</v>
      </c>
      <c r="AT43" s="358">
        <v>0</v>
      </c>
      <c r="AU43" s="365">
        <v>0</v>
      </c>
      <c r="AV43" s="365">
        <v>0</v>
      </c>
      <c r="AW43" s="365">
        <v>0</v>
      </c>
      <c r="AX43" s="359">
        <v>0</v>
      </c>
      <c r="AY43" s="359">
        <v>0</v>
      </c>
      <c r="AZ43" s="363">
        <v>1800</v>
      </c>
      <c r="BA43" s="357">
        <v>0</v>
      </c>
      <c r="BB43" s="358">
        <v>0</v>
      </c>
      <c r="BC43" s="358">
        <v>0</v>
      </c>
      <c r="BD43" s="362">
        <v>0</v>
      </c>
      <c r="BE43" s="362">
        <v>0</v>
      </c>
      <c r="BF43" s="354" t="s">
        <v>112</v>
      </c>
      <c r="BG43" s="362">
        <v>0</v>
      </c>
      <c r="BH43" s="363">
        <v>1800</v>
      </c>
      <c r="BI43" s="364">
        <v>0</v>
      </c>
      <c r="BJ43" s="362">
        <v>0</v>
      </c>
      <c r="BK43" s="359" t="s">
        <v>112</v>
      </c>
      <c r="BL43" s="362">
        <v>0</v>
      </c>
      <c r="BM43" s="363">
        <v>1800</v>
      </c>
      <c r="BN43" s="364">
        <v>0</v>
      </c>
      <c r="BO43" s="362">
        <v>0</v>
      </c>
      <c r="BP43" s="359" t="s">
        <v>112</v>
      </c>
      <c r="BQ43" s="362">
        <v>0</v>
      </c>
      <c r="BR43" s="363">
        <v>0</v>
      </c>
      <c r="BS43" s="366">
        <v>0</v>
      </c>
      <c r="BT43" s="363">
        <v>0</v>
      </c>
      <c r="BU43" s="357">
        <v>0</v>
      </c>
      <c r="BV43" s="361">
        <v>900</v>
      </c>
      <c r="BW43" s="357">
        <v>0</v>
      </c>
      <c r="BX43" s="361">
        <v>900</v>
      </c>
      <c r="BY43" s="357">
        <v>0</v>
      </c>
      <c r="BZ43" s="361">
        <v>900</v>
      </c>
      <c r="CA43" s="357">
        <v>0.60138887166976929</v>
      </c>
      <c r="CB43" s="358">
        <v>0</v>
      </c>
      <c r="CC43" s="358">
        <v>8.3333333333333332E-3</v>
      </c>
      <c r="CD43" s="359" t="s">
        <v>112</v>
      </c>
      <c r="CE43" s="358">
        <v>0</v>
      </c>
      <c r="CF43" s="361">
        <v>900</v>
      </c>
    </row>
    <row r="44" spans="1:84" s="22" customFormat="1" hidden="1" x14ac:dyDescent="0.25">
      <c r="A44" s="380" t="s">
        <v>112</v>
      </c>
      <c r="B44" s="381">
        <v>0</v>
      </c>
      <c r="C44" s="381">
        <v>0</v>
      </c>
      <c r="D44" s="381">
        <v>0</v>
      </c>
      <c r="E44" s="381">
        <v>0</v>
      </c>
      <c r="F44" s="381">
        <v>0</v>
      </c>
      <c r="G44" s="382" t="s">
        <v>112</v>
      </c>
      <c r="H44" s="382" t="s">
        <v>726</v>
      </c>
      <c r="I44" s="382">
        <v>7200</v>
      </c>
      <c r="J44" s="382">
        <v>0</v>
      </c>
      <c r="K44" s="383">
        <v>0.52013888888888882</v>
      </c>
      <c r="L44" s="152">
        <v>0</v>
      </c>
      <c r="M44" s="384" t="s">
        <v>112</v>
      </c>
      <c r="N44" s="152">
        <v>0</v>
      </c>
      <c r="O44" s="385" t="s">
        <v>726</v>
      </c>
      <c r="P44" s="152">
        <v>8.3333335816860199E-2</v>
      </c>
      <c r="Q44" s="152">
        <v>0</v>
      </c>
      <c r="R44" s="383">
        <v>0.60347222470574902</v>
      </c>
      <c r="S44" s="152">
        <v>0</v>
      </c>
      <c r="T44" s="384" t="s">
        <v>112</v>
      </c>
      <c r="U44" s="152">
        <v>0</v>
      </c>
      <c r="V44" s="385">
        <v>900</v>
      </c>
      <c r="W44" s="152">
        <v>8.3333335816860199E-2</v>
      </c>
      <c r="X44" s="152">
        <v>0</v>
      </c>
      <c r="Y44" s="152">
        <v>0</v>
      </c>
      <c r="Z44" s="383">
        <v>0.68680556052260922</v>
      </c>
      <c r="AA44" s="152">
        <v>0</v>
      </c>
      <c r="AB44" s="384" t="s">
        <v>112</v>
      </c>
      <c r="AC44" s="152">
        <v>0</v>
      </c>
      <c r="AD44" s="385" t="s">
        <v>723</v>
      </c>
      <c r="AE44" s="383">
        <v>0</v>
      </c>
      <c r="AF44" s="152">
        <v>0</v>
      </c>
      <c r="AG44" s="152">
        <v>0</v>
      </c>
      <c r="AH44" s="386">
        <v>0</v>
      </c>
      <c r="AI44" s="386">
        <v>0</v>
      </c>
      <c r="AJ44" s="380" t="s">
        <v>112</v>
      </c>
      <c r="AK44" s="386">
        <v>0</v>
      </c>
      <c r="AL44" s="387">
        <v>1800</v>
      </c>
      <c r="AM44" s="388">
        <v>0</v>
      </c>
      <c r="AN44" s="386">
        <v>0</v>
      </c>
      <c r="AO44" s="384" t="s">
        <v>112</v>
      </c>
      <c r="AP44" s="386">
        <v>0</v>
      </c>
      <c r="AQ44" s="387">
        <v>0</v>
      </c>
      <c r="AR44" s="383">
        <v>0</v>
      </c>
      <c r="AS44" s="152">
        <v>0</v>
      </c>
      <c r="AT44" s="152">
        <v>0</v>
      </c>
      <c r="AU44" s="389">
        <v>0</v>
      </c>
      <c r="AV44" s="389">
        <v>0</v>
      </c>
      <c r="AW44" s="389">
        <v>0</v>
      </c>
      <c r="AX44" s="384">
        <v>0</v>
      </c>
      <c r="AY44" s="384">
        <v>0</v>
      </c>
      <c r="AZ44" s="387">
        <v>1800</v>
      </c>
      <c r="BA44" s="383">
        <v>0</v>
      </c>
      <c r="BB44" s="152">
        <v>0</v>
      </c>
      <c r="BC44" s="152">
        <v>0</v>
      </c>
      <c r="BD44" s="386">
        <v>0</v>
      </c>
      <c r="BE44" s="386">
        <v>0</v>
      </c>
      <c r="BF44" s="380" t="s">
        <v>112</v>
      </c>
      <c r="BG44" s="386">
        <v>0</v>
      </c>
      <c r="BH44" s="387">
        <v>1800</v>
      </c>
      <c r="BI44" s="388">
        <v>0</v>
      </c>
      <c r="BJ44" s="386">
        <v>0</v>
      </c>
      <c r="BK44" s="384" t="s">
        <v>112</v>
      </c>
      <c r="BL44" s="386">
        <v>0</v>
      </c>
      <c r="BM44" s="387">
        <v>1800</v>
      </c>
      <c r="BN44" s="388">
        <v>0</v>
      </c>
      <c r="BO44" s="386">
        <v>0</v>
      </c>
      <c r="BP44" s="384" t="s">
        <v>112</v>
      </c>
      <c r="BQ44" s="386">
        <v>0</v>
      </c>
      <c r="BR44" s="387">
        <v>0</v>
      </c>
      <c r="BS44" s="390">
        <v>0</v>
      </c>
      <c r="BT44" s="387">
        <v>0</v>
      </c>
      <c r="BU44" s="383">
        <v>0</v>
      </c>
      <c r="BV44" s="391">
        <v>900</v>
      </c>
      <c r="BW44" s="383">
        <v>0</v>
      </c>
      <c r="BX44" s="391">
        <v>900</v>
      </c>
      <c r="BY44" s="383">
        <v>0</v>
      </c>
      <c r="BZ44" s="391">
        <v>900</v>
      </c>
      <c r="CA44" s="383">
        <v>0.60138887166976929</v>
      </c>
      <c r="CB44" s="152">
        <v>0</v>
      </c>
      <c r="CC44" s="152">
        <v>8.3333333333333332E-3</v>
      </c>
      <c r="CD44" s="384" t="s">
        <v>112</v>
      </c>
      <c r="CE44" s="152">
        <v>0</v>
      </c>
      <c r="CF44" s="391">
        <v>900</v>
      </c>
    </row>
    <row r="45" spans="1:84" s="367" customFormat="1" hidden="1" x14ac:dyDescent="0.25">
      <c r="A45" s="354" t="s">
        <v>112</v>
      </c>
      <c r="B45" s="355">
        <v>0</v>
      </c>
      <c r="C45" s="355">
        <v>0</v>
      </c>
      <c r="D45" s="355">
        <v>0</v>
      </c>
      <c r="E45" s="355">
        <v>0</v>
      </c>
      <c r="F45" s="355">
        <v>0</v>
      </c>
      <c r="G45" s="356" t="s">
        <v>112</v>
      </c>
      <c r="H45" s="356" t="s">
        <v>726</v>
      </c>
      <c r="I45" s="356">
        <v>7200</v>
      </c>
      <c r="J45" s="356">
        <v>0</v>
      </c>
      <c r="K45" s="357">
        <v>0.52013888888888882</v>
      </c>
      <c r="L45" s="358">
        <v>0</v>
      </c>
      <c r="M45" s="359" t="s">
        <v>112</v>
      </c>
      <c r="N45" s="358">
        <v>0</v>
      </c>
      <c r="O45" s="360" t="s">
        <v>726</v>
      </c>
      <c r="P45" s="358">
        <v>8.3333335816860199E-2</v>
      </c>
      <c r="Q45" s="358">
        <v>0</v>
      </c>
      <c r="R45" s="357">
        <v>0.60347222470574902</v>
      </c>
      <c r="S45" s="358">
        <v>0</v>
      </c>
      <c r="T45" s="359" t="s">
        <v>112</v>
      </c>
      <c r="U45" s="358">
        <v>0</v>
      </c>
      <c r="V45" s="360">
        <v>900</v>
      </c>
      <c r="W45" s="358">
        <v>8.3333335816860199E-2</v>
      </c>
      <c r="X45" s="358">
        <v>0</v>
      </c>
      <c r="Y45" s="358">
        <v>0</v>
      </c>
      <c r="Z45" s="357">
        <v>0.68680556052260922</v>
      </c>
      <c r="AA45" s="358">
        <v>0</v>
      </c>
      <c r="AB45" s="359" t="s">
        <v>112</v>
      </c>
      <c r="AC45" s="358">
        <v>0</v>
      </c>
      <c r="AD45" s="360" t="s">
        <v>723</v>
      </c>
      <c r="AE45" s="357">
        <v>0</v>
      </c>
      <c r="AF45" s="358">
        <v>0</v>
      </c>
      <c r="AG45" s="358">
        <v>0</v>
      </c>
      <c r="AH45" s="362">
        <v>0</v>
      </c>
      <c r="AI45" s="362">
        <v>0</v>
      </c>
      <c r="AJ45" s="354" t="s">
        <v>112</v>
      </c>
      <c r="AK45" s="362">
        <v>0</v>
      </c>
      <c r="AL45" s="363">
        <v>1800</v>
      </c>
      <c r="AM45" s="364">
        <v>0</v>
      </c>
      <c r="AN45" s="362">
        <v>0</v>
      </c>
      <c r="AO45" s="359" t="s">
        <v>112</v>
      </c>
      <c r="AP45" s="362">
        <v>0</v>
      </c>
      <c r="AQ45" s="363">
        <v>0</v>
      </c>
      <c r="AR45" s="357">
        <v>0</v>
      </c>
      <c r="AS45" s="358">
        <v>0</v>
      </c>
      <c r="AT45" s="358">
        <v>0</v>
      </c>
      <c r="AU45" s="365">
        <v>0</v>
      </c>
      <c r="AV45" s="365">
        <v>0</v>
      </c>
      <c r="AW45" s="365">
        <v>0</v>
      </c>
      <c r="AX45" s="359">
        <v>0</v>
      </c>
      <c r="AY45" s="359">
        <v>0</v>
      </c>
      <c r="AZ45" s="363">
        <v>1800</v>
      </c>
      <c r="BA45" s="357">
        <v>0</v>
      </c>
      <c r="BB45" s="358">
        <v>0</v>
      </c>
      <c r="BC45" s="358">
        <v>0</v>
      </c>
      <c r="BD45" s="362">
        <v>0</v>
      </c>
      <c r="BE45" s="362">
        <v>0</v>
      </c>
      <c r="BF45" s="354" t="s">
        <v>112</v>
      </c>
      <c r="BG45" s="362">
        <v>0</v>
      </c>
      <c r="BH45" s="363">
        <v>1800</v>
      </c>
      <c r="BI45" s="364">
        <v>0</v>
      </c>
      <c r="BJ45" s="362">
        <v>0</v>
      </c>
      <c r="BK45" s="359" t="s">
        <v>112</v>
      </c>
      <c r="BL45" s="362">
        <v>0</v>
      </c>
      <c r="BM45" s="363">
        <v>1800</v>
      </c>
      <c r="BN45" s="364">
        <v>0</v>
      </c>
      <c r="BO45" s="362">
        <v>0</v>
      </c>
      <c r="BP45" s="359" t="s">
        <v>112</v>
      </c>
      <c r="BQ45" s="362">
        <v>0</v>
      </c>
      <c r="BR45" s="363">
        <v>0</v>
      </c>
      <c r="BS45" s="366">
        <v>0</v>
      </c>
      <c r="BT45" s="363">
        <v>0</v>
      </c>
      <c r="BU45" s="357">
        <v>0</v>
      </c>
      <c r="BV45" s="361">
        <v>900</v>
      </c>
      <c r="BW45" s="357">
        <v>0</v>
      </c>
      <c r="BX45" s="361">
        <v>900</v>
      </c>
      <c r="BY45" s="357">
        <v>0</v>
      </c>
      <c r="BZ45" s="361">
        <v>900</v>
      </c>
      <c r="CA45" s="357">
        <v>0.60138887166976929</v>
      </c>
      <c r="CB45" s="358">
        <v>0</v>
      </c>
      <c r="CC45" s="358">
        <v>8.3333333333333332E-3</v>
      </c>
      <c r="CD45" s="359" t="s">
        <v>112</v>
      </c>
      <c r="CE45" s="358">
        <v>0</v>
      </c>
      <c r="CF45" s="361">
        <v>900</v>
      </c>
    </row>
    <row r="46" spans="1:84" s="22" customFormat="1" hidden="1" x14ac:dyDescent="0.25">
      <c r="A46" s="380" t="s">
        <v>112</v>
      </c>
      <c r="B46" s="381">
        <v>0</v>
      </c>
      <c r="C46" s="381">
        <v>0</v>
      </c>
      <c r="D46" s="381">
        <v>0</v>
      </c>
      <c r="E46" s="381">
        <v>0</v>
      </c>
      <c r="F46" s="381">
        <v>0</v>
      </c>
      <c r="G46" s="382" t="s">
        <v>112</v>
      </c>
      <c r="H46" s="382" t="s">
        <v>726</v>
      </c>
      <c r="I46" s="382">
        <v>7200</v>
      </c>
      <c r="J46" s="382">
        <v>0</v>
      </c>
      <c r="K46" s="383">
        <v>0.52013888888888882</v>
      </c>
      <c r="L46" s="152">
        <v>0</v>
      </c>
      <c r="M46" s="384" t="s">
        <v>112</v>
      </c>
      <c r="N46" s="152">
        <v>0</v>
      </c>
      <c r="O46" s="385" t="s">
        <v>726</v>
      </c>
      <c r="P46" s="152">
        <v>8.3333335816860199E-2</v>
      </c>
      <c r="Q46" s="152">
        <v>0</v>
      </c>
      <c r="R46" s="383">
        <v>0.60347222470574902</v>
      </c>
      <c r="S46" s="152">
        <v>0</v>
      </c>
      <c r="T46" s="384" t="s">
        <v>112</v>
      </c>
      <c r="U46" s="152">
        <v>0</v>
      </c>
      <c r="V46" s="385">
        <v>900</v>
      </c>
      <c r="W46" s="152">
        <v>8.3333335816860199E-2</v>
      </c>
      <c r="X46" s="152">
        <v>0</v>
      </c>
      <c r="Y46" s="152">
        <v>0</v>
      </c>
      <c r="Z46" s="383">
        <v>0.68680556052260922</v>
      </c>
      <c r="AA46" s="152">
        <v>0</v>
      </c>
      <c r="AB46" s="384" t="s">
        <v>112</v>
      </c>
      <c r="AC46" s="152">
        <v>0</v>
      </c>
      <c r="AD46" s="385" t="s">
        <v>723</v>
      </c>
      <c r="AE46" s="383">
        <v>0</v>
      </c>
      <c r="AF46" s="152">
        <v>0</v>
      </c>
      <c r="AG46" s="152">
        <v>0</v>
      </c>
      <c r="AH46" s="386">
        <v>0</v>
      </c>
      <c r="AI46" s="386">
        <v>0</v>
      </c>
      <c r="AJ46" s="380" t="s">
        <v>112</v>
      </c>
      <c r="AK46" s="386">
        <v>0</v>
      </c>
      <c r="AL46" s="387">
        <v>1800</v>
      </c>
      <c r="AM46" s="388">
        <v>0</v>
      </c>
      <c r="AN46" s="386">
        <v>0</v>
      </c>
      <c r="AO46" s="384" t="s">
        <v>112</v>
      </c>
      <c r="AP46" s="386">
        <v>0</v>
      </c>
      <c r="AQ46" s="387">
        <v>0</v>
      </c>
      <c r="AR46" s="383">
        <v>0</v>
      </c>
      <c r="AS46" s="152">
        <v>0</v>
      </c>
      <c r="AT46" s="152">
        <v>0</v>
      </c>
      <c r="AU46" s="389">
        <v>0</v>
      </c>
      <c r="AV46" s="389">
        <v>0</v>
      </c>
      <c r="AW46" s="389">
        <v>0</v>
      </c>
      <c r="AX46" s="384">
        <v>0</v>
      </c>
      <c r="AY46" s="384">
        <v>0</v>
      </c>
      <c r="AZ46" s="387">
        <v>1800</v>
      </c>
      <c r="BA46" s="383">
        <v>0</v>
      </c>
      <c r="BB46" s="152">
        <v>0</v>
      </c>
      <c r="BC46" s="152">
        <v>0</v>
      </c>
      <c r="BD46" s="386">
        <v>0</v>
      </c>
      <c r="BE46" s="386">
        <v>0</v>
      </c>
      <c r="BF46" s="380" t="s">
        <v>112</v>
      </c>
      <c r="BG46" s="386">
        <v>0</v>
      </c>
      <c r="BH46" s="387">
        <v>1800</v>
      </c>
      <c r="BI46" s="388">
        <v>0</v>
      </c>
      <c r="BJ46" s="386">
        <v>0</v>
      </c>
      <c r="BK46" s="384" t="s">
        <v>112</v>
      </c>
      <c r="BL46" s="386">
        <v>0</v>
      </c>
      <c r="BM46" s="387">
        <v>1800</v>
      </c>
      <c r="BN46" s="388">
        <v>0</v>
      </c>
      <c r="BO46" s="386">
        <v>0</v>
      </c>
      <c r="BP46" s="384" t="s">
        <v>112</v>
      </c>
      <c r="BQ46" s="386">
        <v>0</v>
      </c>
      <c r="BR46" s="387">
        <v>0</v>
      </c>
      <c r="BS46" s="390">
        <v>0</v>
      </c>
      <c r="BT46" s="387">
        <v>0</v>
      </c>
      <c r="BU46" s="383">
        <v>0</v>
      </c>
      <c r="BV46" s="391">
        <v>900</v>
      </c>
      <c r="BW46" s="383">
        <v>0</v>
      </c>
      <c r="BX46" s="391">
        <v>900</v>
      </c>
      <c r="BY46" s="383">
        <v>0</v>
      </c>
      <c r="BZ46" s="391">
        <v>900</v>
      </c>
      <c r="CA46" s="383">
        <v>0.60138887166976929</v>
      </c>
      <c r="CB46" s="152">
        <v>0</v>
      </c>
      <c r="CC46" s="152">
        <v>8.3333333333333332E-3</v>
      </c>
      <c r="CD46" s="384" t="s">
        <v>112</v>
      </c>
      <c r="CE46" s="152">
        <v>0</v>
      </c>
      <c r="CF46" s="391">
        <v>900</v>
      </c>
    </row>
    <row r="47" spans="1:84" s="367" customFormat="1" hidden="1" x14ac:dyDescent="0.25">
      <c r="A47" s="354" t="s">
        <v>112</v>
      </c>
      <c r="B47" s="355">
        <v>0</v>
      </c>
      <c r="C47" s="355">
        <v>0</v>
      </c>
      <c r="D47" s="355">
        <v>0</v>
      </c>
      <c r="E47" s="355">
        <v>0</v>
      </c>
      <c r="F47" s="355">
        <v>0</v>
      </c>
      <c r="G47" s="356" t="s">
        <v>112</v>
      </c>
      <c r="H47" s="356" t="s">
        <v>726</v>
      </c>
      <c r="I47" s="356">
        <v>7200</v>
      </c>
      <c r="J47" s="356">
        <v>0</v>
      </c>
      <c r="K47" s="357">
        <v>0.52013888888888882</v>
      </c>
      <c r="L47" s="358">
        <v>0</v>
      </c>
      <c r="M47" s="359" t="s">
        <v>112</v>
      </c>
      <c r="N47" s="358">
        <v>0</v>
      </c>
      <c r="O47" s="360" t="s">
        <v>726</v>
      </c>
      <c r="P47" s="358">
        <v>8.3333335816860199E-2</v>
      </c>
      <c r="Q47" s="358">
        <v>0</v>
      </c>
      <c r="R47" s="357">
        <v>0.60347222470574902</v>
      </c>
      <c r="S47" s="358">
        <v>0</v>
      </c>
      <c r="T47" s="359" t="s">
        <v>112</v>
      </c>
      <c r="U47" s="358">
        <v>0</v>
      </c>
      <c r="V47" s="360">
        <v>900</v>
      </c>
      <c r="W47" s="358">
        <v>8.3333335816860199E-2</v>
      </c>
      <c r="X47" s="358">
        <v>0</v>
      </c>
      <c r="Y47" s="358">
        <v>0</v>
      </c>
      <c r="Z47" s="357">
        <v>0.68680556052260922</v>
      </c>
      <c r="AA47" s="358">
        <v>0</v>
      </c>
      <c r="AB47" s="359" t="s">
        <v>112</v>
      </c>
      <c r="AC47" s="358">
        <v>0</v>
      </c>
      <c r="AD47" s="360" t="s">
        <v>723</v>
      </c>
      <c r="AE47" s="357">
        <v>0</v>
      </c>
      <c r="AF47" s="358">
        <v>0</v>
      </c>
      <c r="AG47" s="358">
        <v>0</v>
      </c>
      <c r="AH47" s="362">
        <v>0</v>
      </c>
      <c r="AI47" s="362">
        <v>0</v>
      </c>
      <c r="AJ47" s="354" t="s">
        <v>112</v>
      </c>
      <c r="AK47" s="362">
        <v>0</v>
      </c>
      <c r="AL47" s="363">
        <v>1800</v>
      </c>
      <c r="AM47" s="364">
        <v>0</v>
      </c>
      <c r="AN47" s="362">
        <v>0</v>
      </c>
      <c r="AO47" s="359" t="s">
        <v>112</v>
      </c>
      <c r="AP47" s="362">
        <v>0</v>
      </c>
      <c r="AQ47" s="363">
        <v>0</v>
      </c>
      <c r="AR47" s="357">
        <v>0</v>
      </c>
      <c r="AS47" s="358">
        <v>0</v>
      </c>
      <c r="AT47" s="358">
        <v>0</v>
      </c>
      <c r="AU47" s="365">
        <v>0</v>
      </c>
      <c r="AV47" s="365">
        <v>0</v>
      </c>
      <c r="AW47" s="365">
        <v>0</v>
      </c>
      <c r="AX47" s="359">
        <v>0</v>
      </c>
      <c r="AY47" s="359">
        <v>0</v>
      </c>
      <c r="AZ47" s="363">
        <v>1800</v>
      </c>
      <c r="BA47" s="357">
        <v>0</v>
      </c>
      <c r="BB47" s="358">
        <v>0</v>
      </c>
      <c r="BC47" s="358">
        <v>0</v>
      </c>
      <c r="BD47" s="362">
        <v>0</v>
      </c>
      <c r="BE47" s="362">
        <v>0</v>
      </c>
      <c r="BF47" s="354" t="s">
        <v>112</v>
      </c>
      <c r="BG47" s="362">
        <v>0</v>
      </c>
      <c r="BH47" s="363">
        <v>1800</v>
      </c>
      <c r="BI47" s="364">
        <v>0</v>
      </c>
      <c r="BJ47" s="362">
        <v>0</v>
      </c>
      <c r="BK47" s="359" t="s">
        <v>112</v>
      </c>
      <c r="BL47" s="362">
        <v>0</v>
      </c>
      <c r="BM47" s="363">
        <v>1800</v>
      </c>
      <c r="BN47" s="364">
        <v>0</v>
      </c>
      <c r="BO47" s="362">
        <v>0</v>
      </c>
      <c r="BP47" s="359" t="s">
        <v>112</v>
      </c>
      <c r="BQ47" s="362">
        <v>0</v>
      </c>
      <c r="BR47" s="363">
        <v>0</v>
      </c>
      <c r="BS47" s="366">
        <v>0</v>
      </c>
      <c r="BT47" s="363">
        <v>0</v>
      </c>
      <c r="BU47" s="357">
        <v>0</v>
      </c>
      <c r="BV47" s="361">
        <v>900</v>
      </c>
      <c r="BW47" s="357">
        <v>0</v>
      </c>
      <c r="BX47" s="361">
        <v>900</v>
      </c>
      <c r="BY47" s="357">
        <v>0</v>
      </c>
      <c r="BZ47" s="361">
        <v>900</v>
      </c>
      <c r="CA47" s="357">
        <v>0.60138887166976929</v>
      </c>
      <c r="CB47" s="358">
        <v>0</v>
      </c>
      <c r="CC47" s="358">
        <v>8.3333333333333332E-3</v>
      </c>
      <c r="CD47" s="359" t="s">
        <v>112</v>
      </c>
      <c r="CE47" s="358">
        <v>0</v>
      </c>
      <c r="CF47" s="361">
        <v>900</v>
      </c>
    </row>
    <row r="48" spans="1:84" s="22" customFormat="1" hidden="1" x14ac:dyDescent="0.25">
      <c r="A48" s="380" t="s">
        <v>112</v>
      </c>
      <c r="B48" s="381">
        <v>0</v>
      </c>
      <c r="C48" s="381">
        <v>0</v>
      </c>
      <c r="D48" s="381">
        <v>0</v>
      </c>
      <c r="E48" s="381">
        <v>0</v>
      </c>
      <c r="F48" s="381">
        <v>0</v>
      </c>
      <c r="G48" s="382" t="s">
        <v>112</v>
      </c>
      <c r="H48" s="382" t="s">
        <v>726</v>
      </c>
      <c r="I48" s="382">
        <v>7200</v>
      </c>
      <c r="J48" s="382">
        <v>0</v>
      </c>
      <c r="K48" s="383">
        <v>0.52013888888888882</v>
      </c>
      <c r="L48" s="152">
        <v>0</v>
      </c>
      <c r="M48" s="384" t="s">
        <v>112</v>
      </c>
      <c r="N48" s="152">
        <v>0</v>
      </c>
      <c r="O48" s="385" t="s">
        <v>726</v>
      </c>
      <c r="P48" s="152">
        <v>8.3333335816860199E-2</v>
      </c>
      <c r="Q48" s="152">
        <v>0</v>
      </c>
      <c r="R48" s="383">
        <v>0.60347222470574902</v>
      </c>
      <c r="S48" s="152">
        <v>0</v>
      </c>
      <c r="T48" s="384" t="s">
        <v>112</v>
      </c>
      <c r="U48" s="152">
        <v>0</v>
      </c>
      <c r="V48" s="385">
        <v>900</v>
      </c>
      <c r="W48" s="152">
        <v>8.3333335816860199E-2</v>
      </c>
      <c r="X48" s="152">
        <v>0</v>
      </c>
      <c r="Y48" s="152">
        <v>0</v>
      </c>
      <c r="Z48" s="383">
        <v>0.68680556052260922</v>
      </c>
      <c r="AA48" s="152">
        <v>0</v>
      </c>
      <c r="AB48" s="384" t="s">
        <v>112</v>
      </c>
      <c r="AC48" s="152">
        <v>0</v>
      </c>
      <c r="AD48" s="385" t="s">
        <v>723</v>
      </c>
      <c r="AE48" s="383">
        <v>0</v>
      </c>
      <c r="AF48" s="152">
        <v>0</v>
      </c>
      <c r="AG48" s="152">
        <v>0</v>
      </c>
      <c r="AH48" s="386">
        <v>0</v>
      </c>
      <c r="AI48" s="386">
        <v>0</v>
      </c>
      <c r="AJ48" s="380" t="s">
        <v>112</v>
      </c>
      <c r="AK48" s="386">
        <v>0</v>
      </c>
      <c r="AL48" s="387">
        <v>1800</v>
      </c>
      <c r="AM48" s="388">
        <v>0</v>
      </c>
      <c r="AN48" s="386">
        <v>0</v>
      </c>
      <c r="AO48" s="384" t="s">
        <v>112</v>
      </c>
      <c r="AP48" s="386">
        <v>0</v>
      </c>
      <c r="AQ48" s="387">
        <v>0</v>
      </c>
      <c r="AR48" s="383">
        <v>0</v>
      </c>
      <c r="AS48" s="152">
        <v>0</v>
      </c>
      <c r="AT48" s="152">
        <v>0</v>
      </c>
      <c r="AU48" s="389">
        <v>0</v>
      </c>
      <c r="AV48" s="389">
        <v>0</v>
      </c>
      <c r="AW48" s="389">
        <v>0</v>
      </c>
      <c r="AX48" s="384">
        <v>0</v>
      </c>
      <c r="AY48" s="384">
        <v>0</v>
      </c>
      <c r="AZ48" s="387">
        <v>1800</v>
      </c>
      <c r="BA48" s="383">
        <v>0</v>
      </c>
      <c r="BB48" s="152">
        <v>0</v>
      </c>
      <c r="BC48" s="152">
        <v>0</v>
      </c>
      <c r="BD48" s="386">
        <v>0</v>
      </c>
      <c r="BE48" s="386">
        <v>0</v>
      </c>
      <c r="BF48" s="380" t="s">
        <v>112</v>
      </c>
      <c r="BG48" s="386">
        <v>0</v>
      </c>
      <c r="BH48" s="387">
        <v>1800</v>
      </c>
      <c r="BI48" s="388">
        <v>0</v>
      </c>
      <c r="BJ48" s="386">
        <v>0</v>
      </c>
      <c r="BK48" s="384" t="s">
        <v>112</v>
      </c>
      <c r="BL48" s="386">
        <v>0</v>
      </c>
      <c r="BM48" s="387">
        <v>1800</v>
      </c>
      <c r="BN48" s="388">
        <v>0</v>
      </c>
      <c r="BO48" s="386">
        <v>0</v>
      </c>
      <c r="BP48" s="384" t="s">
        <v>112</v>
      </c>
      <c r="BQ48" s="386">
        <v>0</v>
      </c>
      <c r="BR48" s="387">
        <v>0</v>
      </c>
      <c r="BS48" s="390">
        <v>0</v>
      </c>
      <c r="BT48" s="387">
        <v>0</v>
      </c>
      <c r="BU48" s="383">
        <v>0</v>
      </c>
      <c r="BV48" s="391">
        <v>900</v>
      </c>
      <c r="BW48" s="383">
        <v>0</v>
      </c>
      <c r="BX48" s="391">
        <v>900</v>
      </c>
      <c r="BY48" s="383">
        <v>0</v>
      </c>
      <c r="BZ48" s="391">
        <v>900</v>
      </c>
      <c r="CA48" s="383">
        <v>0.60138887166976929</v>
      </c>
      <c r="CB48" s="152">
        <v>0</v>
      </c>
      <c r="CC48" s="152">
        <v>8.3333333333333332E-3</v>
      </c>
      <c r="CD48" s="384" t="s">
        <v>112</v>
      </c>
      <c r="CE48" s="152">
        <v>0</v>
      </c>
      <c r="CF48" s="391">
        <v>900</v>
      </c>
    </row>
    <row r="49" spans="1:84" s="367" customFormat="1" hidden="1" x14ac:dyDescent="0.25">
      <c r="A49" s="354" t="s">
        <v>112</v>
      </c>
      <c r="B49" s="355">
        <v>0</v>
      </c>
      <c r="C49" s="355">
        <v>0</v>
      </c>
      <c r="D49" s="355">
        <v>0</v>
      </c>
      <c r="E49" s="355">
        <v>0</v>
      </c>
      <c r="F49" s="355">
        <v>0</v>
      </c>
      <c r="G49" s="356" t="s">
        <v>112</v>
      </c>
      <c r="H49" s="356" t="s">
        <v>726</v>
      </c>
      <c r="I49" s="356">
        <v>7200</v>
      </c>
      <c r="J49" s="356">
        <v>0</v>
      </c>
      <c r="K49" s="357">
        <v>0.52013888888888882</v>
      </c>
      <c r="L49" s="358">
        <v>0</v>
      </c>
      <c r="M49" s="359" t="s">
        <v>112</v>
      </c>
      <c r="N49" s="358">
        <v>0</v>
      </c>
      <c r="O49" s="360" t="s">
        <v>726</v>
      </c>
      <c r="P49" s="358">
        <v>8.3333335816860199E-2</v>
      </c>
      <c r="Q49" s="358">
        <v>0</v>
      </c>
      <c r="R49" s="357">
        <v>0.60347222470574902</v>
      </c>
      <c r="S49" s="358">
        <v>0</v>
      </c>
      <c r="T49" s="359" t="s">
        <v>112</v>
      </c>
      <c r="U49" s="358">
        <v>0</v>
      </c>
      <c r="V49" s="360">
        <v>900</v>
      </c>
      <c r="W49" s="358">
        <v>8.3333335816860199E-2</v>
      </c>
      <c r="X49" s="358">
        <v>0</v>
      </c>
      <c r="Y49" s="358">
        <v>0</v>
      </c>
      <c r="Z49" s="357">
        <v>0.68680556052260922</v>
      </c>
      <c r="AA49" s="358">
        <v>0</v>
      </c>
      <c r="AB49" s="359" t="s">
        <v>112</v>
      </c>
      <c r="AC49" s="358">
        <v>0</v>
      </c>
      <c r="AD49" s="360" t="s">
        <v>723</v>
      </c>
      <c r="AE49" s="357">
        <v>0</v>
      </c>
      <c r="AF49" s="358">
        <v>0</v>
      </c>
      <c r="AG49" s="358">
        <v>0</v>
      </c>
      <c r="AH49" s="362">
        <v>0</v>
      </c>
      <c r="AI49" s="362">
        <v>0</v>
      </c>
      <c r="AJ49" s="354" t="s">
        <v>112</v>
      </c>
      <c r="AK49" s="362">
        <v>0</v>
      </c>
      <c r="AL49" s="363">
        <v>1800</v>
      </c>
      <c r="AM49" s="364">
        <v>0</v>
      </c>
      <c r="AN49" s="362">
        <v>0</v>
      </c>
      <c r="AO49" s="359" t="s">
        <v>112</v>
      </c>
      <c r="AP49" s="362">
        <v>0</v>
      </c>
      <c r="AQ49" s="363">
        <v>0</v>
      </c>
      <c r="AR49" s="357">
        <v>0</v>
      </c>
      <c r="AS49" s="358">
        <v>0</v>
      </c>
      <c r="AT49" s="358">
        <v>0</v>
      </c>
      <c r="AU49" s="365">
        <v>0</v>
      </c>
      <c r="AV49" s="365">
        <v>0</v>
      </c>
      <c r="AW49" s="365">
        <v>0</v>
      </c>
      <c r="AX49" s="359">
        <v>0</v>
      </c>
      <c r="AY49" s="359">
        <v>0</v>
      </c>
      <c r="AZ49" s="363">
        <v>1800</v>
      </c>
      <c r="BA49" s="357">
        <v>0</v>
      </c>
      <c r="BB49" s="358">
        <v>0</v>
      </c>
      <c r="BC49" s="358">
        <v>0</v>
      </c>
      <c r="BD49" s="362">
        <v>0</v>
      </c>
      <c r="BE49" s="362">
        <v>0</v>
      </c>
      <c r="BF49" s="354" t="s">
        <v>112</v>
      </c>
      <c r="BG49" s="362">
        <v>0</v>
      </c>
      <c r="BH49" s="363">
        <v>1800</v>
      </c>
      <c r="BI49" s="364">
        <v>0</v>
      </c>
      <c r="BJ49" s="362">
        <v>0</v>
      </c>
      <c r="BK49" s="359" t="s">
        <v>112</v>
      </c>
      <c r="BL49" s="362">
        <v>0</v>
      </c>
      <c r="BM49" s="363">
        <v>1800</v>
      </c>
      <c r="BN49" s="364">
        <v>0</v>
      </c>
      <c r="BO49" s="362">
        <v>0</v>
      </c>
      <c r="BP49" s="359" t="s">
        <v>112</v>
      </c>
      <c r="BQ49" s="362">
        <v>0</v>
      </c>
      <c r="BR49" s="363">
        <v>0</v>
      </c>
      <c r="BS49" s="366">
        <v>0</v>
      </c>
      <c r="BT49" s="363">
        <v>0</v>
      </c>
      <c r="BU49" s="357">
        <v>0</v>
      </c>
      <c r="BV49" s="361">
        <v>900</v>
      </c>
      <c r="BW49" s="357">
        <v>0</v>
      </c>
      <c r="BX49" s="361">
        <v>900</v>
      </c>
      <c r="BY49" s="357">
        <v>0</v>
      </c>
      <c r="BZ49" s="361">
        <v>900</v>
      </c>
      <c r="CA49" s="357">
        <v>0.60138887166976929</v>
      </c>
      <c r="CB49" s="358">
        <v>0</v>
      </c>
      <c r="CC49" s="358">
        <v>8.3333333333333332E-3</v>
      </c>
      <c r="CD49" s="359" t="s">
        <v>112</v>
      </c>
      <c r="CE49" s="358">
        <v>0</v>
      </c>
      <c r="CF49" s="361">
        <v>900</v>
      </c>
    </row>
    <row r="50" spans="1:84" s="22" customFormat="1" hidden="1" x14ac:dyDescent="0.25">
      <c r="A50" s="380" t="s">
        <v>112</v>
      </c>
      <c r="B50" s="381">
        <v>0</v>
      </c>
      <c r="C50" s="381">
        <v>0</v>
      </c>
      <c r="D50" s="381">
        <v>0</v>
      </c>
      <c r="E50" s="381">
        <v>0</v>
      </c>
      <c r="F50" s="381">
        <v>0</v>
      </c>
      <c r="G50" s="382" t="s">
        <v>112</v>
      </c>
      <c r="H50" s="382" t="s">
        <v>726</v>
      </c>
      <c r="I50" s="382">
        <v>7200</v>
      </c>
      <c r="J50" s="382">
        <v>0</v>
      </c>
      <c r="K50" s="383">
        <v>0.52013888888888882</v>
      </c>
      <c r="L50" s="152">
        <v>0</v>
      </c>
      <c r="M50" s="384" t="s">
        <v>112</v>
      </c>
      <c r="N50" s="152">
        <v>0</v>
      </c>
      <c r="O50" s="385" t="s">
        <v>726</v>
      </c>
      <c r="P50" s="152">
        <v>8.3333335816860199E-2</v>
      </c>
      <c r="Q50" s="152">
        <v>0</v>
      </c>
      <c r="R50" s="383">
        <v>0.60347222470574902</v>
      </c>
      <c r="S50" s="152">
        <v>0</v>
      </c>
      <c r="T50" s="384" t="s">
        <v>112</v>
      </c>
      <c r="U50" s="152">
        <v>0</v>
      </c>
      <c r="V50" s="385">
        <v>900</v>
      </c>
      <c r="W50" s="152">
        <v>8.3333335816860199E-2</v>
      </c>
      <c r="X50" s="152">
        <v>0</v>
      </c>
      <c r="Y50" s="152">
        <v>0</v>
      </c>
      <c r="Z50" s="383">
        <v>0.68680556052260922</v>
      </c>
      <c r="AA50" s="152">
        <v>0</v>
      </c>
      <c r="AB50" s="384" t="s">
        <v>112</v>
      </c>
      <c r="AC50" s="152">
        <v>0</v>
      </c>
      <c r="AD50" s="385" t="s">
        <v>723</v>
      </c>
      <c r="AE50" s="383">
        <v>0</v>
      </c>
      <c r="AF50" s="152">
        <v>0</v>
      </c>
      <c r="AG50" s="152">
        <v>0</v>
      </c>
      <c r="AH50" s="386">
        <v>0</v>
      </c>
      <c r="AI50" s="386">
        <v>0</v>
      </c>
      <c r="AJ50" s="380" t="s">
        <v>112</v>
      </c>
      <c r="AK50" s="386">
        <v>0</v>
      </c>
      <c r="AL50" s="387">
        <v>1800</v>
      </c>
      <c r="AM50" s="388">
        <v>0</v>
      </c>
      <c r="AN50" s="386">
        <v>0</v>
      </c>
      <c r="AO50" s="384" t="s">
        <v>112</v>
      </c>
      <c r="AP50" s="386">
        <v>0</v>
      </c>
      <c r="AQ50" s="387">
        <v>0</v>
      </c>
      <c r="AR50" s="383">
        <v>0</v>
      </c>
      <c r="AS50" s="152">
        <v>0</v>
      </c>
      <c r="AT50" s="152">
        <v>0</v>
      </c>
      <c r="AU50" s="389">
        <v>0</v>
      </c>
      <c r="AV50" s="389">
        <v>0</v>
      </c>
      <c r="AW50" s="389">
        <v>0</v>
      </c>
      <c r="AX50" s="384">
        <v>0</v>
      </c>
      <c r="AY50" s="384">
        <v>0</v>
      </c>
      <c r="AZ50" s="387">
        <v>1800</v>
      </c>
      <c r="BA50" s="383">
        <v>0</v>
      </c>
      <c r="BB50" s="152">
        <v>0</v>
      </c>
      <c r="BC50" s="152">
        <v>0</v>
      </c>
      <c r="BD50" s="386">
        <v>0</v>
      </c>
      <c r="BE50" s="386">
        <v>0</v>
      </c>
      <c r="BF50" s="380" t="s">
        <v>112</v>
      </c>
      <c r="BG50" s="386">
        <v>0</v>
      </c>
      <c r="BH50" s="387">
        <v>1800</v>
      </c>
      <c r="BI50" s="388">
        <v>0</v>
      </c>
      <c r="BJ50" s="386">
        <v>0</v>
      </c>
      <c r="BK50" s="384" t="s">
        <v>112</v>
      </c>
      <c r="BL50" s="386">
        <v>0</v>
      </c>
      <c r="BM50" s="387">
        <v>1800</v>
      </c>
      <c r="BN50" s="388">
        <v>0</v>
      </c>
      <c r="BO50" s="386">
        <v>0</v>
      </c>
      <c r="BP50" s="384" t="s">
        <v>112</v>
      </c>
      <c r="BQ50" s="386">
        <v>0</v>
      </c>
      <c r="BR50" s="387">
        <v>0</v>
      </c>
      <c r="BS50" s="390">
        <v>0</v>
      </c>
      <c r="BT50" s="387">
        <v>0</v>
      </c>
      <c r="BU50" s="383">
        <v>0</v>
      </c>
      <c r="BV50" s="391">
        <v>900</v>
      </c>
      <c r="BW50" s="383">
        <v>0</v>
      </c>
      <c r="BX50" s="391">
        <v>900</v>
      </c>
      <c r="BY50" s="383">
        <v>0</v>
      </c>
      <c r="BZ50" s="391">
        <v>900</v>
      </c>
      <c r="CA50" s="383">
        <v>0.60138887166976929</v>
      </c>
      <c r="CB50" s="152">
        <v>0</v>
      </c>
      <c r="CC50" s="152">
        <v>8.3333333333333332E-3</v>
      </c>
      <c r="CD50" s="384" t="s">
        <v>112</v>
      </c>
      <c r="CE50" s="152">
        <v>0</v>
      </c>
      <c r="CF50" s="391">
        <v>900</v>
      </c>
    </row>
    <row r="51" spans="1:84" s="367" customFormat="1" hidden="1" x14ac:dyDescent="0.25">
      <c r="A51" s="354" t="s">
        <v>112</v>
      </c>
      <c r="B51" s="355">
        <v>0</v>
      </c>
      <c r="C51" s="355">
        <v>0</v>
      </c>
      <c r="D51" s="355">
        <v>0</v>
      </c>
      <c r="E51" s="355">
        <v>0</v>
      </c>
      <c r="F51" s="355">
        <v>0</v>
      </c>
      <c r="G51" s="356" t="s">
        <v>112</v>
      </c>
      <c r="H51" s="356" t="s">
        <v>726</v>
      </c>
      <c r="I51" s="356">
        <v>7200</v>
      </c>
      <c r="J51" s="356">
        <v>0</v>
      </c>
      <c r="K51" s="357">
        <v>0.52013888888888882</v>
      </c>
      <c r="L51" s="358">
        <v>0</v>
      </c>
      <c r="M51" s="359" t="s">
        <v>112</v>
      </c>
      <c r="N51" s="358">
        <v>0</v>
      </c>
      <c r="O51" s="360" t="s">
        <v>726</v>
      </c>
      <c r="P51" s="358">
        <v>8.3333335816860199E-2</v>
      </c>
      <c r="Q51" s="358">
        <v>0</v>
      </c>
      <c r="R51" s="357">
        <v>0.60347222470574902</v>
      </c>
      <c r="S51" s="358">
        <v>0</v>
      </c>
      <c r="T51" s="359" t="s">
        <v>112</v>
      </c>
      <c r="U51" s="358">
        <v>0</v>
      </c>
      <c r="V51" s="360">
        <v>900</v>
      </c>
      <c r="W51" s="358">
        <v>8.3333335816860199E-2</v>
      </c>
      <c r="X51" s="358">
        <v>0</v>
      </c>
      <c r="Y51" s="358">
        <v>0</v>
      </c>
      <c r="Z51" s="357">
        <v>0.68680556052260922</v>
      </c>
      <c r="AA51" s="358">
        <v>0</v>
      </c>
      <c r="AB51" s="359" t="s">
        <v>112</v>
      </c>
      <c r="AC51" s="358">
        <v>0</v>
      </c>
      <c r="AD51" s="360" t="s">
        <v>723</v>
      </c>
      <c r="AE51" s="357">
        <v>0</v>
      </c>
      <c r="AF51" s="358">
        <v>0</v>
      </c>
      <c r="AG51" s="358">
        <v>0</v>
      </c>
      <c r="AH51" s="362">
        <v>0</v>
      </c>
      <c r="AI51" s="362">
        <v>0</v>
      </c>
      <c r="AJ51" s="354" t="s">
        <v>112</v>
      </c>
      <c r="AK51" s="362">
        <v>0</v>
      </c>
      <c r="AL51" s="363">
        <v>1800</v>
      </c>
      <c r="AM51" s="364">
        <v>0</v>
      </c>
      <c r="AN51" s="362">
        <v>0</v>
      </c>
      <c r="AO51" s="359" t="s">
        <v>112</v>
      </c>
      <c r="AP51" s="362">
        <v>0</v>
      </c>
      <c r="AQ51" s="363">
        <v>0</v>
      </c>
      <c r="AR51" s="357">
        <v>0</v>
      </c>
      <c r="AS51" s="358">
        <v>0</v>
      </c>
      <c r="AT51" s="358">
        <v>0</v>
      </c>
      <c r="AU51" s="365">
        <v>0</v>
      </c>
      <c r="AV51" s="365">
        <v>0</v>
      </c>
      <c r="AW51" s="365">
        <v>0</v>
      </c>
      <c r="AX51" s="359">
        <v>0</v>
      </c>
      <c r="AY51" s="359">
        <v>0</v>
      </c>
      <c r="AZ51" s="363">
        <v>1800</v>
      </c>
      <c r="BA51" s="357">
        <v>0</v>
      </c>
      <c r="BB51" s="358">
        <v>0</v>
      </c>
      <c r="BC51" s="358">
        <v>0</v>
      </c>
      <c r="BD51" s="362">
        <v>0</v>
      </c>
      <c r="BE51" s="362">
        <v>0</v>
      </c>
      <c r="BF51" s="354" t="s">
        <v>112</v>
      </c>
      <c r="BG51" s="362">
        <v>0</v>
      </c>
      <c r="BH51" s="363">
        <v>1800</v>
      </c>
      <c r="BI51" s="364">
        <v>0</v>
      </c>
      <c r="BJ51" s="362">
        <v>0</v>
      </c>
      <c r="BK51" s="359" t="s">
        <v>112</v>
      </c>
      <c r="BL51" s="362">
        <v>0</v>
      </c>
      <c r="BM51" s="363">
        <v>1800</v>
      </c>
      <c r="BN51" s="364">
        <v>0</v>
      </c>
      <c r="BO51" s="362">
        <v>0</v>
      </c>
      <c r="BP51" s="359" t="s">
        <v>112</v>
      </c>
      <c r="BQ51" s="362">
        <v>0</v>
      </c>
      <c r="BR51" s="363">
        <v>0</v>
      </c>
      <c r="BS51" s="366">
        <v>0</v>
      </c>
      <c r="BT51" s="363">
        <v>0</v>
      </c>
      <c r="BU51" s="357">
        <v>0</v>
      </c>
      <c r="BV51" s="361">
        <v>900</v>
      </c>
      <c r="BW51" s="357">
        <v>0</v>
      </c>
      <c r="BX51" s="361">
        <v>900</v>
      </c>
      <c r="BY51" s="357">
        <v>0</v>
      </c>
      <c r="BZ51" s="361">
        <v>900</v>
      </c>
      <c r="CA51" s="357">
        <v>0.60138887166976929</v>
      </c>
      <c r="CB51" s="358">
        <v>0</v>
      </c>
      <c r="CC51" s="358">
        <v>8.3333333333333332E-3</v>
      </c>
      <c r="CD51" s="359" t="s">
        <v>112</v>
      </c>
      <c r="CE51" s="358">
        <v>0</v>
      </c>
      <c r="CF51" s="361">
        <v>900</v>
      </c>
    </row>
    <row r="52" spans="1:84" s="22" customFormat="1" hidden="1" x14ac:dyDescent="0.25">
      <c r="A52" s="380" t="s">
        <v>112</v>
      </c>
      <c r="B52" s="381">
        <v>0</v>
      </c>
      <c r="C52" s="381">
        <v>0</v>
      </c>
      <c r="D52" s="381">
        <v>0</v>
      </c>
      <c r="E52" s="381">
        <v>0</v>
      </c>
      <c r="F52" s="381">
        <v>0</v>
      </c>
      <c r="G52" s="382" t="s">
        <v>112</v>
      </c>
      <c r="H52" s="382" t="s">
        <v>726</v>
      </c>
      <c r="I52" s="382">
        <v>7200</v>
      </c>
      <c r="J52" s="382">
        <v>0</v>
      </c>
      <c r="K52" s="383">
        <v>0.52013888888888882</v>
      </c>
      <c r="L52" s="152">
        <v>0</v>
      </c>
      <c r="M52" s="384" t="s">
        <v>112</v>
      </c>
      <c r="N52" s="152">
        <v>0</v>
      </c>
      <c r="O52" s="385" t="s">
        <v>726</v>
      </c>
      <c r="P52" s="152">
        <v>8.3333335816860199E-2</v>
      </c>
      <c r="Q52" s="152">
        <v>0</v>
      </c>
      <c r="R52" s="383">
        <v>0.60347222470574902</v>
      </c>
      <c r="S52" s="152">
        <v>0</v>
      </c>
      <c r="T52" s="384" t="s">
        <v>112</v>
      </c>
      <c r="U52" s="152">
        <v>0</v>
      </c>
      <c r="V52" s="385">
        <v>900</v>
      </c>
      <c r="W52" s="152">
        <v>8.3333335816860199E-2</v>
      </c>
      <c r="X52" s="152">
        <v>0</v>
      </c>
      <c r="Y52" s="152">
        <v>0</v>
      </c>
      <c r="Z52" s="383">
        <v>0.68680556052260922</v>
      </c>
      <c r="AA52" s="152">
        <v>0</v>
      </c>
      <c r="AB52" s="384" t="s">
        <v>112</v>
      </c>
      <c r="AC52" s="152">
        <v>0</v>
      </c>
      <c r="AD52" s="385" t="s">
        <v>723</v>
      </c>
      <c r="AE52" s="383">
        <v>0</v>
      </c>
      <c r="AF52" s="152">
        <v>0</v>
      </c>
      <c r="AG52" s="152">
        <v>0</v>
      </c>
      <c r="AH52" s="386">
        <v>0</v>
      </c>
      <c r="AI52" s="386">
        <v>0</v>
      </c>
      <c r="AJ52" s="380" t="s">
        <v>112</v>
      </c>
      <c r="AK52" s="386">
        <v>0</v>
      </c>
      <c r="AL52" s="387">
        <v>1800</v>
      </c>
      <c r="AM52" s="388">
        <v>0</v>
      </c>
      <c r="AN52" s="386">
        <v>0</v>
      </c>
      <c r="AO52" s="384" t="s">
        <v>112</v>
      </c>
      <c r="AP52" s="386">
        <v>0</v>
      </c>
      <c r="AQ52" s="387">
        <v>0</v>
      </c>
      <c r="AR52" s="383">
        <v>0</v>
      </c>
      <c r="AS52" s="152">
        <v>0</v>
      </c>
      <c r="AT52" s="152">
        <v>0</v>
      </c>
      <c r="AU52" s="389">
        <v>0</v>
      </c>
      <c r="AV52" s="389">
        <v>0</v>
      </c>
      <c r="AW52" s="389">
        <v>0</v>
      </c>
      <c r="AX52" s="384">
        <v>0</v>
      </c>
      <c r="AY52" s="384">
        <v>0</v>
      </c>
      <c r="AZ52" s="387">
        <v>1800</v>
      </c>
      <c r="BA52" s="383">
        <v>0</v>
      </c>
      <c r="BB52" s="152">
        <v>0</v>
      </c>
      <c r="BC52" s="152">
        <v>0</v>
      </c>
      <c r="BD52" s="386">
        <v>0</v>
      </c>
      <c r="BE52" s="386">
        <v>0</v>
      </c>
      <c r="BF52" s="380" t="s">
        <v>112</v>
      </c>
      <c r="BG52" s="386">
        <v>0</v>
      </c>
      <c r="BH52" s="387">
        <v>1800</v>
      </c>
      <c r="BI52" s="388">
        <v>0</v>
      </c>
      <c r="BJ52" s="386">
        <v>0</v>
      </c>
      <c r="BK52" s="384" t="s">
        <v>112</v>
      </c>
      <c r="BL52" s="386">
        <v>0</v>
      </c>
      <c r="BM52" s="387">
        <v>1800</v>
      </c>
      <c r="BN52" s="388">
        <v>0</v>
      </c>
      <c r="BO52" s="386">
        <v>0</v>
      </c>
      <c r="BP52" s="384" t="s">
        <v>112</v>
      </c>
      <c r="BQ52" s="386">
        <v>0</v>
      </c>
      <c r="BR52" s="387">
        <v>0</v>
      </c>
      <c r="BS52" s="390">
        <v>0</v>
      </c>
      <c r="BT52" s="387">
        <v>0</v>
      </c>
      <c r="BU52" s="383">
        <v>0</v>
      </c>
      <c r="BV52" s="391">
        <v>900</v>
      </c>
      <c r="BW52" s="383">
        <v>0</v>
      </c>
      <c r="BX52" s="391">
        <v>900</v>
      </c>
      <c r="BY52" s="383">
        <v>0</v>
      </c>
      <c r="BZ52" s="391">
        <v>900</v>
      </c>
      <c r="CA52" s="383">
        <v>0.60138887166976929</v>
      </c>
      <c r="CB52" s="152">
        <v>0</v>
      </c>
      <c r="CC52" s="152">
        <v>8.3333333333333332E-3</v>
      </c>
      <c r="CD52" s="384" t="s">
        <v>112</v>
      </c>
      <c r="CE52" s="152">
        <v>0</v>
      </c>
      <c r="CF52" s="391">
        <v>900</v>
      </c>
    </row>
    <row r="53" spans="1:84" s="367" customFormat="1" hidden="1" x14ac:dyDescent="0.25">
      <c r="A53" s="354" t="s">
        <v>112</v>
      </c>
      <c r="B53" s="355">
        <v>0</v>
      </c>
      <c r="C53" s="355">
        <v>0</v>
      </c>
      <c r="D53" s="355">
        <v>0</v>
      </c>
      <c r="E53" s="355">
        <v>0</v>
      </c>
      <c r="F53" s="355">
        <v>0</v>
      </c>
      <c r="G53" s="356" t="s">
        <v>112</v>
      </c>
      <c r="H53" s="356" t="s">
        <v>726</v>
      </c>
      <c r="I53" s="356">
        <v>7200</v>
      </c>
      <c r="J53" s="356">
        <v>0</v>
      </c>
      <c r="K53" s="357">
        <v>0.52013888888888882</v>
      </c>
      <c r="L53" s="358">
        <v>0</v>
      </c>
      <c r="M53" s="359" t="s">
        <v>112</v>
      </c>
      <c r="N53" s="358">
        <v>0</v>
      </c>
      <c r="O53" s="360" t="s">
        <v>726</v>
      </c>
      <c r="P53" s="358">
        <v>8.3333335816860199E-2</v>
      </c>
      <c r="Q53" s="358">
        <v>0</v>
      </c>
      <c r="R53" s="357">
        <v>0.60347222470574902</v>
      </c>
      <c r="S53" s="358">
        <v>0</v>
      </c>
      <c r="T53" s="359" t="s">
        <v>112</v>
      </c>
      <c r="U53" s="358">
        <v>0</v>
      </c>
      <c r="V53" s="360">
        <v>900</v>
      </c>
      <c r="W53" s="358">
        <v>8.3333335816860199E-2</v>
      </c>
      <c r="X53" s="358">
        <v>0</v>
      </c>
      <c r="Y53" s="358">
        <v>0</v>
      </c>
      <c r="Z53" s="357">
        <v>0.68680556052260922</v>
      </c>
      <c r="AA53" s="358">
        <v>0</v>
      </c>
      <c r="AB53" s="359" t="s">
        <v>112</v>
      </c>
      <c r="AC53" s="358">
        <v>0</v>
      </c>
      <c r="AD53" s="360" t="s">
        <v>723</v>
      </c>
      <c r="AE53" s="357">
        <v>0</v>
      </c>
      <c r="AF53" s="358">
        <v>0</v>
      </c>
      <c r="AG53" s="358">
        <v>0</v>
      </c>
      <c r="AH53" s="362">
        <v>0</v>
      </c>
      <c r="AI53" s="362">
        <v>0</v>
      </c>
      <c r="AJ53" s="354" t="s">
        <v>112</v>
      </c>
      <c r="AK53" s="362">
        <v>0</v>
      </c>
      <c r="AL53" s="363">
        <v>1800</v>
      </c>
      <c r="AM53" s="364">
        <v>0</v>
      </c>
      <c r="AN53" s="362">
        <v>0</v>
      </c>
      <c r="AO53" s="359" t="s">
        <v>112</v>
      </c>
      <c r="AP53" s="362">
        <v>0</v>
      </c>
      <c r="AQ53" s="363">
        <v>0</v>
      </c>
      <c r="AR53" s="357">
        <v>0</v>
      </c>
      <c r="AS53" s="358">
        <v>0</v>
      </c>
      <c r="AT53" s="358">
        <v>0</v>
      </c>
      <c r="AU53" s="365">
        <v>0</v>
      </c>
      <c r="AV53" s="365">
        <v>0</v>
      </c>
      <c r="AW53" s="365">
        <v>0</v>
      </c>
      <c r="AX53" s="359">
        <v>0</v>
      </c>
      <c r="AY53" s="359">
        <v>0</v>
      </c>
      <c r="AZ53" s="363">
        <v>1800</v>
      </c>
      <c r="BA53" s="357">
        <v>0</v>
      </c>
      <c r="BB53" s="358">
        <v>0</v>
      </c>
      <c r="BC53" s="358">
        <v>0</v>
      </c>
      <c r="BD53" s="362">
        <v>0</v>
      </c>
      <c r="BE53" s="362">
        <v>0</v>
      </c>
      <c r="BF53" s="354" t="s">
        <v>112</v>
      </c>
      <c r="BG53" s="362">
        <v>0</v>
      </c>
      <c r="BH53" s="363">
        <v>1800</v>
      </c>
      <c r="BI53" s="364">
        <v>0</v>
      </c>
      <c r="BJ53" s="362">
        <v>0</v>
      </c>
      <c r="BK53" s="359" t="s">
        <v>112</v>
      </c>
      <c r="BL53" s="362">
        <v>0</v>
      </c>
      <c r="BM53" s="363">
        <v>1800</v>
      </c>
      <c r="BN53" s="364">
        <v>0</v>
      </c>
      <c r="BO53" s="362">
        <v>0</v>
      </c>
      <c r="BP53" s="359" t="s">
        <v>112</v>
      </c>
      <c r="BQ53" s="362">
        <v>0</v>
      </c>
      <c r="BR53" s="363">
        <v>0</v>
      </c>
      <c r="BS53" s="366">
        <v>0</v>
      </c>
      <c r="BT53" s="363">
        <v>0</v>
      </c>
      <c r="BU53" s="357">
        <v>0</v>
      </c>
      <c r="BV53" s="361">
        <v>900</v>
      </c>
      <c r="BW53" s="357">
        <v>0</v>
      </c>
      <c r="BX53" s="361">
        <v>900</v>
      </c>
      <c r="BY53" s="357">
        <v>0</v>
      </c>
      <c r="BZ53" s="361">
        <v>900</v>
      </c>
      <c r="CA53" s="357">
        <v>0.60138887166976929</v>
      </c>
      <c r="CB53" s="358">
        <v>0</v>
      </c>
      <c r="CC53" s="358">
        <v>8.3333333333333332E-3</v>
      </c>
      <c r="CD53" s="359" t="s">
        <v>112</v>
      </c>
      <c r="CE53" s="358">
        <v>0</v>
      </c>
      <c r="CF53" s="361">
        <v>900</v>
      </c>
    </row>
    <row r="54" spans="1:84" s="22" customFormat="1" hidden="1" x14ac:dyDescent="0.25">
      <c r="A54" s="380" t="s">
        <v>112</v>
      </c>
      <c r="B54" s="381">
        <v>0</v>
      </c>
      <c r="C54" s="381">
        <v>0</v>
      </c>
      <c r="D54" s="381">
        <v>0</v>
      </c>
      <c r="E54" s="381">
        <v>0</v>
      </c>
      <c r="F54" s="381">
        <v>0</v>
      </c>
      <c r="G54" s="382" t="s">
        <v>112</v>
      </c>
      <c r="H54" s="382" t="s">
        <v>726</v>
      </c>
      <c r="I54" s="382">
        <v>7200</v>
      </c>
      <c r="J54" s="382">
        <v>0</v>
      </c>
      <c r="K54" s="383">
        <v>0.52013888888888882</v>
      </c>
      <c r="L54" s="152">
        <v>0</v>
      </c>
      <c r="M54" s="384" t="s">
        <v>112</v>
      </c>
      <c r="N54" s="152">
        <v>0</v>
      </c>
      <c r="O54" s="385" t="s">
        <v>726</v>
      </c>
      <c r="P54" s="152">
        <v>8.3333335816860199E-2</v>
      </c>
      <c r="Q54" s="152">
        <v>0</v>
      </c>
      <c r="R54" s="383">
        <v>0.60347222470574902</v>
      </c>
      <c r="S54" s="152">
        <v>0</v>
      </c>
      <c r="T54" s="384" t="s">
        <v>112</v>
      </c>
      <c r="U54" s="152">
        <v>0</v>
      </c>
      <c r="V54" s="385">
        <v>900</v>
      </c>
      <c r="W54" s="152">
        <v>8.3333335816860199E-2</v>
      </c>
      <c r="X54" s="152">
        <v>0</v>
      </c>
      <c r="Y54" s="152">
        <v>0</v>
      </c>
      <c r="Z54" s="383">
        <v>0.68680556052260922</v>
      </c>
      <c r="AA54" s="152">
        <v>0</v>
      </c>
      <c r="AB54" s="384" t="s">
        <v>112</v>
      </c>
      <c r="AC54" s="152">
        <v>0</v>
      </c>
      <c r="AD54" s="385" t="s">
        <v>723</v>
      </c>
      <c r="AE54" s="383">
        <v>0</v>
      </c>
      <c r="AF54" s="152">
        <v>0</v>
      </c>
      <c r="AG54" s="152">
        <v>0</v>
      </c>
      <c r="AH54" s="386">
        <v>0</v>
      </c>
      <c r="AI54" s="386">
        <v>0</v>
      </c>
      <c r="AJ54" s="380" t="s">
        <v>112</v>
      </c>
      <c r="AK54" s="386">
        <v>0</v>
      </c>
      <c r="AL54" s="387">
        <v>1800</v>
      </c>
      <c r="AM54" s="388">
        <v>0</v>
      </c>
      <c r="AN54" s="386">
        <v>0</v>
      </c>
      <c r="AO54" s="384" t="s">
        <v>112</v>
      </c>
      <c r="AP54" s="386">
        <v>0</v>
      </c>
      <c r="AQ54" s="387">
        <v>0</v>
      </c>
      <c r="AR54" s="383">
        <v>0</v>
      </c>
      <c r="AS54" s="152">
        <v>0</v>
      </c>
      <c r="AT54" s="152">
        <v>0</v>
      </c>
      <c r="AU54" s="389">
        <v>0</v>
      </c>
      <c r="AV54" s="389">
        <v>0</v>
      </c>
      <c r="AW54" s="389">
        <v>0</v>
      </c>
      <c r="AX54" s="384">
        <v>0</v>
      </c>
      <c r="AY54" s="384">
        <v>0</v>
      </c>
      <c r="AZ54" s="387">
        <v>1800</v>
      </c>
      <c r="BA54" s="383">
        <v>0</v>
      </c>
      <c r="BB54" s="152">
        <v>0</v>
      </c>
      <c r="BC54" s="152">
        <v>0</v>
      </c>
      <c r="BD54" s="386">
        <v>0</v>
      </c>
      <c r="BE54" s="386">
        <v>0</v>
      </c>
      <c r="BF54" s="380" t="s">
        <v>112</v>
      </c>
      <c r="BG54" s="386">
        <v>0</v>
      </c>
      <c r="BH54" s="387">
        <v>1800</v>
      </c>
      <c r="BI54" s="388">
        <v>0</v>
      </c>
      <c r="BJ54" s="386">
        <v>0</v>
      </c>
      <c r="BK54" s="384" t="s">
        <v>112</v>
      </c>
      <c r="BL54" s="386">
        <v>0</v>
      </c>
      <c r="BM54" s="387">
        <v>1800</v>
      </c>
      <c r="BN54" s="388">
        <v>0</v>
      </c>
      <c r="BO54" s="386">
        <v>0</v>
      </c>
      <c r="BP54" s="384" t="s">
        <v>112</v>
      </c>
      <c r="BQ54" s="386">
        <v>0</v>
      </c>
      <c r="BR54" s="387">
        <v>0</v>
      </c>
      <c r="BS54" s="390">
        <v>0</v>
      </c>
      <c r="BT54" s="387">
        <v>0</v>
      </c>
      <c r="BU54" s="383">
        <v>0</v>
      </c>
      <c r="BV54" s="391">
        <v>900</v>
      </c>
      <c r="BW54" s="383">
        <v>0</v>
      </c>
      <c r="BX54" s="391">
        <v>900</v>
      </c>
      <c r="BY54" s="383">
        <v>0</v>
      </c>
      <c r="BZ54" s="391">
        <v>900</v>
      </c>
      <c r="CA54" s="383">
        <v>0.60138887166976929</v>
      </c>
      <c r="CB54" s="152">
        <v>0</v>
      </c>
      <c r="CC54" s="152">
        <v>8.3333333333333332E-3</v>
      </c>
      <c r="CD54" s="384" t="s">
        <v>112</v>
      </c>
      <c r="CE54" s="152">
        <v>0</v>
      </c>
      <c r="CF54" s="391">
        <v>900</v>
      </c>
    </row>
    <row r="55" spans="1:84" s="367" customFormat="1" hidden="1" x14ac:dyDescent="0.25">
      <c r="A55" s="354" t="s">
        <v>112</v>
      </c>
      <c r="B55" s="355">
        <v>0</v>
      </c>
      <c r="C55" s="355">
        <v>0</v>
      </c>
      <c r="D55" s="355">
        <v>0</v>
      </c>
      <c r="E55" s="355">
        <v>0</v>
      </c>
      <c r="F55" s="355">
        <v>0</v>
      </c>
      <c r="G55" s="356" t="s">
        <v>112</v>
      </c>
      <c r="H55" s="356" t="s">
        <v>726</v>
      </c>
      <c r="I55" s="356">
        <v>7200</v>
      </c>
      <c r="J55" s="356">
        <v>0</v>
      </c>
      <c r="K55" s="357">
        <v>0.52013888888888882</v>
      </c>
      <c r="L55" s="358">
        <v>0</v>
      </c>
      <c r="M55" s="359" t="s">
        <v>112</v>
      </c>
      <c r="N55" s="358">
        <v>0</v>
      </c>
      <c r="O55" s="360" t="s">
        <v>726</v>
      </c>
      <c r="P55" s="358">
        <v>8.3333335816860199E-2</v>
      </c>
      <c r="Q55" s="358">
        <v>0</v>
      </c>
      <c r="R55" s="357">
        <v>0.60347222470574902</v>
      </c>
      <c r="S55" s="358">
        <v>0</v>
      </c>
      <c r="T55" s="359" t="s">
        <v>112</v>
      </c>
      <c r="U55" s="358">
        <v>0</v>
      </c>
      <c r="V55" s="360">
        <v>900</v>
      </c>
      <c r="W55" s="358">
        <v>8.3333335816860199E-2</v>
      </c>
      <c r="X55" s="358">
        <v>0</v>
      </c>
      <c r="Y55" s="358">
        <v>0</v>
      </c>
      <c r="Z55" s="357">
        <v>0.68680556052260922</v>
      </c>
      <c r="AA55" s="358">
        <v>0</v>
      </c>
      <c r="AB55" s="359" t="s">
        <v>112</v>
      </c>
      <c r="AC55" s="358">
        <v>0</v>
      </c>
      <c r="AD55" s="360" t="s">
        <v>723</v>
      </c>
      <c r="AE55" s="357">
        <v>0</v>
      </c>
      <c r="AF55" s="358">
        <v>0</v>
      </c>
      <c r="AG55" s="358">
        <v>0</v>
      </c>
      <c r="AH55" s="362">
        <v>0</v>
      </c>
      <c r="AI55" s="362">
        <v>0</v>
      </c>
      <c r="AJ55" s="354" t="s">
        <v>112</v>
      </c>
      <c r="AK55" s="362">
        <v>0</v>
      </c>
      <c r="AL55" s="363">
        <v>1800</v>
      </c>
      <c r="AM55" s="364">
        <v>0</v>
      </c>
      <c r="AN55" s="362">
        <v>0</v>
      </c>
      <c r="AO55" s="359" t="s">
        <v>112</v>
      </c>
      <c r="AP55" s="362">
        <v>0</v>
      </c>
      <c r="AQ55" s="363">
        <v>0</v>
      </c>
      <c r="AR55" s="357">
        <v>0</v>
      </c>
      <c r="AS55" s="358">
        <v>0</v>
      </c>
      <c r="AT55" s="358">
        <v>0</v>
      </c>
      <c r="AU55" s="365">
        <v>0</v>
      </c>
      <c r="AV55" s="365">
        <v>0</v>
      </c>
      <c r="AW55" s="365">
        <v>0</v>
      </c>
      <c r="AX55" s="359">
        <v>0</v>
      </c>
      <c r="AY55" s="359">
        <v>0</v>
      </c>
      <c r="AZ55" s="363">
        <v>1800</v>
      </c>
      <c r="BA55" s="357">
        <v>0</v>
      </c>
      <c r="BB55" s="358">
        <v>0</v>
      </c>
      <c r="BC55" s="358">
        <v>0</v>
      </c>
      <c r="BD55" s="362">
        <v>0</v>
      </c>
      <c r="BE55" s="362">
        <v>0</v>
      </c>
      <c r="BF55" s="354" t="s">
        <v>112</v>
      </c>
      <c r="BG55" s="362">
        <v>0</v>
      </c>
      <c r="BH55" s="363">
        <v>1800</v>
      </c>
      <c r="BI55" s="364">
        <v>0</v>
      </c>
      <c r="BJ55" s="362">
        <v>0</v>
      </c>
      <c r="BK55" s="359" t="s">
        <v>112</v>
      </c>
      <c r="BL55" s="362">
        <v>0</v>
      </c>
      <c r="BM55" s="363">
        <v>1800</v>
      </c>
      <c r="BN55" s="364">
        <v>0</v>
      </c>
      <c r="BO55" s="362">
        <v>0</v>
      </c>
      <c r="BP55" s="359" t="s">
        <v>112</v>
      </c>
      <c r="BQ55" s="362">
        <v>0</v>
      </c>
      <c r="BR55" s="363">
        <v>0</v>
      </c>
      <c r="BS55" s="366">
        <v>0</v>
      </c>
      <c r="BT55" s="363">
        <v>0</v>
      </c>
      <c r="BU55" s="357">
        <v>0</v>
      </c>
      <c r="BV55" s="361">
        <v>900</v>
      </c>
      <c r="BW55" s="357">
        <v>0</v>
      </c>
      <c r="BX55" s="361">
        <v>900</v>
      </c>
      <c r="BY55" s="357">
        <v>0</v>
      </c>
      <c r="BZ55" s="361">
        <v>900</v>
      </c>
      <c r="CA55" s="357">
        <v>0.60138887166976929</v>
      </c>
      <c r="CB55" s="358">
        <v>0</v>
      </c>
      <c r="CC55" s="358">
        <v>8.3333333333333332E-3</v>
      </c>
      <c r="CD55" s="359" t="s">
        <v>112</v>
      </c>
      <c r="CE55" s="358">
        <v>0</v>
      </c>
      <c r="CF55" s="361">
        <v>900</v>
      </c>
    </row>
    <row r="56" spans="1:84" s="22" customFormat="1" hidden="1" x14ac:dyDescent="0.25">
      <c r="A56" s="380" t="s">
        <v>112</v>
      </c>
      <c r="B56" s="381">
        <v>0</v>
      </c>
      <c r="C56" s="381">
        <v>0</v>
      </c>
      <c r="D56" s="381">
        <v>0</v>
      </c>
      <c r="E56" s="381">
        <v>0</v>
      </c>
      <c r="F56" s="381">
        <v>0</v>
      </c>
      <c r="G56" s="382" t="s">
        <v>112</v>
      </c>
      <c r="H56" s="382" t="s">
        <v>726</v>
      </c>
      <c r="I56" s="382">
        <v>7200</v>
      </c>
      <c r="J56" s="382">
        <v>0</v>
      </c>
      <c r="K56" s="383">
        <v>0.52013888888888882</v>
      </c>
      <c r="L56" s="152">
        <v>0</v>
      </c>
      <c r="M56" s="384" t="s">
        <v>112</v>
      </c>
      <c r="N56" s="152">
        <v>0</v>
      </c>
      <c r="O56" s="385" t="s">
        <v>726</v>
      </c>
      <c r="P56" s="152">
        <v>8.3333335816860199E-2</v>
      </c>
      <c r="Q56" s="152">
        <v>0</v>
      </c>
      <c r="R56" s="383">
        <v>0.60347222470574902</v>
      </c>
      <c r="S56" s="152">
        <v>0</v>
      </c>
      <c r="T56" s="384" t="s">
        <v>112</v>
      </c>
      <c r="U56" s="152">
        <v>0</v>
      </c>
      <c r="V56" s="385">
        <v>900</v>
      </c>
      <c r="W56" s="152">
        <v>8.3333335816860199E-2</v>
      </c>
      <c r="X56" s="152">
        <v>0</v>
      </c>
      <c r="Y56" s="152">
        <v>0</v>
      </c>
      <c r="Z56" s="383">
        <v>0.68680556052260922</v>
      </c>
      <c r="AA56" s="152">
        <v>0</v>
      </c>
      <c r="AB56" s="384" t="s">
        <v>112</v>
      </c>
      <c r="AC56" s="152">
        <v>0</v>
      </c>
      <c r="AD56" s="385" t="s">
        <v>723</v>
      </c>
      <c r="AE56" s="383">
        <v>0</v>
      </c>
      <c r="AF56" s="152">
        <v>0</v>
      </c>
      <c r="AG56" s="152">
        <v>0</v>
      </c>
      <c r="AH56" s="386">
        <v>0</v>
      </c>
      <c r="AI56" s="386">
        <v>0</v>
      </c>
      <c r="AJ56" s="380" t="s">
        <v>112</v>
      </c>
      <c r="AK56" s="386">
        <v>0</v>
      </c>
      <c r="AL56" s="387">
        <v>1800</v>
      </c>
      <c r="AM56" s="388">
        <v>0</v>
      </c>
      <c r="AN56" s="386">
        <v>0</v>
      </c>
      <c r="AO56" s="384" t="s">
        <v>112</v>
      </c>
      <c r="AP56" s="386">
        <v>0</v>
      </c>
      <c r="AQ56" s="387">
        <v>0</v>
      </c>
      <c r="AR56" s="383">
        <v>0</v>
      </c>
      <c r="AS56" s="152">
        <v>0</v>
      </c>
      <c r="AT56" s="152">
        <v>0</v>
      </c>
      <c r="AU56" s="389">
        <v>0</v>
      </c>
      <c r="AV56" s="389">
        <v>0</v>
      </c>
      <c r="AW56" s="389">
        <v>0</v>
      </c>
      <c r="AX56" s="384">
        <v>0</v>
      </c>
      <c r="AY56" s="384">
        <v>0</v>
      </c>
      <c r="AZ56" s="387">
        <v>1800</v>
      </c>
      <c r="BA56" s="383">
        <v>0</v>
      </c>
      <c r="BB56" s="152">
        <v>0</v>
      </c>
      <c r="BC56" s="152">
        <v>0</v>
      </c>
      <c r="BD56" s="386">
        <v>0</v>
      </c>
      <c r="BE56" s="386">
        <v>0</v>
      </c>
      <c r="BF56" s="380" t="s">
        <v>112</v>
      </c>
      <c r="BG56" s="386">
        <v>0</v>
      </c>
      <c r="BH56" s="387">
        <v>1800</v>
      </c>
      <c r="BI56" s="388">
        <v>0</v>
      </c>
      <c r="BJ56" s="386">
        <v>0</v>
      </c>
      <c r="BK56" s="384" t="s">
        <v>112</v>
      </c>
      <c r="BL56" s="386">
        <v>0</v>
      </c>
      <c r="BM56" s="387">
        <v>1800</v>
      </c>
      <c r="BN56" s="388">
        <v>0</v>
      </c>
      <c r="BO56" s="386">
        <v>0</v>
      </c>
      <c r="BP56" s="384" t="s">
        <v>112</v>
      </c>
      <c r="BQ56" s="386">
        <v>0</v>
      </c>
      <c r="BR56" s="387">
        <v>0</v>
      </c>
      <c r="BS56" s="390">
        <v>0</v>
      </c>
      <c r="BT56" s="387">
        <v>0</v>
      </c>
      <c r="BU56" s="383">
        <v>0</v>
      </c>
      <c r="BV56" s="391">
        <v>900</v>
      </c>
      <c r="BW56" s="383">
        <v>0</v>
      </c>
      <c r="BX56" s="391">
        <v>900</v>
      </c>
      <c r="BY56" s="383">
        <v>0</v>
      </c>
      <c r="BZ56" s="391">
        <v>900</v>
      </c>
      <c r="CA56" s="383">
        <v>0.60138887166976929</v>
      </c>
      <c r="CB56" s="152">
        <v>0</v>
      </c>
      <c r="CC56" s="152">
        <v>8.3333333333333332E-3</v>
      </c>
      <c r="CD56" s="384" t="s">
        <v>112</v>
      </c>
      <c r="CE56" s="152">
        <v>0</v>
      </c>
      <c r="CF56" s="391">
        <v>900</v>
      </c>
    </row>
    <row r="57" spans="1:84" s="367" customFormat="1" hidden="1" x14ac:dyDescent="0.25">
      <c r="A57" s="354" t="s">
        <v>112</v>
      </c>
      <c r="B57" s="355">
        <v>0</v>
      </c>
      <c r="C57" s="355">
        <v>0</v>
      </c>
      <c r="D57" s="355">
        <v>0</v>
      </c>
      <c r="E57" s="355">
        <v>0</v>
      </c>
      <c r="F57" s="355">
        <v>0</v>
      </c>
      <c r="G57" s="356" t="s">
        <v>112</v>
      </c>
      <c r="H57" s="356" t="s">
        <v>726</v>
      </c>
      <c r="I57" s="356">
        <v>7200</v>
      </c>
      <c r="J57" s="356">
        <v>0</v>
      </c>
      <c r="K57" s="357">
        <v>0.52013888888888882</v>
      </c>
      <c r="L57" s="358">
        <v>0</v>
      </c>
      <c r="M57" s="359" t="s">
        <v>112</v>
      </c>
      <c r="N57" s="358">
        <v>0</v>
      </c>
      <c r="O57" s="360" t="s">
        <v>726</v>
      </c>
      <c r="P57" s="358">
        <v>8.3333335816860199E-2</v>
      </c>
      <c r="Q57" s="358">
        <v>0</v>
      </c>
      <c r="R57" s="357">
        <v>0.60347222470574902</v>
      </c>
      <c r="S57" s="358">
        <v>0</v>
      </c>
      <c r="T57" s="359" t="s">
        <v>112</v>
      </c>
      <c r="U57" s="358">
        <v>0</v>
      </c>
      <c r="V57" s="360">
        <v>900</v>
      </c>
      <c r="W57" s="358">
        <v>8.3333335816860199E-2</v>
      </c>
      <c r="X57" s="358">
        <v>0</v>
      </c>
      <c r="Y57" s="358">
        <v>0</v>
      </c>
      <c r="Z57" s="357">
        <v>0.68680556052260922</v>
      </c>
      <c r="AA57" s="358">
        <v>0</v>
      </c>
      <c r="AB57" s="359" t="s">
        <v>112</v>
      </c>
      <c r="AC57" s="358">
        <v>0</v>
      </c>
      <c r="AD57" s="360" t="s">
        <v>723</v>
      </c>
      <c r="AE57" s="357">
        <v>0</v>
      </c>
      <c r="AF57" s="358">
        <v>0</v>
      </c>
      <c r="AG57" s="358">
        <v>0</v>
      </c>
      <c r="AH57" s="362">
        <v>0</v>
      </c>
      <c r="AI57" s="362">
        <v>0</v>
      </c>
      <c r="AJ57" s="354" t="s">
        <v>112</v>
      </c>
      <c r="AK57" s="362">
        <v>0</v>
      </c>
      <c r="AL57" s="363">
        <v>1800</v>
      </c>
      <c r="AM57" s="364">
        <v>0</v>
      </c>
      <c r="AN57" s="362">
        <v>0</v>
      </c>
      <c r="AO57" s="359" t="s">
        <v>112</v>
      </c>
      <c r="AP57" s="362">
        <v>0</v>
      </c>
      <c r="AQ57" s="363">
        <v>0</v>
      </c>
      <c r="AR57" s="357">
        <v>0</v>
      </c>
      <c r="AS57" s="358">
        <v>0</v>
      </c>
      <c r="AT57" s="358">
        <v>0</v>
      </c>
      <c r="AU57" s="365">
        <v>0</v>
      </c>
      <c r="AV57" s="365">
        <v>0</v>
      </c>
      <c r="AW57" s="365">
        <v>0</v>
      </c>
      <c r="AX57" s="359">
        <v>0</v>
      </c>
      <c r="AY57" s="359">
        <v>0</v>
      </c>
      <c r="AZ57" s="363">
        <v>1800</v>
      </c>
      <c r="BA57" s="357">
        <v>0</v>
      </c>
      <c r="BB57" s="358">
        <v>0</v>
      </c>
      <c r="BC57" s="358">
        <v>0</v>
      </c>
      <c r="BD57" s="362">
        <v>0</v>
      </c>
      <c r="BE57" s="362">
        <v>0</v>
      </c>
      <c r="BF57" s="354" t="s">
        <v>112</v>
      </c>
      <c r="BG57" s="362">
        <v>0</v>
      </c>
      <c r="BH57" s="363">
        <v>1800</v>
      </c>
      <c r="BI57" s="364">
        <v>0</v>
      </c>
      <c r="BJ57" s="362">
        <v>0</v>
      </c>
      <c r="BK57" s="359" t="s">
        <v>112</v>
      </c>
      <c r="BL57" s="362">
        <v>0</v>
      </c>
      <c r="BM57" s="363">
        <v>1800</v>
      </c>
      <c r="BN57" s="364">
        <v>0</v>
      </c>
      <c r="BO57" s="362">
        <v>0</v>
      </c>
      <c r="BP57" s="359" t="s">
        <v>112</v>
      </c>
      <c r="BQ57" s="362">
        <v>0</v>
      </c>
      <c r="BR57" s="363">
        <v>0</v>
      </c>
      <c r="BS57" s="366">
        <v>0</v>
      </c>
      <c r="BT57" s="363">
        <v>0</v>
      </c>
      <c r="BU57" s="357">
        <v>0</v>
      </c>
      <c r="BV57" s="361">
        <v>900</v>
      </c>
      <c r="BW57" s="357">
        <v>0</v>
      </c>
      <c r="BX57" s="361">
        <v>900</v>
      </c>
      <c r="BY57" s="357">
        <v>0</v>
      </c>
      <c r="BZ57" s="361">
        <v>900</v>
      </c>
      <c r="CA57" s="357">
        <v>0.60138887166976929</v>
      </c>
      <c r="CB57" s="358">
        <v>0</v>
      </c>
      <c r="CC57" s="358">
        <v>8.3333333333333332E-3</v>
      </c>
      <c r="CD57" s="359" t="s">
        <v>112</v>
      </c>
      <c r="CE57" s="358">
        <v>0</v>
      </c>
      <c r="CF57" s="361">
        <v>900</v>
      </c>
    </row>
    <row r="58" spans="1:84" s="22" customFormat="1" hidden="1" x14ac:dyDescent="0.25">
      <c r="A58" s="380" t="s">
        <v>112</v>
      </c>
      <c r="B58" s="381">
        <v>0</v>
      </c>
      <c r="C58" s="381">
        <v>0</v>
      </c>
      <c r="D58" s="381">
        <v>0</v>
      </c>
      <c r="E58" s="381">
        <v>0</v>
      </c>
      <c r="F58" s="381">
        <v>0</v>
      </c>
      <c r="G58" s="382" t="s">
        <v>112</v>
      </c>
      <c r="H58" s="382" t="s">
        <v>726</v>
      </c>
      <c r="I58" s="382">
        <v>7200</v>
      </c>
      <c r="J58" s="382">
        <v>0</v>
      </c>
      <c r="K58" s="383">
        <v>0.52013888888888882</v>
      </c>
      <c r="L58" s="152">
        <v>0</v>
      </c>
      <c r="M58" s="384" t="s">
        <v>112</v>
      </c>
      <c r="N58" s="152">
        <v>0</v>
      </c>
      <c r="O58" s="385" t="s">
        <v>726</v>
      </c>
      <c r="P58" s="152">
        <v>8.3333335816860199E-2</v>
      </c>
      <c r="Q58" s="152">
        <v>0</v>
      </c>
      <c r="R58" s="383">
        <v>0.60347222470574902</v>
      </c>
      <c r="S58" s="152">
        <v>0</v>
      </c>
      <c r="T58" s="384" t="s">
        <v>112</v>
      </c>
      <c r="U58" s="152">
        <v>0</v>
      </c>
      <c r="V58" s="385">
        <v>900</v>
      </c>
      <c r="W58" s="152">
        <v>8.3333335816860199E-2</v>
      </c>
      <c r="X58" s="152">
        <v>0</v>
      </c>
      <c r="Y58" s="152">
        <v>0</v>
      </c>
      <c r="Z58" s="383">
        <v>0.68680556052260922</v>
      </c>
      <c r="AA58" s="152">
        <v>0</v>
      </c>
      <c r="AB58" s="384" t="s">
        <v>112</v>
      </c>
      <c r="AC58" s="152">
        <v>0</v>
      </c>
      <c r="AD58" s="385" t="s">
        <v>723</v>
      </c>
      <c r="AE58" s="383">
        <v>0</v>
      </c>
      <c r="AF58" s="152">
        <v>0</v>
      </c>
      <c r="AG58" s="152">
        <v>0</v>
      </c>
      <c r="AH58" s="386">
        <v>0</v>
      </c>
      <c r="AI58" s="386">
        <v>0</v>
      </c>
      <c r="AJ58" s="380" t="s">
        <v>112</v>
      </c>
      <c r="AK58" s="386">
        <v>0</v>
      </c>
      <c r="AL58" s="387">
        <v>1800</v>
      </c>
      <c r="AM58" s="388">
        <v>0</v>
      </c>
      <c r="AN58" s="386">
        <v>0</v>
      </c>
      <c r="AO58" s="384" t="s">
        <v>112</v>
      </c>
      <c r="AP58" s="386">
        <v>0</v>
      </c>
      <c r="AQ58" s="387">
        <v>0</v>
      </c>
      <c r="AR58" s="383">
        <v>0</v>
      </c>
      <c r="AS58" s="152">
        <v>0</v>
      </c>
      <c r="AT58" s="152">
        <v>0</v>
      </c>
      <c r="AU58" s="389">
        <v>0</v>
      </c>
      <c r="AV58" s="389">
        <v>0</v>
      </c>
      <c r="AW58" s="389">
        <v>0</v>
      </c>
      <c r="AX58" s="384">
        <v>0</v>
      </c>
      <c r="AY58" s="384">
        <v>0</v>
      </c>
      <c r="AZ58" s="387">
        <v>1800</v>
      </c>
      <c r="BA58" s="383">
        <v>0</v>
      </c>
      <c r="BB58" s="152">
        <v>0</v>
      </c>
      <c r="BC58" s="152">
        <v>0</v>
      </c>
      <c r="BD58" s="386">
        <v>0</v>
      </c>
      <c r="BE58" s="386">
        <v>0</v>
      </c>
      <c r="BF58" s="380" t="s">
        <v>112</v>
      </c>
      <c r="BG58" s="386">
        <v>0</v>
      </c>
      <c r="BH58" s="387">
        <v>1800</v>
      </c>
      <c r="BI58" s="388">
        <v>0</v>
      </c>
      <c r="BJ58" s="386">
        <v>0</v>
      </c>
      <c r="BK58" s="384" t="s">
        <v>112</v>
      </c>
      <c r="BL58" s="386">
        <v>0</v>
      </c>
      <c r="BM58" s="387">
        <v>1800</v>
      </c>
      <c r="BN58" s="388">
        <v>0</v>
      </c>
      <c r="BO58" s="386">
        <v>0</v>
      </c>
      <c r="BP58" s="384" t="s">
        <v>112</v>
      </c>
      <c r="BQ58" s="386">
        <v>0</v>
      </c>
      <c r="BR58" s="387">
        <v>0</v>
      </c>
      <c r="BS58" s="390">
        <v>0</v>
      </c>
      <c r="BT58" s="387">
        <v>0</v>
      </c>
      <c r="BU58" s="383">
        <v>0</v>
      </c>
      <c r="BV58" s="391">
        <v>900</v>
      </c>
      <c r="BW58" s="383">
        <v>0</v>
      </c>
      <c r="BX58" s="391">
        <v>900</v>
      </c>
      <c r="BY58" s="383">
        <v>0</v>
      </c>
      <c r="BZ58" s="391">
        <v>900</v>
      </c>
      <c r="CA58" s="383">
        <v>0.60138887166976929</v>
      </c>
      <c r="CB58" s="152">
        <v>0</v>
      </c>
      <c r="CC58" s="152">
        <v>8.3333333333333332E-3</v>
      </c>
      <c r="CD58" s="384" t="s">
        <v>112</v>
      </c>
      <c r="CE58" s="152">
        <v>0</v>
      </c>
      <c r="CF58" s="391">
        <v>900</v>
      </c>
    </row>
    <row r="59" spans="1:84" s="367" customFormat="1" hidden="1" x14ac:dyDescent="0.25">
      <c r="A59" s="354" t="s">
        <v>112</v>
      </c>
      <c r="B59" s="355">
        <v>0</v>
      </c>
      <c r="C59" s="355">
        <v>0</v>
      </c>
      <c r="D59" s="355">
        <v>0</v>
      </c>
      <c r="E59" s="355">
        <v>0</v>
      </c>
      <c r="F59" s="355">
        <v>0</v>
      </c>
      <c r="G59" s="356" t="s">
        <v>112</v>
      </c>
      <c r="H59" s="356" t="s">
        <v>726</v>
      </c>
      <c r="I59" s="356">
        <v>7200</v>
      </c>
      <c r="J59" s="356">
        <v>0</v>
      </c>
      <c r="K59" s="357">
        <v>0.52013888888888882</v>
      </c>
      <c r="L59" s="358">
        <v>0</v>
      </c>
      <c r="M59" s="359" t="s">
        <v>112</v>
      </c>
      <c r="N59" s="358">
        <v>0</v>
      </c>
      <c r="O59" s="360" t="s">
        <v>726</v>
      </c>
      <c r="P59" s="358">
        <v>8.3333335816860199E-2</v>
      </c>
      <c r="Q59" s="358">
        <v>0</v>
      </c>
      <c r="R59" s="357">
        <v>0.60347222470574902</v>
      </c>
      <c r="S59" s="358">
        <v>0</v>
      </c>
      <c r="T59" s="359" t="s">
        <v>112</v>
      </c>
      <c r="U59" s="358">
        <v>0</v>
      </c>
      <c r="V59" s="360">
        <v>900</v>
      </c>
      <c r="W59" s="358">
        <v>8.3333335816860199E-2</v>
      </c>
      <c r="X59" s="358">
        <v>0</v>
      </c>
      <c r="Y59" s="358">
        <v>0</v>
      </c>
      <c r="Z59" s="357">
        <v>0.68680556052260922</v>
      </c>
      <c r="AA59" s="358">
        <v>0</v>
      </c>
      <c r="AB59" s="359" t="s">
        <v>112</v>
      </c>
      <c r="AC59" s="358">
        <v>0</v>
      </c>
      <c r="AD59" s="360" t="s">
        <v>723</v>
      </c>
      <c r="AE59" s="357">
        <v>0</v>
      </c>
      <c r="AF59" s="358">
        <v>0</v>
      </c>
      <c r="AG59" s="358">
        <v>0</v>
      </c>
      <c r="AH59" s="362">
        <v>0</v>
      </c>
      <c r="AI59" s="362">
        <v>0</v>
      </c>
      <c r="AJ59" s="354" t="s">
        <v>112</v>
      </c>
      <c r="AK59" s="362">
        <v>0</v>
      </c>
      <c r="AL59" s="363">
        <v>1800</v>
      </c>
      <c r="AM59" s="364">
        <v>0</v>
      </c>
      <c r="AN59" s="362">
        <v>0</v>
      </c>
      <c r="AO59" s="359" t="s">
        <v>112</v>
      </c>
      <c r="AP59" s="362">
        <v>0</v>
      </c>
      <c r="AQ59" s="363">
        <v>0</v>
      </c>
      <c r="AR59" s="357">
        <v>0</v>
      </c>
      <c r="AS59" s="358">
        <v>0</v>
      </c>
      <c r="AT59" s="358">
        <v>0</v>
      </c>
      <c r="AU59" s="365">
        <v>0</v>
      </c>
      <c r="AV59" s="365">
        <v>0</v>
      </c>
      <c r="AW59" s="365">
        <v>0</v>
      </c>
      <c r="AX59" s="359">
        <v>0</v>
      </c>
      <c r="AY59" s="359">
        <v>0</v>
      </c>
      <c r="AZ59" s="363">
        <v>1800</v>
      </c>
      <c r="BA59" s="357">
        <v>0</v>
      </c>
      <c r="BB59" s="358">
        <v>0</v>
      </c>
      <c r="BC59" s="358">
        <v>0</v>
      </c>
      <c r="BD59" s="362">
        <v>0</v>
      </c>
      <c r="BE59" s="362">
        <v>0</v>
      </c>
      <c r="BF59" s="354" t="s">
        <v>112</v>
      </c>
      <c r="BG59" s="362">
        <v>0</v>
      </c>
      <c r="BH59" s="363">
        <v>1800</v>
      </c>
      <c r="BI59" s="364">
        <v>0</v>
      </c>
      <c r="BJ59" s="362">
        <v>0</v>
      </c>
      <c r="BK59" s="359" t="s">
        <v>112</v>
      </c>
      <c r="BL59" s="362">
        <v>0</v>
      </c>
      <c r="BM59" s="363">
        <v>1800</v>
      </c>
      <c r="BN59" s="364">
        <v>0</v>
      </c>
      <c r="BO59" s="362">
        <v>0</v>
      </c>
      <c r="BP59" s="359" t="s">
        <v>112</v>
      </c>
      <c r="BQ59" s="362">
        <v>0</v>
      </c>
      <c r="BR59" s="363">
        <v>0</v>
      </c>
      <c r="BS59" s="366">
        <v>0</v>
      </c>
      <c r="BT59" s="363">
        <v>0</v>
      </c>
      <c r="BU59" s="357">
        <v>0</v>
      </c>
      <c r="BV59" s="361">
        <v>900</v>
      </c>
      <c r="BW59" s="357">
        <v>0</v>
      </c>
      <c r="BX59" s="361">
        <v>900</v>
      </c>
      <c r="BY59" s="357">
        <v>0</v>
      </c>
      <c r="BZ59" s="361">
        <v>900</v>
      </c>
      <c r="CA59" s="357">
        <v>0.60138887166976929</v>
      </c>
      <c r="CB59" s="358">
        <v>0</v>
      </c>
      <c r="CC59" s="358">
        <v>8.3333333333333332E-3</v>
      </c>
      <c r="CD59" s="359" t="s">
        <v>112</v>
      </c>
      <c r="CE59" s="358">
        <v>0</v>
      </c>
      <c r="CF59" s="361">
        <v>900</v>
      </c>
    </row>
    <row r="60" spans="1:84" s="22" customFormat="1" hidden="1" x14ac:dyDescent="0.25">
      <c r="A60" s="380" t="s">
        <v>112</v>
      </c>
      <c r="B60" s="381">
        <v>0</v>
      </c>
      <c r="C60" s="381">
        <v>0</v>
      </c>
      <c r="D60" s="381">
        <v>0</v>
      </c>
      <c r="E60" s="381">
        <v>0</v>
      </c>
      <c r="F60" s="381">
        <v>0</v>
      </c>
      <c r="G60" s="382" t="s">
        <v>112</v>
      </c>
      <c r="H60" s="382" t="s">
        <v>726</v>
      </c>
      <c r="I60" s="382">
        <v>7200</v>
      </c>
      <c r="J60" s="382">
        <v>0</v>
      </c>
      <c r="K60" s="383">
        <v>0.52013888888888882</v>
      </c>
      <c r="L60" s="152">
        <v>0</v>
      </c>
      <c r="M60" s="384" t="s">
        <v>112</v>
      </c>
      <c r="N60" s="152">
        <v>0</v>
      </c>
      <c r="O60" s="385" t="s">
        <v>726</v>
      </c>
      <c r="P60" s="152">
        <v>8.3333335816860199E-2</v>
      </c>
      <c r="Q60" s="152">
        <v>0</v>
      </c>
      <c r="R60" s="383">
        <v>0.60347222470574902</v>
      </c>
      <c r="S60" s="152">
        <v>0</v>
      </c>
      <c r="T60" s="384" t="s">
        <v>112</v>
      </c>
      <c r="U60" s="152">
        <v>0</v>
      </c>
      <c r="V60" s="385">
        <v>900</v>
      </c>
      <c r="W60" s="152">
        <v>8.3333335816860199E-2</v>
      </c>
      <c r="X60" s="152">
        <v>0</v>
      </c>
      <c r="Y60" s="152">
        <v>0</v>
      </c>
      <c r="Z60" s="383">
        <v>0.68680556052260922</v>
      </c>
      <c r="AA60" s="152">
        <v>0</v>
      </c>
      <c r="AB60" s="384" t="s">
        <v>112</v>
      </c>
      <c r="AC60" s="152">
        <v>0</v>
      </c>
      <c r="AD60" s="385" t="s">
        <v>723</v>
      </c>
      <c r="AE60" s="383">
        <v>0</v>
      </c>
      <c r="AF60" s="152">
        <v>0</v>
      </c>
      <c r="AG60" s="152">
        <v>0</v>
      </c>
      <c r="AH60" s="386">
        <v>0</v>
      </c>
      <c r="AI60" s="386">
        <v>0</v>
      </c>
      <c r="AJ60" s="380" t="s">
        <v>112</v>
      </c>
      <c r="AK60" s="386">
        <v>0</v>
      </c>
      <c r="AL60" s="387">
        <v>1800</v>
      </c>
      <c r="AM60" s="388">
        <v>0</v>
      </c>
      <c r="AN60" s="386">
        <v>0</v>
      </c>
      <c r="AO60" s="384" t="s">
        <v>112</v>
      </c>
      <c r="AP60" s="386">
        <v>0</v>
      </c>
      <c r="AQ60" s="387">
        <v>0</v>
      </c>
      <c r="AR60" s="383">
        <v>0</v>
      </c>
      <c r="AS60" s="152">
        <v>0</v>
      </c>
      <c r="AT60" s="152">
        <v>0</v>
      </c>
      <c r="AU60" s="389">
        <v>0</v>
      </c>
      <c r="AV60" s="389">
        <v>0</v>
      </c>
      <c r="AW60" s="389">
        <v>0</v>
      </c>
      <c r="AX60" s="384">
        <v>0</v>
      </c>
      <c r="AY60" s="384">
        <v>0</v>
      </c>
      <c r="AZ60" s="387">
        <v>1800</v>
      </c>
      <c r="BA60" s="383">
        <v>0</v>
      </c>
      <c r="BB60" s="152">
        <v>0</v>
      </c>
      <c r="BC60" s="152">
        <v>0</v>
      </c>
      <c r="BD60" s="386">
        <v>0</v>
      </c>
      <c r="BE60" s="386">
        <v>0</v>
      </c>
      <c r="BF60" s="380" t="s">
        <v>112</v>
      </c>
      <c r="BG60" s="386">
        <v>0</v>
      </c>
      <c r="BH60" s="387">
        <v>1800</v>
      </c>
      <c r="BI60" s="388">
        <v>0</v>
      </c>
      <c r="BJ60" s="386">
        <v>0</v>
      </c>
      <c r="BK60" s="384" t="s">
        <v>112</v>
      </c>
      <c r="BL60" s="386">
        <v>0</v>
      </c>
      <c r="BM60" s="387">
        <v>1800</v>
      </c>
      <c r="BN60" s="388">
        <v>0</v>
      </c>
      <c r="BO60" s="386">
        <v>0</v>
      </c>
      <c r="BP60" s="384" t="s">
        <v>112</v>
      </c>
      <c r="BQ60" s="386">
        <v>0</v>
      </c>
      <c r="BR60" s="387">
        <v>0</v>
      </c>
      <c r="BS60" s="390">
        <v>0</v>
      </c>
      <c r="BT60" s="387">
        <v>0</v>
      </c>
      <c r="BU60" s="383">
        <v>0</v>
      </c>
      <c r="BV60" s="391">
        <v>900</v>
      </c>
      <c r="BW60" s="383">
        <v>0</v>
      </c>
      <c r="BX60" s="391">
        <v>900</v>
      </c>
      <c r="BY60" s="383">
        <v>0</v>
      </c>
      <c r="BZ60" s="391">
        <v>900</v>
      </c>
      <c r="CA60" s="383">
        <v>0.60138887166976929</v>
      </c>
      <c r="CB60" s="152">
        <v>0</v>
      </c>
      <c r="CC60" s="152">
        <v>8.3333333333333332E-3</v>
      </c>
      <c r="CD60" s="384" t="s">
        <v>112</v>
      </c>
      <c r="CE60" s="152">
        <v>0</v>
      </c>
      <c r="CF60" s="391">
        <v>900</v>
      </c>
    </row>
    <row r="61" spans="1:84" s="367" customFormat="1" hidden="1" x14ac:dyDescent="0.25">
      <c r="A61" s="354" t="s">
        <v>112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6" t="s">
        <v>112</v>
      </c>
      <c r="H61" s="356" t="s">
        <v>726</v>
      </c>
      <c r="I61" s="356">
        <v>7200</v>
      </c>
      <c r="J61" s="356">
        <v>0</v>
      </c>
      <c r="K61" s="357">
        <v>0.52013888888888882</v>
      </c>
      <c r="L61" s="358">
        <v>0</v>
      </c>
      <c r="M61" s="359" t="s">
        <v>112</v>
      </c>
      <c r="N61" s="358">
        <v>0</v>
      </c>
      <c r="O61" s="360" t="s">
        <v>726</v>
      </c>
      <c r="P61" s="358">
        <v>8.3333335816860199E-2</v>
      </c>
      <c r="Q61" s="358">
        <v>0</v>
      </c>
      <c r="R61" s="357">
        <v>0.60347222470574902</v>
      </c>
      <c r="S61" s="358">
        <v>0</v>
      </c>
      <c r="T61" s="359" t="s">
        <v>112</v>
      </c>
      <c r="U61" s="358">
        <v>0</v>
      </c>
      <c r="V61" s="360">
        <v>900</v>
      </c>
      <c r="W61" s="358">
        <v>8.3333335816860199E-2</v>
      </c>
      <c r="X61" s="358">
        <v>0</v>
      </c>
      <c r="Y61" s="358">
        <v>0</v>
      </c>
      <c r="Z61" s="357">
        <v>0.68680556052260922</v>
      </c>
      <c r="AA61" s="358">
        <v>0</v>
      </c>
      <c r="AB61" s="359" t="s">
        <v>112</v>
      </c>
      <c r="AC61" s="358">
        <v>0</v>
      </c>
      <c r="AD61" s="360" t="s">
        <v>723</v>
      </c>
      <c r="AE61" s="357">
        <v>0</v>
      </c>
      <c r="AF61" s="358">
        <v>0</v>
      </c>
      <c r="AG61" s="358">
        <v>0</v>
      </c>
      <c r="AH61" s="362">
        <v>0</v>
      </c>
      <c r="AI61" s="362">
        <v>0</v>
      </c>
      <c r="AJ61" s="354" t="s">
        <v>112</v>
      </c>
      <c r="AK61" s="362">
        <v>0</v>
      </c>
      <c r="AL61" s="363">
        <v>1800</v>
      </c>
      <c r="AM61" s="364">
        <v>0</v>
      </c>
      <c r="AN61" s="362">
        <v>0</v>
      </c>
      <c r="AO61" s="359" t="s">
        <v>112</v>
      </c>
      <c r="AP61" s="362">
        <v>0</v>
      </c>
      <c r="AQ61" s="363">
        <v>0</v>
      </c>
      <c r="AR61" s="357">
        <v>0</v>
      </c>
      <c r="AS61" s="358">
        <v>0</v>
      </c>
      <c r="AT61" s="358">
        <v>0</v>
      </c>
      <c r="AU61" s="365">
        <v>0</v>
      </c>
      <c r="AV61" s="365">
        <v>0</v>
      </c>
      <c r="AW61" s="365">
        <v>0</v>
      </c>
      <c r="AX61" s="359">
        <v>0</v>
      </c>
      <c r="AY61" s="359">
        <v>0</v>
      </c>
      <c r="AZ61" s="363">
        <v>1800</v>
      </c>
      <c r="BA61" s="357">
        <v>0</v>
      </c>
      <c r="BB61" s="358">
        <v>0</v>
      </c>
      <c r="BC61" s="358">
        <v>0</v>
      </c>
      <c r="BD61" s="362">
        <v>0</v>
      </c>
      <c r="BE61" s="362">
        <v>0</v>
      </c>
      <c r="BF61" s="354" t="s">
        <v>112</v>
      </c>
      <c r="BG61" s="362">
        <v>0</v>
      </c>
      <c r="BH61" s="363">
        <v>1800</v>
      </c>
      <c r="BI61" s="364">
        <v>0</v>
      </c>
      <c r="BJ61" s="362">
        <v>0</v>
      </c>
      <c r="BK61" s="359" t="s">
        <v>112</v>
      </c>
      <c r="BL61" s="362">
        <v>0</v>
      </c>
      <c r="BM61" s="363">
        <v>1800</v>
      </c>
      <c r="BN61" s="364">
        <v>0</v>
      </c>
      <c r="BO61" s="362">
        <v>0</v>
      </c>
      <c r="BP61" s="359" t="s">
        <v>112</v>
      </c>
      <c r="BQ61" s="362">
        <v>0</v>
      </c>
      <c r="BR61" s="363">
        <v>0</v>
      </c>
      <c r="BS61" s="366">
        <v>0</v>
      </c>
      <c r="BT61" s="363">
        <v>0</v>
      </c>
      <c r="BU61" s="357">
        <v>0</v>
      </c>
      <c r="BV61" s="361">
        <v>900</v>
      </c>
      <c r="BW61" s="357">
        <v>0</v>
      </c>
      <c r="BX61" s="361">
        <v>900</v>
      </c>
      <c r="BY61" s="357">
        <v>0</v>
      </c>
      <c r="BZ61" s="361">
        <v>900</v>
      </c>
      <c r="CA61" s="357">
        <v>0.60138887166976929</v>
      </c>
      <c r="CB61" s="358">
        <v>0</v>
      </c>
      <c r="CC61" s="358">
        <v>8.3333333333333332E-3</v>
      </c>
      <c r="CD61" s="359" t="s">
        <v>112</v>
      </c>
      <c r="CE61" s="358">
        <v>0</v>
      </c>
      <c r="CF61" s="361">
        <v>900</v>
      </c>
    </row>
    <row r="62" spans="1:84" s="22" customFormat="1" hidden="1" x14ac:dyDescent="0.25">
      <c r="A62" s="380" t="s">
        <v>112</v>
      </c>
      <c r="B62" s="381">
        <v>0</v>
      </c>
      <c r="C62" s="381">
        <v>0</v>
      </c>
      <c r="D62" s="381">
        <v>0</v>
      </c>
      <c r="E62" s="381">
        <v>0</v>
      </c>
      <c r="F62" s="381">
        <v>0</v>
      </c>
      <c r="G62" s="382" t="s">
        <v>112</v>
      </c>
      <c r="H62" s="382" t="s">
        <v>726</v>
      </c>
      <c r="I62" s="382">
        <v>7200</v>
      </c>
      <c r="J62" s="382">
        <v>0</v>
      </c>
      <c r="K62" s="383">
        <v>0.52013888888888882</v>
      </c>
      <c r="L62" s="152">
        <v>0</v>
      </c>
      <c r="M62" s="384" t="s">
        <v>112</v>
      </c>
      <c r="N62" s="152">
        <v>0</v>
      </c>
      <c r="O62" s="385" t="s">
        <v>726</v>
      </c>
      <c r="P62" s="152">
        <v>8.3333335816860199E-2</v>
      </c>
      <c r="Q62" s="152">
        <v>0</v>
      </c>
      <c r="R62" s="383">
        <v>0.60347222470574902</v>
      </c>
      <c r="S62" s="152">
        <v>0</v>
      </c>
      <c r="T62" s="384" t="s">
        <v>112</v>
      </c>
      <c r="U62" s="152">
        <v>0</v>
      </c>
      <c r="V62" s="385">
        <v>900</v>
      </c>
      <c r="W62" s="152">
        <v>8.3333335816860199E-2</v>
      </c>
      <c r="X62" s="152">
        <v>0</v>
      </c>
      <c r="Y62" s="152">
        <v>0</v>
      </c>
      <c r="Z62" s="383">
        <v>0.68680556052260922</v>
      </c>
      <c r="AA62" s="152">
        <v>0</v>
      </c>
      <c r="AB62" s="384" t="s">
        <v>112</v>
      </c>
      <c r="AC62" s="152">
        <v>0</v>
      </c>
      <c r="AD62" s="385" t="s">
        <v>723</v>
      </c>
      <c r="AE62" s="383">
        <v>0</v>
      </c>
      <c r="AF62" s="152">
        <v>0</v>
      </c>
      <c r="AG62" s="152">
        <v>0</v>
      </c>
      <c r="AH62" s="386">
        <v>0</v>
      </c>
      <c r="AI62" s="386">
        <v>0</v>
      </c>
      <c r="AJ62" s="380" t="s">
        <v>112</v>
      </c>
      <c r="AK62" s="386">
        <v>0</v>
      </c>
      <c r="AL62" s="387">
        <v>1800</v>
      </c>
      <c r="AM62" s="388">
        <v>0</v>
      </c>
      <c r="AN62" s="386">
        <v>0</v>
      </c>
      <c r="AO62" s="384" t="s">
        <v>112</v>
      </c>
      <c r="AP62" s="386">
        <v>0</v>
      </c>
      <c r="AQ62" s="387">
        <v>0</v>
      </c>
      <c r="AR62" s="383">
        <v>0</v>
      </c>
      <c r="AS62" s="152">
        <v>0</v>
      </c>
      <c r="AT62" s="152">
        <v>0</v>
      </c>
      <c r="AU62" s="389">
        <v>0</v>
      </c>
      <c r="AV62" s="389">
        <v>0</v>
      </c>
      <c r="AW62" s="389">
        <v>0</v>
      </c>
      <c r="AX62" s="384">
        <v>0</v>
      </c>
      <c r="AY62" s="384">
        <v>0</v>
      </c>
      <c r="AZ62" s="387">
        <v>1800</v>
      </c>
      <c r="BA62" s="383">
        <v>0</v>
      </c>
      <c r="BB62" s="152">
        <v>0</v>
      </c>
      <c r="BC62" s="152">
        <v>0</v>
      </c>
      <c r="BD62" s="386">
        <v>0</v>
      </c>
      <c r="BE62" s="386">
        <v>0</v>
      </c>
      <c r="BF62" s="380" t="s">
        <v>112</v>
      </c>
      <c r="BG62" s="386">
        <v>0</v>
      </c>
      <c r="BH62" s="387">
        <v>1800</v>
      </c>
      <c r="BI62" s="388">
        <v>0</v>
      </c>
      <c r="BJ62" s="386">
        <v>0</v>
      </c>
      <c r="BK62" s="384" t="s">
        <v>112</v>
      </c>
      <c r="BL62" s="386">
        <v>0</v>
      </c>
      <c r="BM62" s="387">
        <v>1800</v>
      </c>
      <c r="BN62" s="388">
        <v>0</v>
      </c>
      <c r="BO62" s="386">
        <v>0</v>
      </c>
      <c r="BP62" s="384" t="s">
        <v>112</v>
      </c>
      <c r="BQ62" s="386">
        <v>0</v>
      </c>
      <c r="BR62" s="387">
        <v>0</v>
      </c>
      <c r="BS62" s="390">
        <v>0</v>
      </c>
      <c r="BT62" s="387">
        <v>0</v>
      </c>
      <c r="BU62" s="383">
        <v>0</v>
      </c>
      <c r="BV62" s="391">
        <v>900</v>
      </c>
      <c r="BW62" s="383">
        <v>0</v>
      </c>
      <c r="BX62" s="391">
        <v>900</v>
      </c>
      <c r="BY62" s="383">
        <v>0</v>
      </c>
      <c r="BZ62" s="391">
        <v>900</v>
      </c>
      <c r="CA62" s="383">
        <v>0.60138887166976929</v>
      </c>
      <c r="CB62" s="152">
        <v>0</v>
      </c>
      <c r="CC62" s="152">
        <v>8.3333333333333332E-3</v>
      </c>
      <c r="CD62" s="384" t="s">
        <v>112</v>
      </c>
      <c r="CE62" s="152">
        <v>0</v>
      </c>
      <c r="CF62" s="391">
        <v>900</v>
      </c>
    </row>
    <row r="63" spans="1:84" s="367" customFormat="1" hidden="1" x14ac:dyDescent="0.25">
      <c r="A63" s="354" t="s">
        <v>112</v>
      </c>
      <c r="B63" s="355">
        <v>0</v>
      </c>
      <c r="C63" s="355">
        <v>0</v>
      </c>
      <c r="D63" s="355">
        <v>0</v>
      </c>
      <c r="E63" s="355">
        <v>0</v>
      </c>
      <c r="F63" s="355">
        <v>0</v>
      </c>
      <c r="G63" s="356" t="s">
        <v>112</v>
      </c>
      <c r="H63" s="356" t="s">
        <v>726</v>
      </c>
      <c r="I63" s="356">
        <v>7200</v>
      </c>
      <c r="J63" s="356">
        <v>0</v>
      </c>
      <c r="K63" s="357">
        <v>0.52013888888888882</v>
      </c>
      <c r="L63" s="358">
        <v>0</v>
      </c>
      <c r="M63" s="359" t="s">
        <v>112</v>
      </c>
      <c r="N63" s="358">
        <v>0</v>
      </c>
      <c r="O63" s="360" t="s">
        <v>726</v>
      </c>
      <c r="P63" s="358">
        <v>8.3333335816860199E-2</v>
      </c>
      <c r="Q63" s="358">
        <v>0</v>
      </c>
      <c r="R63" s="357">
        <v>0.60347222470574902</v>
      </c>
      <c r="S63" s="358">
        <v>0</v>
      </c>
      <c r="T63" s="359" t="s">
        <v>112</v>
      </c>
      <c r="U63" s="358">
        <v>0</v>
      </c>
      <c r="V63" s="360">
        <v>900</v>
      </c>
      <c r="W63" s="358">
        <v>8.3333335816860199E-2</v>
      </c>
      <c r="X63" s="358">
        <v>0</v>
      </c>
      <c r="Y63" s="358">
        <v>0</v>
      </c>
      <c r="Z63" s="357">
        <v>0.68680556052260922</v>
      </c>
      <c r="AA63" s="358">
        <v>0</v>
      </c>
      <c r="AB63" s="359" t="s">
        <v>112</v>
      </c>
      <c r="AC63" s="358">
        <v>0</v>
      </c>
      <c r="AD63" s="360" t="s">
        <v>723</v>
      </c>
      <c r="AE63" s="357">
        <v>0</v>
      </c>
      <c r="AF63" s="358">
        <v>0</v>
      </c>
      <c r="AG63" s="358">
        <v>0</v>
      </c>
      <c r="AH63" s="362">
        <v>0</v>
      </c>
      <c r="AI63" s="362">
        <v>0</v>
      </c>
      <c r="AJ63" s="354" t="s">
        <v>112</v>
      </c>
      <c r="AK63" s="362">
        <v>0</v>
      </c>
      <c r="AL63" s="363">
        <v>1800</v>
      </c>
      <c r="AM63" s="364">
        <v>0</v>
      </c>
      <c r="AN63" s="362">
        <v>0</v>
      </c>
      <c r="AO63" s="359" t="s">
        <v>112</v>
      </c>
      <c r="AP63" s="362">
        <v>0</v>
      </c>
      <c r="AQ63" s="363">
        <v>0</v>
      </c>
      <c r="AR63" s="357">
        <v>0</v>
      </c>
      <c r="AS63" s="358">
        <v>0</v>
      </c>
      <c r="AT63" s="358">
        <v>0</v>
      </c>
      <c r="AU63" s="365">
        <v>0</v>
      </c>
      <c r="AV63" s="365">
        <v>0</v>
      </c>
      <c r="AW63" s="365">
        <v>0</v>
      </c>
      <c r="AX63" s="359">
        <v>0</v>
      </c>
      <c r="AY63" s="359">
        <v>0</v>
      </c>
      <c r="AZ63" s="363">
        <v>1800</v>
      </c>
      <c r="BA63" s="357">
        <v>0</v>
      </c>
      <c r="BB63" s="358">
        <v>0</v>
      </c>
      <c r="BC63" s="358">
        <v>0</v>
      </c>
      <c r="BD63" s="362">
        <v>0</v>
      </c>
      <c r="BE63" s="362">
        <v>0</v>
      </c>
      <c r="BF63" s="354" t="s">
        <v>112</v>
      </c>
      <c r="BG63" s="362">
        <v>0</v>
      </c>
      <c r="BH63" s="363">
        <v>1800</v>
      </c>
      <c r="BI63" s="364">
        <v>0</v>
      </c>
      <c r="BJ63" s="362">
        <v>0</v>
      </c>
      <c r="BK63" s="359" t="s">
        <v>112</v>
      </c>
      <c r="BL63" s="362">
        <v>0</v>
      </c>
      <c r="BM63" s="363">
        <v>1800</v>
      </c>
      <c r="BN63" s="364">
        <v>0</v>
      </c>
      <c r="BO63" s="362">
        <v>0</v>
      </c>
      <c r="BP63" s="359" t="s">
        <v>112</v>
      </c>
      <c r="BQ63" s="362">
        <v>0</v>
      </c>
      <c r="BR63" s="363">
        <v>0</v>
      </c>
      <c r="BS63" s="366">
        <v>0</v>
      </c>
      <c r="BT63" s="363">
        <v>0</v>
      </c>
      <c r="BU63" s="357">
        <v>0</v>
      </c>
      <c r="BV63" s="361">
        <v>900</v>
      </c>
      <c r="BW63" s="357">
        <v>0</v>
      </c>
      <c r="BX63" s="361">
        <v>900</v>
      </c>
      <c r="BY63" s="357">
        <v>0</v>
      </c>
      <c r="BZ63" s="361">
        <v>900</v>
      </c>
      <c r="CA63" s="357">
        <v>0.60138887166976929</v>
      </c>
      <c r="CB63" s="358">
        <v>0</v>
      </c>
      <c r="CC63" s="358">
        <v>8.3333333333333332E-3</v>
      </c>
      <c r="CD63" s="359" t="s">
        <v>112</v>
      </c>
      <c r="CE63" s="358">
        <v>0</v>
      </c>
      <c r="CF63" s="361">
        <v>900</v>
      </c>
    </row>
    <row r="64" spans="1:84" s="22" customFormat="1" hidden="1" x14ac:dyDescent="0.25">
      <c r="A64" s="380" t="s">
        <v>112</v>
      </c>
      <c r="B64" s="381">
        <v>0</v>
      </c>
      <c r="C64" s="381">
        <v>0</v>
      </c>
      <c r="D64" s="381">
        <v>0</v>
      </c>
      <c r="E64" s="381">
        <v>0</v>
      </c>
      <c r="F64" s="381">
        <v>0</v>
      </c>
      <c r="G64" s="382" t="s">
        <v>112</v>
      </c>
      <c r="H64" s="382" t="s">
        <v>726</v>
      </c>
      <c r="I64" s="382">
        <v>7200</v>
      </c>
      <c r="J64" s="382">
        <v>0</v>
      </c>
      <c r="K64" s="383">
        <v>0.52013888888888882</v>
      </c>
      <c r="L64" s="152">
        <v>0</v>
      </c>
      <c r="M64" s="384" t="s">
        <v>112</v>
      </c>
      <c r="N64" s="152">
        <v>0</v>
      </c>
      <c r="O64" s="385" t="s">
        <v>726</v>
      </c>
      <c r="P64" s="152">
        <v>8.3333335816860199E-2</v>
      </c>
      <c r="Q64" s="152">
        <v>0</v>
      </c>
      <c r="R64" s="383">
        <v>0.60347222470574902</v>
      </c>
      <c r="S64" s="152">
        <v>0</v>
      </c>
      <c r="T64" s="384" t="s">
        <v>112</v>
      </c>
      <c r="U64" s="152">
        <v>0</v>
      </c>
      <c r="V64" s="385">
        <v>900</v>
      </c>
      <c r="W64" s="152">
        <v>8.3333335816860199E-2</v>
      </c>
      <c r="X64" s="152">
        <v>0</v>
      </c>
      <c r="Y64" s="152">
        <v>0</v>
      </c>
      <c r="Z64" s="383">
        <v>0.68680556052260922</v>
      </c>
      <c r="AA64" s="152">
        <v>0</v>
      </c>
      <c r="AB64" s="384" t="s">
        <v>112</v>
      </c>
      <c r="AC64" s="152">
        <v>0</v>
      </c>
      <c r="AD64" s="385" t="s">
        <v>723</v>
      </c>
      <c r="AE64" s="383">
        <v>0</v>
      </c>
      <c r="AF64" s="152">
        <v>0</v>
      </c>
      <c r="AG64" s="152">
        <v>0</v>
      </c>
      <c r="AH64" s="386">
        <v>0</v>
      </c>
      <c r="AI64" s="386">
        <v>0</v>
      </c>
      <c r="AJ64" s="380" t="s">
        <v>112</v>
      </c>
      <c r="AK64" s="386">
        <v>0</v>
      </c>
      <c r="AL64" s="387">
        <v>1800</v>
      </c>
      <c r="AM64" s="388">
        <v>0</v>
      </c>
      <c r="AN64" s="386">
        <v>0</v>
      </c>
      <c r="AO64" s="384" t="s">
        <v>112</v>
      </c>
      <c r="AP64" s="386">
        <v>0</v>
      </c>
      <c r="AQ64" s="387">
        <v>0</v>
      </c>
      <c r="AR64" s="383">
        <v>0</v>
      </c>
      <c r="AS64" s="152">
        <v>0</v>
      </c>
      <c r="AT64" s="152">
        <v>0</v>
      </c>
      <c r="AU64" s="389">
        <v>0</v>
      </c>
      <c r="AV64" s="389">
        <v>0</v>
      </c>
      <c r="AW64" s="389">
        <v>0</v>
      </c>
      <c r="AX64" s="384">
        <v>0</v>
      </c>
      <c r="AY64" s="384">
        <v>0</v>
      </c>
      <c r="AZ64" s="387">
        <v>1800</v>
      </c>
      <c r="BA64" s="383">
        <v>0</v>
      </c>
      <c r="BB64" s="152">
        <v>0</v>
      </c>
      <c r="BC64" s="152">
        <v>0</v>
      </c>
      <c r="BD64" s="386">
        <v>0</v>
      </c>
      <c r="BE64" s="386">
        <v>0</v>
      </c>
      <c r="BF64" s="380" t="s">
        <v>112</v>
      </c>
      <c r="BG64" s="386">
        <v>0</v>
      </c>
      <c r="BH64" s="387">
        <v>1800</v>
      </c>
      <c r="BI64" s="388">
        <v>0</v>
      </c>
      <c r="BJ64" s="386">
        <v>0</v>
      </c>
      <c r="BK64" s="384" t="s">
        <v>112</v>
      </c>
      <c r="BL64" s="386">
        <v>0</v>
      </c>
      <c r="BM64" s="387">
        <v>1800</v>
      </c>
      <c r="BN64" s="388">
        <v>0</v>
      </c>
      <c r="BO64" s="386">
        <v>0</v>
      </c>
      <c r="BP64" s="384" t="s">
        <v>112</v>
      </c>
      <c r="BQ64" s="386">
        <v>0</v>
      </c>
      <c r="BR64" s="387">
        <v>0</v>
      </c>
      <c r="BS64" s="390">
        <v>0</v>
      </c>
      <c r="BT64" s="387">
        <v>0</v>
      </c>
      <c r="BU64" s="383">
        <v>0</v>
      </c>
      <c r="BV64" s="391">
        <v>900</v>
      </c>
      <c r="BW64" s="383">
        <v>0</v>
      </c>
      <c r="BX64" s="391">
        <v>900</v>
      </c>
      <c r="BY64" s="383">
        <v>0</v>
      </c>
      <c r="BZ64" s="391">
        <v>900</v>
      </c>
      <c r="CA64" s="383">
        <v>0.60138887166976929</v>
      </c>
      <c r="CB64" s="152">
        <v>0</v>
      </c>
      <c r="CC64" s="152">
        <v>8.3333333333333332E-3</v>
      </c>
      <c r="CD64" s="384" t="s">
        <v>112</v>
      </c>
      <c r="CE64" s="152">
        <v>0</v>
      </c>
      <c r="CF64" s="391">
        <v>900</v>
      </c>
    </row>
    <row r="65" spans="1:84" s="367" customFormat="1" hidden="1" x14ac:dyDescent="0.25">
      <c r="A65" s="354" t="s">
        <v>112</v>
      </c>
      <c r="B65" s="355">
        <v>0</v>
      </c>
      <c r="C65" s="355">
        <v>0</v>
      </c>
      <c r="D65" s="355">
        <v>0</v>
      </c>
      <c r="E65" s="355">
        <v>0</v>
      </c>
      <c r="F65" s="355">
        <v>0</v>
      </c>
      <c r="G65" s="356" t="s">
        <v>112</v>
      </c>
      <c r="H65" s="356" t="s">
        <v>726</v>
      </c>
      <c r="I65" s="356">
        <v>7200</v>
      </c>
      <c r="J65" s="356">
        <v>0</v>
      </c>
      <c r="K65" s="357">
        <v>0.52013888888888882</v>
      </c>
      <c r="L65" s="358">
        <v>0</v>
      </c>
      <c r="M65" s="359" t="s">
        <v>112</v>
      </c>
      <c r="N65" s="358">
        <v>0</v>
      </c>
      <c r="O65" s="360" t="s">
        <v>726</v>
      </c>
      <c r="P65" s="358">
        <v>8.3333335816860199E-2</v>
      </c>
      <c r="Q65" s="358">
        <v>0</v>
      </c>
      <c r="R65" s="357">
        <v>0.60347222470574902</v>
      </c>
      <c r="S65" s="358">
        <v>0</v>
      </c>
      <c r="T65" s="359" t="s">
        <v>112</v>
      </c>
      <c r="U65" s="358">
        <v>0</v>
      </c>
      <c r="V65" s="360">
        <v>900</v>
      </c>
      <c r="W65" s="358">
        <v>8.3333335816860199E-2</v>
      </c>
      <c r="X65" s="358">
        <v>0</v>
      </c>
      <c r="Y65" s="358">
        <v>0</v>
      </c>
      <c r="Z65" s="357">
        <v>0.68680556052260922</v>
      </c>
      <c r="AA65" s="358">
        <v>0</v>
      </c>
      <c r="AB65" s="359" t="s">
        <v>112</v>
      </c>
      <c r="AC65" s="358">
        <v>0</v>
      </c>
      <c r="AD65" s="360" t="s">
        <v>723</v>
      </c>
      <c r="AE65" s="357">
        <v>0</v>
      </c>
      <c r="AF65" s="358">
        <v>0</v>
      </c>
      <c r="AG65" s="358">
        <v>0</v>
      </c>
      <c r="AH65" s="362">
        <v>0</v>
      </c>
      <c r="AI65" s="362">
        <v>0</v>
      </c>
      <c r="AJ65" s="354" t="s">
        <v>112</v>
      </c>
      <c r="AK65" s="362">
        <v>0</v>
      </c>
      <c r="AL65" s="363">
        <v>1800</v>
      </c>
      <c r="AM65" s="364">
        <v>0</v>
      </c>
      <c r="AN65" s="362">
        <v>0</v>
      </c>
      <c r="AO65" s="359" t="s">
        <v>112</v>
      </c>
      <c r="AP65" s="362">
        <v>0</v>
      </c>
      <c r="AQ65" s="363">
        <v>0</v>
      </c>
      <c r="AR65" s="357">
        <v>0</v>
      </c>
      <c r="AS65" s="358">
        <v>0</v>
      </c>
      <c r="AT65" s="358">
        <v>0</v>
      </c>
      <c r="AU65" s="365">
        <v>0</v>
      </c>
      <c r="AV65" s="365">
        <v>0</v>
      </c>
      <c r="AW65" s="365">
        <v>0</v>
      </c>
      <c r="AX65" s="359">
        <v>0</v>
      </c>
      <c r="AY65" s="359">
        <v>0</v>
      </c>
      <c r="AZ65" s="363">
        <v>1800</v>
      </c>
      <c r="BA65" s="357">
        <v>0</v>
      </c>
      <c r="BB65" s="358">
        <v>0</v>
      </c>
      <c r="BC65" s="358">
        <v>0</v>
      </c>
      <c r="BD65" s="362">
        <v>0</v>
      </c>
      <c r="BE65" s="362">
        <v>0</v>
      </c>
      <c r="BF65" s="354" t="s">
        <v>112</v>
      </c>
      <c r="BG65" s="362">
        <v>0</v>
      </c>
      <c r="BH65" s="363">
        <v>1800</v>
      </c>
      <c r="BI65" s="364">
        <v>0</v>
      </c>
      <c r="BJ65" s="362">
        <v>0</v>
      </c>
      <c r="BK65" s="359" t="s">
        <v>112</v>
      </c>
      <c r="BL65" s="362">
        <v>0</v>
      </c>
      <c r="BM65" s="363">
        <v>1800</v>
      </c>
      <c r="BN65" s="364">
        <v>0</v>
      </c>
      <c r="BO65" s="362">
        <v>0</v>
      </c>
      <c r="BP65" s="359" t="s">
        <v>112</v>
      </c>
      <c r="BQ65" s="362">
        <v>0</v>
      </c>
      <c r="BR65" s="363">
        <v>0</v>
      </c>
      <c r="BS65" s="366">
        <v>0</v>
      </c>
      <c r="BT65" s="363">
        <v>0</v>
      </c>
      <c r="BU65" s="357">
        <v>0</v>
      </c>
      <c r="BV65" s="361">
        <v>900</v>
      </c>
      <c r="BW65" s="357">
        <v>0</v>
      </c>
      <c r="BX65" s="361">
        <v>900</v>
      </c>
      <c r="BY65" s="357">
        <v>0</v>
      </c>
      <c r="BZ65" s="361">
        <v>900</v>
      </c>
      <c r="CA65" s="357">
        <v>0.60138887166976929</v>
      </c>
      <c r="CB65" s="358">
        <v>0</v>
      </c>
      <c r="CC65" s="358">
        <v>8.3333333333333332E-3</v>
      </c>
      <c r="CD65" s="359" t="s">
        <v>112</v>
      </c>
      <c r="CE65" s="358">
        <v>0</v>
      </c>
      <c r="CF65" s="361">
        <v>900</v>
      </c>
    </row>
    <row r="66" spans="1:84" s="22" customFormat="1" hidden="1" x14ac:dyDescent="0.25">
      <c r="A66" s="380" t="s">
        <v>112</v>
      </c>
      <c r="B66" s="381">
        <v>0</v>
      </c>
      <c r="C66" s="381">
        <v>0</v>
      </c>
      <c r="D66" s="381">
        <v>0</v>
      </c>
      <c r="E66" s="381">
        <v>0</v>
      </c>
      <c r="F66" s="381">
        <v>0</v>
      </c>
      <c r="G66" s="382" t="s">
        <v>112</v>
      </c>
      <c r="H66" s="382" t="s">
        <v>726</v>
      </c>
      <c r="I66" s="382">
        <v>7200</v>
      </c>
      <c r="J66" s="382">
        <v>0</v>
      </c>
      <c r="K66" s="383">
        <v>0.52013888888888882</v>
      </c>
      <c r="L66" s="152">
        <v>0</v>
      </c>
      <c r="M66" s="384" t="s">
        <v>112</v>
      </c>
      <c r="N66" s="152">
        <v>0</v>
      </c>
      <c r="O66" s="385" t="s">
        <v>726</v>
      </c>
      <c r="P66" s="152">
        <v>8.3333335816860199E-2</v>
      </c>
      <c r="Q66" s="152">
        <v>0</v>
      </c>
      <c r="R66" s="383">
        <v>0.60347222470574902</v>
      </c>
      <c r="S66" s="152">
        <v>0</v>
      </c>
      <c r="T66" s="384" t="s">
        <v>112</v>
      </c>
      <c r="U66" s="152">
        <v>0</v>
      </c>
      <c r="V66" s="385">
        <v>900</v>
      </c>
      <c r="W66" s="152">
        <v>8.3333335816860199E-2</v>
      </c>
      <c r="X66" s="152">
        <v>0</v>
      </c>
      <c r="Y66" s="152">
        <v>0</v>
      </c>
      <c r="Z66" s="383">
        <v>0.68680556052260922</v>
      </c>
      <c r="AA66" s="152">
        <v>0</v>
      </c>
      <c r="AB66" s="384" t="s">
        <v>112</v>
      </c>
      <c r="AC66" s="152">
        <v>0</v>
      </c>
      <c r="AD66" s="385" t="s">
        <v>723</v>
      </c>
      <c r="AE66" s="383">
        <v>0</v>
      </c>
      <c r="AF66" s="152">
        <v>0</v>
      </c>
      <c r="AG66" s="152">
        <v>0</v>
      </c>
      <c r="AH66" s="386">
        <v>0</v>
      </c>
      <c r="AI66" s="386">
        <v>0</v>
      </c>
      <c r="AJ66" s="380" t="s">
        <v>112</v>
      </c>
      <c r="AK66" s="386">
        <v>0</v>
      </c>
      <c r="AL66" s="387">
        <v>1800</v>
      </c>
      <c r="AM66" s="388">
        <v>0</v>
      </c>
      <c r="AN66" s="386">
        <v>0</v>
      </c>
      <c r="AO66" s="384" t="s">
        <v>112</v>
      </c>
      <c r="AP66" s="386">
        <v>0</v>
      </c>
      <c r="AQ66" s="387">
        <v>0</v>
      </c>
      <c r="AR66" s="383">
        <v>0</v>
      </c>
      <c r="AS66" s="152">
        <v>0</v>
      </c>
      <c r="AT66" s="152">
        <v>0</v>
      </c>
      <c r="AU66" s="389">
        <v>0</v>
      </c>
      <c r="AV66" s="389">
        <v>0</v>
      </c>
      <c r="AW66" s="389">
        <v>0</v>
      </c>
      <c r="AX66" s="384">
        <v>0</v>
      </c>
      <c r="AY66" s="384">
        <v>0</v>
      </c>
      <c r="AZ66" s="387">
        <v>1800</v>
      </c>
      <c r="BA66" s="383">
        <v>0</v>
      </c>
      <c r="BB66" s="152">
        <v>0</v>
      </c>
      <c r="BC66" s="152">
        <v>0</v>
      </c>
      <c r="BD66" s="386">
        <v>0</v>
      </c>
      <c r="BE66" s="386">
        <v>0</v>
      </c>
      <c r="BF66" s="380" t="s">
        <v>112</v>
      </c>
      <c r="BG66" s="386">
        <v>0</v>
      </c>
      <c r="BH66" s="387">
        <v>1800</v>
      </c>
      <c r="BI66" s="388">
        <v>0</v>
      </c>
      <c r="BJ66" s="386">
        <v>0</v>
      </c>
      <c r="BK66" s="384" t="s">
        <v>112</v>
      </c>
      <c r="BL66" s="386">
        <v>0</v>
      </c>
      <c r="BM66" s="387">
        <v>1800</v>
      </c>
      <c r="BN66" s="388">
        <v>0</v>
      </c>
      <c r="BO66" s="386">
        <v>0</v>
      </c>
      <c r="BP66" s="384" t="s">
        <v>112</v>
      </c>
      <c r="BQ66" s="386">
        <v>0</v>
      </c>
      <c r="BR66" s="387">
        <v>0</v>
      </c>
      <c r="BS66" s="390">
        <v>0</v>
      </c>
      <c r="BT66" s="387">
        <v>0</v>
      </c>
      <c r="BU66" s="383">
        <v>0</v>
      </c>
      <c r="BV66" s="391">
        <v>900</v>
      </c>
      <c r="BW66" s="383">
        <v>0</v>
      </c>
      <c r="BX66" s="391">
        <v>900</v>
      </c>
      <c r="BY66" s="383">
        <v>0</v>
      </c>
      <c r="BZ66" s="391">
        <v>900</v>
      </c>
      <c r="CA66" s="383">
        <v>0.60138887166976929</v>
      </c>
      <c r="CB66" s="152">
        <v>0</v>
      </c>
      <c r="CC66" s="152">
        <v>8.3333333333333332E-3</v>
      </c>
      <c r="CD66" s="384" t="s">
        <v>112</v>
      </c>
      <c r="CE66" s="152">
        <v>0</v>
      </c>
      <c r="CF66" s="391">
        <v>900</v>
      </c>
    </row>
    <row r="67" spans="1:84" s="367" customFormat="1" hidden="1" x14ac:dyDescent="0.25">
      <c r="A67" s="354" t="s">
        <v>112</v>
      </c>
      <c r="B67" s="355">
        <v>0</v>
      </c>
      <c r="C67" s="355">
        <v>0</v>
      </c>
      <c r="D67" s="355">
        <v>0</v>
      </c>
      <c r="E67" s="355">
        <v>0</v>
      </c>
      <c r="F67" s="355">
        <v>0</v>
      </c>
      <c r="G67" s="356" t="s">
        <v>112</v>
      </c>
      <c r="H67" s="356" t="s">
        <v>726</v>
      </c>
      <c r="I67" s="356">
        <v>7200</v>
      </c>
      <c r="J67" s="356">
        <v>0</v>
      </c>
      <c r="K67" s="357">
        <v>0.52013888888888882</v>
      </c>
      <c r="L67" s="358">
        <v>0</v>
      </c>
      <c r="M67" s="359" t="s">
        <v>112</v>
      </c>
      <c r="N67" s="358">
        <v>0</v>
      </c>
      <c r="O67" s="360" t="s">
        <v>726</v>
      </c>
      <c r="P67" s="358">
        <v>8.3333335816860199E-2</v>
      </c>
      <c r="Q67" s="358">
        <v>0</v>
      </c>
      <c r="R67" s="357">
        <v>0.60347222470574902</v>
      </c>
      <c r="S67" s="358">
        <v>0</v>
      </c>
      <c r="T67" s="359" t="s">
        <v>112</v>
      </c>
      <c r="U67" s="358">
        <v>0</v>
      </c>
      <c r="V67" s="360">
        <v>900</v>
      </c>
      <c r="W67" s="358">
        <v>8.3333335816860199E-2</v>
      </c>
      <c r="X67" s="358">
        <v>0</v>
      </c>
      <c r="Y67" s="358">
        <v>0</v>
      </c>
      <c r="Z67" s="357">
        <v>0.68680556052260922</v>
      </c>
      <c r="AA67" s="358">
        <v>0</v>
      </c>
      <c r="AB67" s="359" t="s">
        <v>112</v>
      </c>
      <c r="AC67" s="358">
        <v>0</v>
      </c>
      <c r="AD67" s="360" t="s">
        <v>723</v>
      </c>
      <c r="AE67" s="357">
        <v>0</v>
      </c>
      <c r="AF67" s="358">
        <v>0</v>
      </c>
      <c r="AG67" s="358">
        <v>0</v>
      </c>
      <c r="AH67" s="362">
        <v>0</v>
      </c>
      <c r="AI67" s="362">
        <v>0</v>
      </c>
      <c r="AJ67" s="354" t="s">
        <v>112</v>
      </c>
      <c r="AK67" s="362">
        <v>0</v>
      </c>
      <c r="AL67" s="363">
        <v>1800</v>
      </c>
      <c r="AM67" s="364">
        <v>0</v>
      </c>
      <c r="AN67" s="362">
        <v>0</v>
      </c>
      <c r="AO67" s="359" t="s">
        <v>112</v>
      </c>
      <c r="AP67" s="362">
        <v>0</v>
      </c>
      <c r="AQ67" s="363">
        <v>0</v>
      </c>
      <c r="AR67" s="357">
        <v>0</v>
      </c>
      <c r="AS67" s="358">
        <v>0</v>
      </c>
      <c r="AT67" s="358">
        <v>0</v>
      </c>
      <c r="AU67" s="365">
        <v>0</v>
      </c>
      <c r="AV67" s="365">
        <v>0</v>
      </c>
      <c r="AW67" s="365">
        <v>0</v>
      </c>
      <c r="AX67" s="359">
        <v>0</v>
      </c>
      <c r="AY67" s="359">
        <v>0</v>
      </c>
      <c r="AZ67" s="363">
        <v>1800</v>
      </c>
      <c r="BA67" s="357">
        <v>0</v>
      </c>
      <c r="BB67" s="358">
        <v>0</v>
      </c>
      <c r="BC67" s="358">
        <v>0</v>
      </c>
      <c r="BD67" s="362">
        <v>0</v>
      </c>
      <c r="BE67" s="362">
        <v>0</v>
      </c>
      <c r="BF67" s="354" t="s">
        <v>112</v>
      </c>
      <c r="BG67" s="362">
        <v>0</v>
      </c>
      <c r="BH67" s="363">
        <v>1800</v>
      </c>
      <c r="BI67" s="364">
        <v>0</v>
      </c>
      <c r="BJ67" s="362">
        <v>0</v>
      </c>
      <c r="BK67" s="359" t="s">
        <v>112</v>
      </c>
      <c r="BL67" s="362">
        <v>0</v>
      </c>
      <c r="BM67" s="363">
        <v>1800</v>
      </c>
      <c r="BN67" s="364">
        <v>0</v>
      </c>
      <c r="BO67" s="362">
        <v>0</v>
      </c>
      <c r="BP67" s="359" t="s">
        <v>112</v>
      </c>
      <c r="BQ67" s="362">
        <v>0</v>
      </c>
      <c r="BR67" s="363">
        <v>0</v>
      </c>
      <c r="BS67" s="366">
        <v>0</v>
      </c>
      <c r="BT67" s="363">
        <v>0</v>
      </c>
      <c r="BU67" s="357">
        <v>0</v>
      </c>
      <c r="BV67" s="361">
        <v>900</v>
      </c>
      <c r="BW67" s="357">
        <v>0</v>
      </c>
      <c r="BX67" s="361">
        <v>900</v>
      </c>
      <c r="BY67" s="357">
        <v>0</v>
      </c>
      <c r="BZ67" s="361">
        <v>900</v>
      </c>
      <c r="CA67" s="357">
        <v>0.60138887166976929</v>
      </c>
      <c r="CB67" s="358">
        <v>0</v>
      </c>
      <c r="CC67" s="358">
        <v>8.3333333333333332E-3</v>
      </c>
      <c r="CD67" s="359" t="s">
        <v>112</v>
      </c>
      <c r="CE67" s="358">
        <v>0</v>
      </c>
      <c r="CF67" s="361">
        <v>900</v>
      </c>
    </row>
    <row r="68" spans="1:84" s="22" customFormat="1" hidden="1" x14ac:dyDescent="0.25">
      <c r="A68" s="380" t="s">
        <v>112</v>
      </c>
      <c r="B68" s="381">
        <v>0</v>
      </c>
      <c r="C68" s="381">
        <v>0</v>
      </c>
      <c r="D68" s="381">
        <v>0</v>
      </c>
      <c r="E68" s="381">
        <v>0</v>
      </c>
      <c r="F68" s="381">
        <v>0</v>
      </c>
      <c r="G68" s="382" t="s">
        <v>112</v>
      </c>
      <c r="H68" s="382" t="s">
        <v>726</v>
      </c>
      <c r="I68" s="382">
        <v>7200</v>
      </c>
      <c r="J68" s="382">
        <v>0</v>
      </c>
      <c r="K68" s="383">
        <v>0.52013888888888882</v>
      </c>
      <c r="L68" s="152">
        <v>0</v>
      </c>
      <c r="M68" s="384" t="s">
        <v>112</v>
      </c>
      <c r="N68" s="152">
        <v>0</v>
      </c>
      <c r="O68" s="385" t="s">
        <v>726</v>
      </c>
      <c r="P68" s="152">
        <v>8.3333335816860199E-2</v>
      </c>
      <c r="Q68" s="152">
        <v>0</v>
      </c>
      <c r="R68" s="383">
        <v>0.60347222470574902</v>
      </c>
      <c r="S68" s="152">
        <v>0</v>
      </c>
      <c r="T68" s="384" t="s">
        <v>112</v>
      </c>
      <c r="U68" s="152">
        <v>0</v>
      </c>
      <c r="V68" s="385">
        <v>900</v>
      </c>
      <c r="W68" s="152">
        <v>8.3333335816860199E-2</v>
      </c>
      <c r="X68" s="152">
        <v>0</v>
      </c>
      <c r="Y68" s="152">
        <v>0</v>
      </c>
      <c r="Z68" s="383">
        <v>0.68680556052260922</v>
      </c>
      <c r="AA68" s="152">
        <v>0</v>
      </c>
      <c r="AB68" s="384" t="s">
        <v>112</v>
      </c>
      <c r="AC68" s="152">
        <v>0</v>
      </c>
      <c r="AD68" s="385" t="s">
        <v>723</v>
      </c>
      <c r="AE68" s="383">
        <v>0</v>
      </c>
      <c r="AF68" s="152">
        <v>0</v>
      </c>
      <c r="AG68" s="152">
        <v>0</v>
      </c>
      <c r="AH68" s="386">
        <v>0</v>
      </c>
      <c r="AI68" s="386">
        <v>0</v>
      </c>
      <c r="AJ68" s="380" t="s">
        <v>112</v>
      </c>
      <c r="AK68" s="386">
        <v>0</v>
      </c>
      <c r="AL68" s="387">
        <v>1800</v>
      </c>
      <c r="AM68" s="388">
        <v>0</v>
      </c>
      <c r="AN68" s="386">
        <v>0</v>
      </c>
      <c r="AO68" s="384" t="s">
        <v>112</v>
      </c>
      <c r="AP68" s="386">
        <v>0</v>
      </c>
      <c r="AQ68" s="387">
        <v>0</v>
      </c>
      <c r="AR68" s="383">
        <v>0</v>
      </c>
      <c r="AS68" s="152">
        <v>0</v>
      </c>
      <c r="AT68" s="152">
        <v>0</v>
      </c>
      <c r="AU68" s="389">
        <v>0</v>
      </c>
      <c r="AV68" s="389">
        <v>0</v>
      </c>
      <c r="AW68" s="389">
        <v>0</v>
      </c>
      <c r="AX68" s="384">
        <v>0</v>
      </c>
      <c r="AY68" s="384">
        <v>0</v>
      </c>
      <c r="AZ68" s="387">
        <v>1800</v>
      </c>
      <c r="BA68" s="383">
        <v>0</v>
      </c>
      <c r="BB68" s="152">
        <v>0</v>
      </c>
      <c r="BC68" s="152">
        <v>0</v>
      </c>
      <c r="BD68" s="386">
        <v>0</v>
      </c>
      <c r="BE68" s="386">
        <v>0</v>
      </c>
      <c r="BF68" s="380" t="s">
        <v>112</v>
      </c>
      <c r="BG68" s="386">
        <v>0</v>
      </c>
      <c r="BH68" s="387">
        <v>1800</v>
      </c>
      <c r="BI68" s="388">
        <v>0</v>
      </c>
      <c r="BJ68" s="386">
        <v>0</v>
      </c>
      <c r="BK68" s="384" t="s">
        <v>112</v>
      </c>
      <c r="BL68" s="386">
        <v>0</v>
      </c>
      <c r="BM68" s="387">
        <v>1800</v>
      </c>
      <c r="BN68" s="388">
        <v>0</v>
      </c>
      <c r="BO68" s="386">
        <v>0</v>
      </c>
      <c r="BP68" s="384" t="s">
        <v>112</v>
      </c>
      <c r="BQ68" s="386">
        <v>0</v>
      </c>
      <c r="BR68" s="387">
        <v>0</v>
      </c>
      <c r="BS68" s="390">
        <v>0</v>
      </c>
      <c r="BT68" s="387">
        <v>0</v>
      </c>
      <c r="BU68" s="383">
        <v>0</v>
      </c>
      <c r="BV68" s="391">
        <v>900</v>
      </c>
      <c r="BW68" s="383">
        <v>0</v>
      </c>
      <c r="BX68" s="391">
        <v>900</v>
      </c>
      <c r="BY68" s="383">
        <v>0</v>
      </c>
      <c r="BZ68" s="391">
        <v>900</v>
      </c>
      <c r="CA68" s="383">
        <v>0.60138887166976929</v>
      </c>
      <c r="CB68" s="152">
        <v>0</v>
      </c>
      <c r="CC68" s="152">
        <v>8.3333333333333332E-3</v>
      </c>
      <c r="CD68" s="384" t="s">
        <v>112</v>
      </c>
      <c r="CE68" s="152">
        <v>0</v>
      </c>
      <c r="CF68" s="391">
        <v>900</v>
      </c>
    </row>
    <row r="69" spans="1:84" x14ac:dyDescent="0.25">
      <c r="A69" s="145">
        <v>29</v>
      </c>
      <c r="B69" s="147" t="s">
        <v>343</v>
      </c>
      <c r="C69" s="147"/>
      <c r="D69" s="147"/>
      <c r="E69" s="147"/>
      <c r="F69" s="301" t="s">
        <v>344</v>
      </c>
      <c r="G69" s="274">
        <v>0</v>
      </c>
      <c r="H69" s="274">
        <v>0</v>
      </c>
      <c r="I69" s="274" t="s">
        <v>342</v>
      </c>
      <c r="J69" s="274"/>
      <c r="K69" s="1"/>
      <c r="L69" s="145"/>
      <c r="M69" s="145"/>
      <c r="N69" s="145"/>
      <c r="O69" s="274"/>
      <c r="P69" s="145"/>
      <c r="Q69" s="145"/>
      <c r="R69" s="145"/>
      <c r="S69" s="145"/>
      <c r="T69" s="145"/>
      <c r="U69" s="145"/>
      <c r="V69" s="274"/>
      <c r="W69" s="145"/>
      <c r="X69" s="145"/>
      <c r="Y69" s="145"/>
      <c r="Z69" s="145"/>
      <c r="AA69" s="145"/>
      <c r="AB69" s="145"/>
      <c r="AC69" s="145"/>
      <c r="AD69" s="275"/>
      <c r="AE69" s="145"/>
      <c r="AF69" s="145"/>
      <c r="AG69" s="145"/>
      <c r="AH69" s="145"/>
      <c r="AI69" s="145"/>
      <c r="AJ69" s="145"/>
      <c r="AK69" s="145"/>
      <c r="AL69" s="275"/>
      <c r="AM69" s="145"/>
      <c r="AN69" s="145"/>
      <c r="AO69" s="145"/>
      <c r="AP69" s="145"/>
      <c r="AQ69" s="275"/>
      <c r="AR69" s="145"/>
      <c r="AS69" s="145"/>
      <c r="AT69" s="145"/>
      <c r="AU69" s="145"/>
      <c r="AV69" s="145"/>
      <c r="AW69" s="145"/>
      <c r="AX69" s="145"/>
      <c r="AY69" s="145"/>
      <c r="AZ69" s="275"/>
      <c r="BA69" s="145"/>
      <c r="BB69" s="145"/>
      <c r="BC69" s="145"/>
      <c r="BD69" s="145"/>
      <c r="BE69" s="145"/>
      <c r="BF69" s="145"/>
      <c r="BG69" s="145"/>
      <c r="BH69" s="275"/>
      <c r="BI69" s="145"/>
      <c r="BJ69" s="145"/>
      <c r="BK69" s="145"/>
      <c r="BL69" s="145"/>
      <c r="BM69" s="275"/>
      <c r="BN69" s="145"/>
      <c r="BO69" s="145"/>
      <c r="BP69" s="145"/>
      <c r="BQ69" s="145"/>
      <c r="BR69" s="275"/>
      <c r="BS69" s="276"/>
      <c r="BT69" s="275"/>
      <c r="BU69" s="145"/>
      <c r="BV69" s="275"/>
      <c r="BW69" s="145"/>
      <c r="BX69" s="275"/>
      <c r="BY69" s="145"/>
      <c r="BZ69" s="275"/>
      <c r="CA69" s="275"/>
      <c r="CB69" s="145"/>
      <c r="CC69" s="145"/>
      <c r="CD69" s="145"/>
      <c r="CE69" s="145"/>
      <c r="CF69" s="275"/>
    </row>
  </sheetData>
  <sortState ref="A5:CF37">
    <sortCondition ref="F5:F37"/>
    <sortCondition ref="G5:G37"/>
  </sortState>
  <pageMargins left="0.39370078740157483" right="0.39370078740157483" top="0.39370078740157483" bottom="0.39370078740157483" header="0" footer="0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H116"/>
  <sheetViews>
    <sheetView view="pageBreakPreview" topLeftCell="A12" zoomScaleNormal="100" zoomScaleSheetLayoutView="100" workbookViewId="0">
      <selection activeCell="D4" sqref="D4"/>
    </sheetView>
  </sheetViews>
  <sheetFormatPr defaultRowHeight="15" x14ac:dyDescent="0.25"/>
  <cols>
    <col min="1" max="2" width="6.7109375" style="1" customWidth="1"/>
    <col min="3" max="5" width="22.7109375" style="1" customWidth="1"/>
    <col min="6" max="6" width="6.7109375" style="1" customWidth="1"/>
    <col min="7" max="164" width="9.140625" style="1"/>
    <col min="165" max="165" width="18.7109375" style="1" customWidth="1"/>
    <col min="166" max="166" width="18.140625" style="1" customWidth="1"/>
    <col min="167" max="167" width="8.7109375" style="1" customWidth="1"/>
    <col min="168" max="168" width="9.140625" style="1"/>
    <col min="169" max="169" width="9.140625" style="1" customWidth="1"/>
    <col min="170" max="170" width="27.28515625" style="1" customWidth="1"/>
    <col min="171" max="206" width="9.140625" style="1" customWidth="1"/>
    <col min="207" max="420" width="9.140625" style="1"/>
    <col min="421" max="421" width="18.7109375" style="1" customWidth="1"/>
    <col min="422" max="422" width="18.140625" style="1" customWidth="1"/>
    <col min="423" max="423" width="8.7109375" style="1" customWidth="1"/>
    <col min="424" max="424" width="9.140625" style="1"/>
    <col min="425" max="425" width="9.140625" style="1" customWidth="1"/>
    <col min="426" max="426" width="27.28515625" style="1" customWidth="1"/>
    <col min="427" max="462" width="9.140625" style="1" customWidth="1"/>
    <col min="463" max="676" width="9.140625" style="1"/>
    <col min="677" max="677" width="18.7109375" style="1" customWidth="1"/>
    <col min="678" max="678" width="18.140625" style="1" customWidth="1"/>
    <col min="679" max="679" width="8.7109375" style="1" customWidth="1"/>
    <col min="680" max="680" width="9.140625" style="1"/>
    <col min="681" max="681" width="9.140625" style="1" customWidth="1"/>
    <col min="682" max="682" width="27.28515625" style="1" customWidth="1"/>
    <col min="683" max="718" width="9.140625" style="1" customWidth="1"/>
    <col min="719" max="932" width="9.140625" style="1"/>
    <col min="933" max="933" width="18.7109375" style="1" customWidth="1"/>
    <col min="934" max="934" width="18.140625" style="1" customWidth="1"/>
    <col min="935" max="935" width="8.7109375" style="1" customWidth="1"/>
    <col min="936" max="936" width="9.140625" style="1"/>
    <col min="937" max="937" width="9.140625" style="1" customWidth="1"/>
    <col min="938" max="938" width="27.28515625" style="1" customWidth="1"/>
    <col min="939" max="974" width="9.140625" style="1" customWidth="1"/>
    <col min="975" max="1188" width="9.140625" style="1"/>
    <col min="1189" max="1189" width="18.7109375" style="1" customWidth="1"/>
    <col min="1190" max="1190" width="18.140625" style="1" customWidth="1"/>
    <col min="1191" max="1191" width="8.7109375" style="1" customWidth="1"/>
    <col min="1192" max="1192" width="9.140625" style="1"/>
    <col min="1193" max="1193" width="9.140625" style="1" customWidth="1"/>
    <col min="1194" max="1194" width="27.28515625" style="1" customWidth="1"/>
    <col min="1195" max="1230" width="9.140625" style="1" customWidth="1"/>
    <col min="1231" max="1444" width="9.140625" style="1"/>
    <col min="1445" max="1445" width="18.7109375" style="1" customWidth="1"/>
    <col min="1446" max="1446" width="18.140625" style="1" customWidth="1"/>
    <col min="1447" max="1447" width="8.7109375" style="1" customWidth="1"/>
    <col min="1448" max="1448" width="9.140625" style="1"/>
    <col min="1449" max="1449" width="9.140625" style="1" customWidth="1"/>
    <col min="1450" max="1450" width="27.28515625" style="1" customWidth="1"/>
    <col min="1451" max="1486" width="9.140625" style="1" customWidth="1"/>
    <col min="1487" max="1700" width="9.140625" style="1"/>
    <col min="1701" max="1701" width="18.7109375" style="1" customWidth="1"/>
    <col min="1702" max="1702" width="18.140625" style="1" customWidth="1"/>
    <col min="1703" max="1703" width="8.7109375" style="1" customWidth="1"/>
    <col min="1704" max="1704" width="9.140625" style="1"/>
    <col min="1705" max="1705" width="9.140625" style="1" customWidth="1"/>
    <col min="1706" max="1706" width="27.28515625" style="1" customWidth="1"/>
    <col min="1707" max="1742" width="9.140625" style="1" customWidth="1"/>
    <col min="1743" max="1956" width="9.140625" style="1"/>
    <col min="1957" max="1957" width="18.7109375" style="1" customWidth="1"/>
    <col min="1958" max="1958" width="18.140625" style="1" customWidth="1"/>
    <col min="1959" max="1959" width="8.7109375" style="1" customWidth="1"/>
    <col min="1960" max="1960" width="9.140625" style="1"/>
    <col min="1961" max="1961" width="9.140625" style="1" customWidth="1"/>
    <col min="1962" max="1962" width="27.28515625" style="1" customWidth="1"/>
    <col min="1963" max="1998" width="9.140625" style="1" customWidth="1"/>
    <col min="1999" max="2212" width="9.140625" style="1"/>
    <col min="2213" max="2213" width="18.7109375" style="1" customWidth="1"/>
    <col min="2214" max="2214" width="18.140625" style="1" customWidth="1"/>
    <col min="2215" max="2215" width="8.7109375" style="1" customWidth="1"/>
    <col min="2216" max="2216" width="9.140625" style="1"/>
    <col min="2217" max="2217" width="9.140625" style="1" customWidth="1"/>
    <col min="2218" max="2218" width="27.28515625" style="1" customWidth="1"/>
    <col min="2219" max="2254" width="9.140625" style="1" customWidth="1"/>
    <col min="2255" max="2468" width="9.140625" style="1"/>
    <col min="2469" max="2469" width="18.7109375" style="1" customWidth="1"/>
    <col min="2470" max="2470" width="18.140625" style="1" customWidth="1"/>
    <col min="2471" max="2471" width="8.7109375" style="1" customWidth="1"/>
    <col min="2472" max="2472" width="9.140625" style="1"/>
    <col min="2473" max="2473" width="9.140625" style="1" customWidth="1"/>
    <col min="2474" max="2474" width="27.28515625" style="1" customWidth="1"/>
    <col min="2475" max="2510" width="9.140625" style="1" customWidth="1"/>
    <col min="2511" max="2724" width="9.140625" style="1"/>
    <col min="2725" max="2725" width="18.7109375" style="1" customWidth="1"/>
    <col min="2726" max="2726" width="18.140625" style="1" customWidth="1"/>
    <col min="2727" max="2727" width="8.7109375" style="1" customWidth="1"/>
    <col min="2728" max="2728" width="9.140625" style="1"/>
    <col min="2729" max="2729" width="9.140625" style="1" customWidth="1"/>
    <col min="2730" max="2730" width="27.28515625" style="1" customWidth="1"/>
    <col min="2731" max="2766" width="9.140625" style="1" customWidth="1"/>
    <col min="2767" max="2980" width="9.140625" style="1"/>
    <col min="2981" max="2981" width="18.7109375" style="1" customWidth="1"/>
    <col min="2982" max="2982" width="18.140625" style="1" customWidth="1"/>
    <col min="2983" max="2983" width="8.7109375" style="1" customWidth="1"/>
    <col min="2984" max="2984" width="9.140625" style="1"/>
    <col min="2985" max="2985" width="9.140625" style="1" customWidth="1"/>
    <col min="2986" max="2986" width="27.28515625" style="1" customWidth="1"/>
    <col min="2987" max="3022" width="9.140625" style="1" customWidth="1"/>
    <col min="3023" max="3236" width="9.140625" style="1"/>
    <col min="3237" max="3237" width="18.7109375" style="1" customWidth="1"/>
    <col min="3238" max="3238" width="18.140625" style="1" customWidth="1"/>
    <col min="3239" max="3239" width="8.7109375" style="1" customWidth="1"/>
    <col min="3240" max="3240" width="9.140625" style="1"/>
    <col min="3241" max="3241" width="9.140625" style="1" customWidth="1"/>
    <col min="3242" max="3242" width="27.28515625" style="1" customWidth="1"/>
    <col min="3243" max="3278" width="9.140625" style="1" customWidth="1"/>
    <col min="3279" max="3492" width="9.140625" style="1"/>
    <col min="3493" max="3493" width="18.7109375" style="1" customWidth="1"/>
    <col min="3494" max="3494" width="18.140625" style="1" customWidth="1"/>
    <col min="3495" max="3495" width="8.7109375" style="1" customWidth="1"/>
    <col min="3496" max="3496" width="9.140625" style="1"/>
    <col min="3497" max="3497" width="9.140625" style="1" customWidth="1"/>
    <col min="3498" max="3498" width="27.28515625" style="1" customWidth="1"/>
    <col min="3499" max="3534" width="9.140625" style="1" customWidth="1"/>
    <col min="3535" max="3748" width="9.140625" style="1"/>
    <col min="3749" max="3749" width="18.7109375" style="1" customWidth="1"/>
    <col min="3750" max="3750" width="18.140625" style="1" customWidth="1"/>
    <col min="3751" max="3751" width="8.7109375" style="1" customWidth="1"/>
    <col min="3752" max="3752" width="9.140625" style="1"/>
    <col min="3753" max="3753" width="9.140625" style="1" customWidth="1"/>
    <col min="3754" max="3754" width="27.28515625" style="1" customWidth="1"/>
    <col min="3755" max="3790" width="9.140625" style="1" customWidth="1"/>
    <col min="3791" max="4004" width="9.140625" style="1"/>
    <col min="4005" max="4005" width="18.7109375" style="1" customWidth="1"/>
    <col min="4006" max="4006" width="18.140625" style="1" customWidth="1"/>
    <col min="4007" max="4007" width="8.7109375" style="1" customWidth="1"/>
    <col min="4008" max="4008" width="9.140625" style="1"/>
    <col min="4009" max="4009" width="9.140625" style="1" customWidth="1"/>
    <col min="4010" max="4010" width="27.28515625" style="1" customWidth="1"/>
    <col min="4011" max="4046" width="9.140625" style="1" customWidth="1"/>
    <col min="4047" max="4260" width="9.140625" style="1"/>
    <col min="4261" max="4261" width="18.7109375" style="1" customWidth="1"/>
    <col min="4262" max="4262" width="18.140625" style="1" customWidth="1"/>
    <col min="4263" max="4263" width="8.7109375" style="1" customWidth="1"/>
    <col min="4264" max="4264" width="9.140625" style="1"/>
    <col min="4265" max="4265" width="9.140625" style="1" customWidth="1"/>
    <col min="4266" max="4266" width="27.28515625" style="1" customWidth="1"/>
    <col min="4267" max="4302" width="9.140625" style="1" customWidth="1"/>
    <col min="4303" max="4516" width="9.140625" style="1"/>
    <col min="4517" max="4517" width="18.7109375" style="1" customWidth="1"/>
    <col min="4518" max="4518" width="18.140625" style="1" customWidth="1"/>
    <col min="4519" max="4519" width="8.7109375" style="1" customWidth="1"/>
    <col min="4520" max="4520" width="9.140625" style="1"/>
    <col min="4521" max="4521" width="9.140625" style="1" customWidth="1"/>
    <col min="4522" max="4522" width="27.28515625" style="1" customWidth="1"/>
    <col min="4523" max="4558" width="9.140625" style="1" customWidth="1"/>
    <col min="4559" max="4772" width="9.140625" style="1"/>
    <col min="4773" max="4773" width="18.7109375" style="1" customWidth="1"/>
    <col min="4774" max="4774" width="18.140625" style="1" customWidth="1"/>
    <col min="4775" max="4775" width="8.7109375" style="1" customWidth="1"/>
    <col min="4776" max="4776" width="9.140625" style="1"/>
    <col min="4777" max="4777" width="9.140625" style="1" customWidth="1"/>
    <col min="4778" max="4778" width="27.28515625" style="1" customWidth="1"/>
    <col min="4779" max="4814" width="9.140625" style="1" customWidth="1"/>
    <col min="4815" max="5028" width="9.140625" style="1"/>
    <col min="5029" max="5029" width="18.7109375" style="1" customWidth="1"/>
    <col min="5030" max="5030" width="18.140625" style="1" customWidth="1"/>
    <col min="5031" max="5031" width="8.7109375" style="1" customWidth="1"/>
    <col min="5032" max="5032" width="9.140625" style="1"/>
    <col min="5033" max="5033" width="9.140625" style="1" customWidth="1"/>
    <col min="5034" max="5034" width="27.28515625" style="1" customWidth="1"/>
    <col min="5035" max="5070" width="9.140625" style="1" customWidth="1"/>
    <col min="5071" max="5284" width="9.140625" style="1"/>
    <col min="5285" max="5285" width="18.7109375" style="1" customWidth="1"/>
    <col min="5286" max="5286" width="18.140625" style="1" customWidth="1"/>
    <col min="5287" max="5287" width="8.7109375" style="1" customWidth="1"/>
    <col min="5288" max="5288" width="9.140625" style="1"/>
    <col min="5289" max="5289" width="9.140625" style="1" customWidth="1"/>
    <col min="5290" max="5290" width="27.28515625" style="1" customWidth="1"/>
    <col min="5291" max="5326" width="9.140625" style="1" customWidth="1"/>
    <col min="5327" max="5540" width="9.140625" style="1"/>
    <col min="5541" max="5541" width="18.7109375" style="1" customWidth="1"/>
    <col min="5542" max="5542" width="18.140625" style="1" customWidth="1"/>
    <col min="5543" max="5543" width="8.7109375" style="1" customWidth="1"/>
    <col min="5544" max="5544" width="9.140625" style="1"/>
    <col min="5545" max="5545" width="9.140625" style="1" customWidth="1"/>
    <col min="5546" max="5546" width="27.28515625" style="1" customWidth="1"/>
    <col min="5547" max="5582" width="9.140625" style="1" customWidth="1"/>
    <col min="5583" max="5796" width="9.140625" style="1"/>
    <col min="5797" max="5797" width="18.7109375" style="1" customWidth="1"/>
    <col min="5798" max="5798" width="18.140625" style="1" customWidth="1"/>
    <col min="5799" max="5799" width="8.7109375" style="1" customWidth="1"/>
    <col min="5800" max="5800" width="9.140625" style="1"/>
    <col min="5801" max="5801" width="9.140625" style="1" customWidth="1"/>
    <col min="5802" max="5802" width="27.28515625" style="1" customWidth="1"/>
    <col min="5803" max="5838" width="9.140625" style="1" customWidth="1"/>
    <col min="5839" max="6052" width="9.140625" style="1"/>
    <col min="6053" max="6053" width="18.7109375" style="1" customWidth="1"/>
    <col min="6054" max="6054" width="18.140625" style="1" customWidth="1"/>
    <col min="6055" max="6055" width="8.7109375" style="1" customWidth="1"/>
    <col min="6056" max="6056" width="9.140625" style="1"/>
    <col min="6057" max="6057" width="9.140625" style="1" customWidth="1"/>
    <col min="6058" max="6058" width="27.28515625" style="1" customWidth="1"/>
    <col min="6059" max="6094" width="9.140625" style="1" customWidth="1"/>
    <col min="6095" max="6308" width="9.140625" style="1"/>
    <col min="6309" max="6309" width="18.7109375" style="1" customWidth="1"/>
    <col min="6310" max="6310" width="18.140625" style="1" customWidth="1"/>
    <col min="6311" max="6311" width="8.7109375" style="1" customWidth="1"/>
    <col min="6312" max="6312" width="9.140625" style="1"/>
    <col min="6313" max="6313" width="9.140625" style="1" customWidth="1"/>
    <col min="6314" max="6314" width="27.28515625" style="1" customWidth="1"/>
    <col min="6315" max="6350" width="9.140625" style="1" customWidth="1"/>
    <col min="6351" max="6564" width="9.140625" style="1"/>
    <col min="6565" max="6565" width="18.7109375" style="1" customWidth="1"/>
    <col min="6566" max="6566" width="18.140625" style="1" customWidth="1"/>
    <col min="6567" max="6567" width="8.7109375" style="1" customWidth="1"/>
    <col min="6568" max="6568" width="9.140625" style="1"/>
    <col min="6569" max="6569" width="9.140625" style="1" customWidth="1"/>
    <col min="6570" max="6570" width="27.28515625" style="1" customWidth="1"/>
    <col min="6571" max="6606" width="9.140625" style="1" customWidth="1"/>
    <col min="6607" max="6820" width="9.140625" style="1"/>
    <col min="6821" max="6821" width="18.7109375" style="1" customWidth="1"/>
    <col min="6822" max="6822" width="18.140625" style="1" customWidth="1"/>
    <col min="6823" max="6823" width="8.7109375" style="1" customWidth="1"/>
    <col min="6824" max="6824" width="9.140625" style="1"/>
    <col min="6825" max="6825" width="9.140625" style="1" customWidth="1"/>
    <col min="6826" max="6826" width="27.28515625" style="1" customWidth="1"/>
    <col min="6827" max="6862" width="9.140625" style="1" customWidth="1"/>
    <col min="6863" max="7076" width="9.140625" style="1"/>
    <col min="7077" max="7077" width="18.7109375" style="1" customWidth="1"/>
    <col min="7078" max="7078" width="18.140625" style="1" customWidth="1"/>
    <col min="7079" max="7079" width="8.7109375" style="1" customWidth="1"/>
    <col min="7080" max="7080" width="9.140625" style="1"/>
    <col min="7081" max="7081" width="9.140625" style="1" customWidth="1"/>
    <col min="7082" max="7082" width="27.28515625" style="1" customWidth="1"/>
    <col min="7083" max="7118" width="9.140625" style="1" customWidth="1"/>
    <col min="7119" max="7332" width="9.140625" style="1"/>
    <col min="7333" max="7333" width="18.7109375" style="1" customWidth="1"/>
    <col min="7334" max="7334" width="18.140625" style="1" customWidth="1"/>
    <col min="7335" max="7335" width="8.7109375" style="1" customWidth="1"/>
    <col min="7336" max="7336" width="9.140625" style="1"/>
    <col min="7337" max="7337" width="9.140625" style="1" customWidth="1"/>
    <col min="7338" max="7338" width="27.28515625" style="1" customWidth="1"/>
    <col min="7339" max="7374" width="9.140625" style="1" customWidth="1"/>
    <col min="7375" max="7588" width="9.140625" style="1"/>
    <col min="7589" max="7589" width="18.7109375" style="1" customWidth="1"/>
    <col min="7590" max="7590" width="18.140625" style="1" customWidth="1"/>
    <col min="7591" max="7591" width="8.7109375" style="1" customWidth="1"/>
    <col min="7592" max="7592" width="9.140625" style="1"/>
    <col min="7593" max="7593" width="9.140625" style="1" customWidth="1"/>
    <col min="7594" max="7594" width="27.28515625" style="1" customWidth="1"/>
    <col min="7595" max="7630" width="9.140625" style="1" customWidth="1"/>
    <col min="7631" max="7844" width="9.140625" style="1"/>
    <col min="7845" max="7845" width="18.7109375" style="1" customWidth="1"/>
    <col min="7846" max="7846" width="18.140625" style="1" customWidth="1"/>
    <col min="7847" max="7847" width="8.7109375" style="1" customWidth="1"/>
    <col min="7848" max="7848" width="9.140625" style="1"/>
    <col min="7849" max="7849" width="9.140625" style="1" customWidth="1"/>
    <col min="7850" max="7850" width="27.28515625" style="1" customWidth="1"/>
    <col min="7851" max="7886" width="9.140625" style="1" customWidth="1"/>
    <col min="7887" max="8100" width="9.140625" style="1"/>
    <col min="8101" max="8101" width="18.7109375" style="1" customWidth="1"/>
    <col min="8102" max="8102" width="18.140625" style="1" customWidth="1"/>
    <col min="8103" max="8103" width="8.7109375" style="1" customWidth="1"/>
    <col min="8104" max="8104" width="9.140625" style="1"/>
    <col min="8105" max="8105" width="9.140625" style="1" customWidth="1"/>
    <col min="8106" max="8106" width="27.28515625" style="1" customWidth="1"/>
    <col min="8107" max="8142" width="9.140625" style="1" customWidth="1"/>
    <col min="8143" max="8356" width="9.140625" style="1"/>
    <col min="8357" max="8357" width="18.7109375" style="1" customWidth="1"/>
    <col min="8358" max="8358" width="18.140625" style="1" customWidth="1"/>
    <col min="8359" max="8359" width="8.7109375" style="1" customWidth="1"/>
    <col min="8360" max="8360" width="9.140625" style="1"/>
    <col min="8361" max="8361" width="9.140625" style="1" customWidth="1"/>
    <col min="8362" max="8362" width="27.28515625" style="1" customWidth="1"/>
    <col min="8363" max="8398" width="9.140625" style="1" customWidth="1"/>
    <col min="8399" max="8612" width="9.140625" style="1"/>
    <col min="8613" max="8613" width="18.7109375" style="1" customWidth="1"/>
    <col min="8614" max="8614" width="18.140625" style="1" customWidth="1"/>
    <col min="8615" max="8615" width="8.7109375" style="1" customWidth="1"/>
    <col min="8616" max="8616" width="9.140625" style="1"/>
    <col min="8617" max="8617" width="9.140625" style="1" customWidth="1"/>
    <col min="8618" max="8618" width="27.28515625" style="1" customWidth="1"/>
    <col min="8619" max="8654" width="9.140625" style="1" customWidth="1"/>
    <col min="8655" max="8868" width="9.140625" style="1"/>
    <col min="8869" max="8869" width="18.7109375" style="1" customWidth="1"/>
    <col min="8870" max="8870" width="18.140625" style="1" customWidth="1"/>
    <col min="8871" max="8871" width="8.7109375" style="1" customWidth="1"/>
    <col min="8872" max="8872" width="9.140625" style="1"/>
    <col min="8873" max="8873" width="9.140625" style="1" customWidth="1"/>
    <col min="8874" max="8874" width="27.28515625" style="1" customWidth="1"/>
    <col min="8875" max="8910" width="9.140625" style="1" customWidth="1"/>
    <col min="8911" max="9124" width="9.140625" style="1"/>
    <col min="9125" max="9125" width="18.7109375" style="1" customWidth="1"/>
    <col min="9126" max="9126" width="18.140625" style="1" customWidth="1"/>
    <col min="9127" max="9127" width="8.7109375" style="1" customWidth="1"/>
    <col min="9128" max="9128" width="9.140625" style="1"/>
    <col min="9129" max="9129" width="9.140625" style="1" customWidth="1"/>
    <col min="9130" max="9130" width="27.28515625" style="1" customWidth="1"/>
    <col min="9131" max="9166" width="9.140625" style="1" customWidth="1"/>
    <col min="9167" max="9380" width="9.140625" style="1"/>
    <col min="9381" max="9381" width="18.7109375" style="1" customWidth="1"/>
    <col min="9382" max="9382" width="18.140625" style="1" customWidth="1"/>
    <col min="9383" max="9383" width="8.7109375" style="1" customWidth="1"/>
    <col min="9384" max="9384" width="9.140625" style="1"/>
    <col min="9385" max="9385" width="9.140625" style="1" customWidth="1"/>
    <col min="9386" max="9386" width="27.28515625" style="1" customWidth="1"/>
    <col min="9387" max="9422" width="9.140625" style="1" customWidth="1"/>
    <col min="9423" max="9636" width="9.140625" style="1"/>
    <col min="9637" max="9637" width="18.7109375" style="1" customWidth="1"/>
    <col min="9638" max="9638" width="18.140625" style="1" customWidth="1"/>
    <col min="9639" max="9639" width="8.7109375" style="1" customWidth="1"/>
    <col min="9640" max="9640" width="9.140625" style="1"/>
    <col min="9641" max="9641" width="9.140625" style="1" customWidth="1"/>
    <col min="9642" max="9642" width="27.28515625" style="1" customWidth="1"/>
    <col min="9643" max="9678" width="9.140625" style="1" customWidth="1"/>
    <col min="9679" max="9892" width="9.140625" style="1"/>
    <col min="9893" max="9893" width="18.7109375" style="1" customWidth="1"/>
    <col min="9894" max="9894" width="18.140625" style="1" customWidth="1"/>
    <col min="9895" max="9895" width="8.7109375" style="1" customWidth="1"/>
    <col min="9896" max="9896" width="9.140625" style="1"/>
    <col min="9897" max="9897" width="9.140625" style="1" customWidth="1"/>
    <col min="9898" max="9898" width="27.28515625" style="1" customWidth="1"/>
    <col min="9899" max="9934" width="9.140625" style="1" customWidth="1"/>
    <col min="9935" max="10148" width="9.140625" style="1"/>
    <col min="10149" max="10149" width="18.7109375" style="1" customWidth="1"/>
    <col min="10150" max="10150" width="18.140625" style="1" customWidth="1"/>
    <col min="10151" max="10151" width="8.7109375" style="1" customWidth="1"/>
    <col min="10152" max="10152" width="9.140625" style="1"/>
    <col min="10153" max="10153" width="9.140625" style="1" customWidth="1"/>
    <col min="10154" max="10154" width="27.28515625" style="1" customWidth="1"/>
    <col min="10155" max="10190" width="9.140625" style="1" customWidth="1"/>
    <col min="10191" max="10404" width="9.140625" style="1"/>
    <col min="10405" max="10405" width="18.7109375" style="1" customWidth="1"/>
    <col min="10406" max="10406" width="18.140625" style="1" customWidth="1"/>
    <col min="10407" max="10407" width="8.7109375" style="1" customWidth="1"/>
    <col min="10408" max="10408" width="9.140625" style="1"/>
    <col min="10409" max="10409" width="9.140625" style="1" customWidth="1"/>
    <col min="10410" max="10410" width="27.28515625" style="1" customWidth="1"/>
    <col min="10411" max="10446" width="9.140625" style="1" customWidth="1"/>
    <col min="10447" max="10660" width="9.140625" style="1"/>
    <col min="10661" max="10661" width="18.7109375" style="1" customWidth="1"/>
    <col min="10662" max="10662" width="18.140625" style="1" customWidth="1"/>
    <col min="10663" max="10663" width="8.7109375" style="1" customWidth="1"/>
    <col min="10664" max="10664" width="9.140625" style="1"/>
    <col min="10665" max="10665" width="9.140625" style="1" customWidth="1"/>
    <col min="10666" max="10666" width="27.28515625" style="1" customWidth="1"/>
    <col min="10667" max="10702" width="9.140625" style="1" customWidth="1"/>
    <col min="10703" max="10916" width="9.140625" style="1"/>
    <col min="10917" max="10917" width="18.7109375" style="1" customWidth="1"/>
    <col min="10918" max="10918" width="18.140625" style="1" customWidth="1"/>
    <col min="10919" max="10919" width="8.7109375" style="1" customWidth="1"/>
    <col min="10920" max="10920" width="9.140625" style="1"/>
    <col min="10921" max="10921" width="9.140625" style="1" customWidth="1"/>
    <col min="10922" max="10922" width="27.28515625" style="1" customWidth="1"/>
    <col min="10923" max="10958" width="9.140625" style="1" customWidth="1"/>
    <col min="10959" max="11172" width="9.140625" style="1"/>
    <col min="11173" max="11173" width="18.7109375" style="1" customWidth="1"/>
    <col min="11174" max="11174" width="18.140625" style="1" customWidth="1"/>
    <col min="11175" max="11175" width="8.7109375" style="1" customWidth="1"/>
    <col min="11176" max="11176" width="9.140625" style="1"/>
    <col min="11177" max="11177" width="9.140625" style="1" customWidth="1"/>
    <col min="11178" max="11178" width="27.28515625" style="1" customWidth="1"/>
    <col min="11179" max="11214" width="9.140625" style="1" customWidth="1"/>
    <col min="11215" max="11428" width="9.140625" style="1"/>
    <col min="11429" max="11429" width="18.7109375" style="1" customWidth="1"/>
    <col min="11430" max="11430" width="18.140625" style="1" customWidth="1"/>
    <col min="11431" max="11431" width="8.7109375" style="1" customWidth="1"/>
    <col min="11432" max="11432" width="9.140625" style="1"/>
    <col min="11433" max="11433" width="9.140625" style="1" customWidth="1"/>
    <col min="11434" max="11434" width="27.28515625" style="1" customWidth="1"/>
    <col min="11435" max="11470" width="9.140625" style="1" customWidth="1"/>
    <col min="11471" max="11684" width="9.140625" style="1"/>
    <col min="11685" max="11685" width="18.7109375" style="1" customWidth="1"/>
    <col min="11686" max="11686" width="18.140625" style="1" customWidth="1"/>
    <col min="11687" max="11687" width="8.7109375" style="1" customWidth="1"/>
    <col min="11688" max="11688" width="9.140625" style="1"/>
    <col min="11689" max="11689" width="9.140625" style="1" customWidth="1"/>
    <col min="11690" max="11690" width="27.28515625" style="1" customWidth="1"/>
    <col min="11691" max="11726" width="9.140625" style="1" customWidth="1"/>
    <col min="11727" max="11940" width="9.140625" style="1"/>
    <col min="11941" max="11941" width="18.7109375" style="1" customWidth="1"/>
    <col min="11942" max="11942" width="18.140625" style="1" customWidth="1"/>
    <col min="11943" max="11943" width="8.7109375" style="1" customWidth="1"/>
    <col min="11944" max="11944" width="9.140625" style="1"/>
    <col min="11945" max="11945" width="9.140625" style="1" customWidth="1"/>
    <col min="11946" max="11946" width="27.28515625" style="1" customWidth="1"/>
    <col min="11947" max="11982" width="9.140625" style="1" customWidth="1"/>
    <col min="11983" max="12196" width="9.140625" style="1"/>
    <col min="12197" max="12197" width="18.7109375" style="1" customWidth="1"/>
    <col min="12198" max="12198" width="18.140625" style="1" customWidth="1"/>
    <col min="12199" max="12199" width="8.7109375" style="1" customWidth="1"/>
    <col min="12200" max="12200" width="9.140625" style="1"/>
    <col min="12201" max="12201" width="9.140625" style="1" customWidth="1"/>
    <col min="12202" max="12202" width="27.28515625" style="1" customWidth="1"/>
    <col min="12203" max="12238" width="9.140625" style="1" customWidth="1"/>
    <col min="12239" max="12452" width="9.140625" style="1"/>
    <col min="12453" max="12453" width="18.7109375" style="1" customWidth="1"/>
    <col min="12454" max="12454" width="18.140625" style="1" customWidth="1"/>
    <col min="12455" max="12455" width="8.7109375" style="1" customWidth="1"/>
    <col min="12456" max="12456" width="9.140625" style="1"/>
    <col min="12457" max="12457" width="9.140625" style="1" customWidth="1"/>
    <col min="12458" max="12458" width="27.28515625" style="1" customWidth="1"/>
    <col min="12459" max="12494" width="9.140625" style="1" customWidth="1"/>
    <col min="12495" max="12708" width="9.140625" style="1"/>
    <col min="12709" max="12709" width="18.7109375" style="1" customWidth="1"/>
    <col min="12710" max="12710" width="18.140625" style="1" customWidth="1"/>
    <col min="12711" max="12711" width="8.7109375" style="1" customWidth="1"/>
    <col min="12712" max="12712" width="9.140625" style="1"/>
    <col min="12713" max="12713" width="9.140625" style="1" customWidth="1"/>
    <col min="12714" max="12714" width="27.28515625" style="1" customWidth="1"/>
    <col min="12715" max="12750" width="9.140625" style="1" customWidth="1"/>
    <col min="12751" max="12964" width="9.140625" style="1"/>
    <col min="12965" max="12965" width="18.7109375" style="1" customWidth="1"/>
    <col min="12966" max="12966" width="18.140625" style="1" customWidth="1"/>
    <col min="12967" max="12967" width="8.7109375" style="1" customWidth="1"/>
    <col min="12968" max="12968" width="9.140625" style="1"/>
    <col min="12969" max="12969" width="9.140625" style="1" customWidth="1"/>
    <col min="12970" max="12970" width="27.28515625" style="1" customWidth="1"/>
    <col min="12971" max="13006" width="9.140625" style="1" customWidth="1"/>
    <col min="13007" max="13220" width="9.140625" style="1"/>
    <col min="13221" max="13221" width="18.7109375" style="1" customWidth="1"/>
    <col min="13222" max="13222" width="18.140625" style="1" customWidth="1"/>
    <col min="13223" max="13223" width="8.7109375" style="1" customWidth="1"/>
    <col min="13224" max="13224" width="9.140625" style="1"/>
    <col min="13225" max="13225" width="9.140625" style="1" customWidth="1"/>
    <col min="13226" max="13226" width="27.28515625" style="1" customWidth="1"/>
    <col min="13227" max="13262" width="9.140625" style="1" customWidth="1"/>
    <col min="13263" max="13476" width="9.140625" style="1"/>
    <col min="13477" max="13477" width="18.7109375" style="1" customWidth="1"/>
    <col min="13478" max="13478" width="18.140625" style="1" customWidth="1"/>
    <col min="13479" max="13479" width="8.7109375" style="1" customWidth="1"/>
    <col min="13480" max="13480" width="9.140625" style="1"/>
    <col min="13481" max="13481" width="9.140625" style="1" customWidth="1"/>
    <col min="13482" max="13482" width="27.28515625" style="1" customWidth="1"/>
    <col min="13483" max="13518" width="9.140625" style="1" customWidth="1"/>
    <col min="13519" max="13732" width="9.140625" style="1"/>
    <col min="13733" max="13733" width="18.7109375" style="1" customWidth="1"/>
    <col min="13734" max="13734" width="18.140625" style="1" customWidth="1"/>
    <col min="13735" max="13735" width="8.7109375" style="1" customWidth="1"/>
    <col min="13736" max="13736" width="9.140625" style="1"/>
    <col min="13737" max="13737" width="9.140625" style="1" customWidth="1"/>
    <col min="13738" max="13738" width="27.28515625" style="1" customWidth="1"/>
    <col min="13739" max="13774" width="9.140625" style="1" customWidth="1"/>
    <col min="13775" max="13988" width="9.140625" style="1"/>
    <col min="13989" max="13989" width="18.7109375" style="1" customWidth="1"/>
    <col min="13990" max="13990" width="18.140625" style="1" customWidth="1"/>
    <col min="13991" max="13991" width="8.7109375" style="1" customWidth="1"/>
    <col min="13992" max="13992" width="9.140625" style="1"/>
    <col min="13993" max="13993" width="9.140625" style="1" customWidth="1"/>
    <col min="13994" max="13994" width="27.28515625" style="1" customWidth="1"/>
    <col min="13995" max="14030" width="9.140625" style="1" customWidth="1"/>
    <col min="14031" max="14244" width="9.140625" style="1"/>
    <col min="14245" max="14245" width="18.7109375" style="1" customWidth="1"/>
    <col min="14246" max="14246" width="18.140625" style="1" customWidth="1"/>
    <col min="14247" max="14247" width="8.7109375" style="1" customWidth="1"/>
    <col min="14248" max="14248" width="9.140625" style="1"/>
    <col min="14249" max="14249" width="9.140625" style="1" customWidth="1"/>
    <col min="14250" max="14250" width="27.28515625" style="1" customWidth="1"/>
    <col min="14251" max="14286" width="9.140625" style="1" customWidth="1"/>
    <col min="14287" max="14500" width="9.140625" style="1"/>
    <col min="14501" max="14501" width="18.7109375" style="1" customWidth="1"/>
    <col min="14502" max="14502" width="18.140625" style="1" customWidth="1"/>
    <col min="14503" max="14503" width="8.7109375" style="1" customWidth="1"/>
    <col min="14504" max="14504" width="9.140625" style="1"/>
    <col min="14505" max="14505" width="9.140625" style="1" customWidth="1"/>
    <col min="14506" max="14506" width="27.28515625" style="1" customWidth="1"/>
    <col min="14507" max="14542" width="9.140625" style="1" customWidth="1"/>
    <col min="14543" max="14756" width="9.140625" style="1"/>
    <col min="14757" max="14757" width="18.7109375" style="1" customWidth="1"/>
    <col min="14758" max="14758" width="18.140625" style="1" customWidth="1"/>
    <col min="14759" max="14759" width="8.7109375" style="1" customWidth="1"/>
    <col min="14760" max="14760" width="9.140625" style="1"/>
    <col min="14761" max="14761" width="9.140625" style="1" customWidth="1"/>
    <col min="14762" max="14762" width="27.28515625" style="1" customWidth="1"/>
    <col min="14763" max="14798" width="9.140625" style="1" customWidth="1"/>
    <col min="14799" max="15012" width="9.140625" style="1"/>
    <col min="15013" max="15013" width="18.7109375" style="1" customWidth="1"/>
    <col min="15014" max="15014" width="18.140625" style="1" customWidth="1"/>
    <col min="15015" max="15015" width="8.7109375" style="1" customWidth="1"/>
    <col min="15016" max="15016" width="9.140625" style="1"/>
    <col min="15017" max="15017" width="9.140625" style="1" customWidth="1"/>
    <col min="15018" max="15018" width="27.28515625" style="1" customWidth="1"/>
    <col min="15019" max="15054" width="9.140625" style="1" customWidth="1"/>
    <col min="15055" max="15268" width="9.140625" style="1"/>
    <col min="15269" max="15269" width="18.7109375" style="1" customWidth="1"/>
    <col min="15270" max="15270" width="18.140625" style="1" customWidth="1"/>
    <col min="15271" max="15271" width="8.7109375" style="1" customWidth="1"/>
    <col min="15272" max="15272" width="9.140625" style="1"/>
    <col min="15273" max="15273" width="9.140625" style="1" customWidth="1"/>
    <col min="15274" max="15274" width="27.28515625" style="1" customWidth="1"/>
    <col min="15275" max="15310" width="9.140625" style="1" customWidth="1"/>
    <col min="15311" max="15524" width="9.140625" style="1"/>
    <col min="15525" max="15525" width="18.7109375" style="1" customWidth="1"/>
    <col min="15526" max="15526" width="18.140625" style="1" customWidth="1"/>
    <col min="15527" max="15527" width="8.7109375" style="1" customWidth="1"/>
    <col min="15528" max="15528" width="9.140625" style="1"/>
    <col min="15529" max="15529" width="9.140625" style="1" customWidth="1"/>
    <col min="15530" max="15530" width="27.28515625" style="1" customWidth="1"/>
    <col min="15531" max="15566" width="9.140625" style="1" customWidth="1"/>
    <col min="15567" max="15780" width="9.140625" style="1"/>
    <col min="15781" max="15781" width="18.7109375" style="1" customWidth="1"/>
    <col min="15782" max="15782" width="18.140625" style="1" customWidth="1"/>
    <col min="15783" max="15783" width="8.7109375" style="1" customWidth="1"/>
    <col min="15784" max="15784" width="9.140625" style="1"/>
    <col min="15785" max="15785" width="9.140625" style="1" customWidth="1"/>
    <col min="15786" max="15786" width="27.28515625" style="1" customWidth="1"/>
    <col min="15787" max="15822" width="9.140625" style="1" customWidth="1"/>
    <col min="15823" max="16036" width="9.140625" style="1"/>
    <col min="16037" max="16037" width="18.7109375" style="1" customWidth="1"/>
    <col min="16038" max="16038" width="18.140625" style="1" customWidth="1"/>
    <col min="16039" max="16039" width="8.7109375" style="1" customWidth="1"/>
    <col min="16040" max="16040" width="9.140625" style="1"/>
    <col min="16041" max="16041" width="9.140625" style="1" customWidth="1"/>
    <col min="16042" max="16042" width="27.28515625" style="1" customWidth="1"/>
    <col min="16043" max="16078" width="9.140625" style="1" customWidth="1"/>
    <col min="16079" max="16384" width="9.140625" style="1"/>
  </cols>
  <sheetData>
    <row r="1" spans="1:8" s="2" customFormat="1" ht="21" x14ac:dyDescent="0.25">
      <c r="A1" s="600" t="str">
        <f>"Итоговая классификация "&amp;название</f>
        <v>Итоговая классификация Ралли "Смоленск - 2019"</v>
      </c>
      <c r="B1" s="124"/>
      <c r="C1" s="601"/>
      <c r="D1" s="601"/>
      <c r="E1" s="601"/>
      <c r="F1" s="601"/>
    </row>
    <row r="2" spans="1:8" s="2" customFormat="1" ht="21" x14ac:dyDescent="0.25">
      <c r="A2" s="602" t="str">
        <f>датаРалли</f>
        <v>21 сентября 2019 г.</v>
      </c>
      <c r="B2" s="124"/>
      <c r="C2" s="601"/>
      <c r="D2" s="601"/>
      <c r="E2" s="601"/>
      <c r="F2" s="601"/>
    </row>
    <row r="3" spans="1:8" s="2" customFormat="1" ht="3" customHeight="1" x14ac:dyDescent="0.25"/>
    <row r="4" spans="1:8" ht="15.75" x14ac:dyDescent="0.25">
      <c r="A4" s="310" t="str">
        <f>"Зачет Лайт, стартовало " &amp; итоговыеЛайт6[[#Totals],[Старт. номер]] &amp; ", финишировало " &amp; итоговыеЛайт6[[#Totals],[Старт. номер]]-итоговыеЛайт6[[#Totals],[Пенализация, итого]]</f>
        <v>Зачет Лайт, стартовало 9, финишировало 9</v>
      </c>
    </row>
    <row r="5" spans="1:8" s="2" customFormat="1" ht="3" customHeight="1" x14ac:dyDescent="0.25"/>
    <row r="6" spans="1:8" hidden="1" x14ac:dyDescent="0.25"/>
    <row r="7" spans="1:8" hidden="1" x14ac:dyDescent="0.25"/>
    <row r="8" spans="1:8" hidden="1" x14ac:dyDescent="0.25"/>
    <row r="9" spans="1:8" ht="38.25" x14ac:dyDescent="0.25">
      <c r="A9" s="603" t="s">
        <v>347</v>
      </c>
      <c r="B9" s="604" t="s">
        <v>9</v>
      </c>
      <c r="C9" s="604" t="s">
        <v>125</v>
      </c>
      <c r="D9" s="604" t="s">
        <v>126</v>
      </c>
      <c r="E9" s="604" t="s">
        <v>37</v>
      </c>
      <c r="F9" s="604" t="s">
        <v>346</v>
      </c>
    </row>
    <row r="10" spans="1:8" x14ac:dyDescent="0.25">
      <c r="A10" s="177">
        <v>1</v>
      </c>
      <c r="B10" s="178">
        <v>9</v>
      </c>
      <c r="C10" s="179" t="s">
        <v>646</v>
      </c>
      <c r="D10" s="179" t="s">
        <v>647</v>
      </c>
      <c r="E10" s="179" t="s">
        <v>6</v>
      </c>
      <c r="F10" s="315">
        <v>1922.9</v>
      </c>
    </row>
    <row r="11" spans="1:8" x14ac:dyDescent="0.25">
      <c r="A11" s="177">
        <f>1+A10</f>
        <v>2</v>
      </c>
      <c r="B11" s="178">
        <v>17</v>
      </c>
      <c r="C11" s="179" t="s">
        <v>16</v>
      </c>
      <c r="D11" s="179" t="s">
        <v>40</v>
      </c>
      <c r="E11" s="179" t="s">
        <v>724</v>
      </c>
      <c r="F11" s="315">
        <v>2330</v>
      </c>
      <c r="H11" s="1" t="s">
        <v>349</v>
      </c>
    </row>
    <row r="12" spans="1:8" x14ac:dyDescent="0.25">
      <c r="A12" s="177">
        <f t="shared" ref="A12:A18" si="0">1+A11</f>
        <v>3</v>
      </c>
      <c r="B12" s="178">
        <v>13</v>
      </c>
      <c r="C12" s="179" t="s">
        <v>603</v>
      </c>
      <c r="D12" s="179" t="s">
        <v>617</v>
      </c>
      <c r="E12" s="179" t="s">
        <v>612</v>
      </c>
      <c r="F12" s="315">
        <v>2388.3000000000002</v>
      </c>
    </row>
    <row r="13" spans="1:8" x14ac:dyDescent="0.25">
      <c r="A13" s="177">
        <f t="shared" si="0"/>
        <v>4</v>
      </c>
      <c r="B13" s="178">
        <v>14</v>
      </c>
      <c r="C13" s="179" t="s">
        <v>606</v>
      </c>
      <c r="D13" s="179" t="s">
        <v>618</v>
      </c>
      <c r="E13" s="179" t="s">
        <v>6</v>
      </c>
      <c r="F13" s="315">
        <v>2596.5</v>
      </c>
    </row>
    <row r="14" spans="1:8" x14ac:dyDescent="0.25">
      <c r="A14" s="177">
        <f t="shared" si="0"/>
        <v>5</v>
      </c>
      <c r="B14" s="178">
        <v>16</v>
      </c>
      <c r="C14" s="179" t="s">
        <v>650</v>
      </c>
      <c r="D14" s="179" t="s">
        <v>651</v>
      </c>
      <c r="E14" s="179" t="s">
        <v>6</v>
      </c>
      <c r="F14" s="315">
        <v>3248.1</v>
      </c>
    </row>
    <row r="15" spans="1:8" x14ac:dyDescent="0.25">
      <c r="A15" s="177">
        <f t="shared" si="0"/>
        <v>6</v>
      </c>
      <c r="B15" s="178">
        <v>11</v>
      </c>
      <c r="C15" s="179" t="s">
        <v>595</v>
      </c>
      <c r="D15" s="179" t="s">
        <v>615</v>
      </c>
      <c r="E15" s="179" t="s">
        <v>208</v>
      </c>
      <c r="F15" s="315">
        <v>3459.9</v>
      </c>
    </row>
    <row r="16" spans="1:8" x14ac:dyDescent="0.25">
      <c r="A16" s="177">
        <f t="shared" si="0"/>
        <v>7</v>
      </c>
      <c r="B16" s="178">
        <v>18</v>
      </c>
      <c r="C16" s="179" t="s">
        <v>654</v>
      </c>
      <c r="D16" s="179" t="s">
        <v>655</v>
      </c>
      <c r="E16" s="179" t="s">
        <v>6</v>
      </c>
      <c r="F16" s="315">
        <v>3892.9</v>
      </c>
    </row>
    <row r="17" spans="1:7" x14ac:dyDescent="0.25">
      <c r="A17" s="177">
        <f t="shared" si="0"/>
        <v>8</v>
      </c>
      <c r="B17" s="178">
        <v>10</v>
      </c>
      <c r="C17" s="179" t="s">
        <v>592</v>
      </c>
      <c r="D17" s="179" t="s">
        <v>613</v>
      </c>
      <c r="E17" s="179" t="s">
        <v>611</v>
      </c>
      <c r="F17" s="315">
        <v>5027.8999999999996</v>
      </c>
    </row>
    <row r="18" spans="1:7" x14ac:dyDescent="0.25">
      <c r="A18" s="177">
        <f t="shared" si="0"/>
        <v>9</v>
      </c>
      <c r="B18" s="178">
        <v>15</v>
      </c>
      <c r="C18" s="179" t="s">
        <v>86</v>
      </c>
      <c r="D18" s="179" t="s">
        <v>588</v>
      </c>
      <c r="E18" s="179" t="s">
        <v>6</v>
      </c>
      <c r="F18" s="315">
        <v>6685.6</v>
      </c>
    </row>
    <row r="19" spans="1:7" hidden="1" x14ac:dyDescent="0.25">
      <c r="A19" s="313"/>
      <c r="B19" s="180">
        <f>SUBTOTAL(103,итоговыеЛайт6[Старт. номер])</f>
        <v>9</v>
      </c>
      <c r="C19" s="314" t="s">
        <v>350</v>
      </c>
      <c r="D19" s="179"/>
      <c r="E19" s="312" t="s">
        <v>348</v>
      </c>
      <c r="F19" s="180">
        <f>COUNTIF(итоговыеЛайт6[Пенализация, итого],"DNF")</f>
        <v>0</v>
      </c>
    </row>
    <row r="21" spans="1:7" ht="15.75" hidden="1" x14ac:dyDescent="0.25">
      <c r="B21" s="316" t="s">
        <v>297</v>
      </c>
      <c r="C21" s="2"/>
      <c r="D21" s="2" t="s">
        <v>298</v>
      </c>
      <c r="E21" s="2" t="s">
        <v>298</v>
      </c>
      <c r="F21" s="2"/>
      <c r="G21" s="2"/>
    </row>
    <row r="22" spans="1:7" hidden="1" x14ac:dyDescent="0.25">
      <c r="B22" s="44"/>
      <c r="C22" s="2"/>
      <c r="D22" s="187" t="s">
        <v>299</v>
      </c>
      <c r="E22" s="187" t="s">
        <v>300</v>
      </c>
      <c r="F22" s="2"/>
      <c r="G22" s="2"/>
    </row>
    <row r="23" spans="1:7" ht="15.75" hidden="1" x14ac:dyDescent="0.25">
      <c r="B23" s="316" t="s">
        <v>301</v>
      </c>
      <c r="C23" s="2"/>
      <c r="D23" s="2" t="s">
        <v>298</v>
      </c>
      <c r="E23" s="2" t="s">
        <v>298</v>
      </c>
      <c r="F23" s="2"/>
      <c r="G23" s="2"/>
    </row>
    <row r="24" spans="1:7" hidden="1" x14ac:dyDescent="0.25">
      <c r="B24" s="44"/>
      <c r="C24" s="2"/>
      <c r="D24" s="187" t="s">
        <v>299</v>
      </c>
      <c r="E24" s="187" t="s">
        <v>300</v>
      </c>
      <c r="F24" s="2"/>
      <c r="G24" s="2"/>
    </row>
    <row r="25" spans="1:7" ht="15.75" x14ac:dyDescent="0.25">
      <c r="B25" s="316" t="s">
        <v>301</v>
      </c>
      <c r="C25" s="2"/>
      <c r="D25" s="2" t="s">
        <v>298</v>
      </c>
      <c r="E25" s="2" t="s">
        <v>298</v>
      </c>
      <c r="F25" s="2"/>
      <c r="G25" s="2"/>
    </row>
    <row r="26" spans="1:7" x14ac:dyDescent="0.25">
      <c r="B26" s="44"/>
      <c r="C26" s="2"/>
      <c r="D26" s="187" t="s">
        <v>299</v>
      </c>
      <c r="E26" s="187" t="s">
        <v>300</v>
      </c>
      <c r="F26" s="2"/>
      <c r="G26" s="2"/>
    </row>
    <row r="27" spans="1:7" ht="15.75" x14ac:dyDescent="0.25">
      <c r="B27" s="316" t="s">
        <v>302</v>
      </c>
      <c r="C27" s="2"/>
      <c r="D27" s="2" t="s">
        <v>298</v>
      </c>
      <c r="E27" s="2" t="s">
        <v>298</v>
      </c>
      <c r="F27" s="2"/>
      <c r="G27" s="2"/>
    </row>
    <row r="28" spans="1:7" x14ac:dyDescent="0.25">
      <c r="B28" s="44"/>
      <c r="C28" s="2"/>
      <c r="D28" s="187" t="s">
        <v>299</v>
      </c>
      <c r="E28" s="187" t="s">
        <v>300</v>
      </c>
      <c r="F28" s="2"/>
      <c r="G28" s="2"/>
    </row>
    <row r="29" spans="1:7" ht="15.75" x14ac:dyDescent="0.25">
      <c r="B29" s="316" t="s">
        <v>303</v>
      </c>
      <c r="C29" s="2"/>
      <c r="D29" s="2" t="s">
        <v>298</v>
      </c>
      <c r="E29" s="2" t="s">
        <v>298</v>
      </c>
      <c r="F29" s="2"/>
      <c r="G29" s="2"/>
    </row>
    <row r="30" spans="1:7" x14ac:dyDescent="0.25">
      <c r="B30" s="44"/>
      <c r="C30" s="2"/>
      <c r="D30" s="187" t="s">
        <v>299</v>
      </c>
      <c r="E30" s="187" t="s">
        <v>300</v>
      </c>
      <c r="F30" s="2"/>
      <c r="G30" s="2"/>
    </row>
    <row r="31" spans="1:7" x14ac:dyDescent="0.25">
      <c r="B31" s="44"/>
      <c r="C31" s="2"/>
      <c r="D31" s="187"/>
      <c r="E31" s="187"/>
      <c r="F31" s="2"/>
      <c r="G31" s="2"/>
    </row>
    <row r="32" spans="1:7" x14ac:dyDescent="0.25">
      <c r="B32" s="44"/>
      <c r="C32" s="2"/>
      <c r="D32" s="187"/>
      <c r="E32" s="187"/>
      <c r="F32" s="2"/>
      <c r="G32" s="2"/>
    </row>
    <row r="33" spans="1:7" x14ac:dyDescent="0.25">
      <c r="B33" s="44"/>
      <c r="C33" s="2"/>
      <c r="D33" s="187"/>
      <c r="E33" s="187"/>
      <c r="F33" s="2"/>
      <c r="G33" s="2"/>
    </row>
    <row r="34" spans="1:7" x14ac:dyDescent="0.25">
      <c r="B34" s="44"/>
      <c r="C34" s="2"/>
      <c r="D34" s="187"/>
      <c r="E34" s="187"/>
      <c r="F34" s="2"/>
      <c r="G34" s="2"/>
    </row>
    <row r="35" spans="1:7" x14ac:dyDescent="0.25">
      <c r="B35" s="44"/>
      <c r="C35" s="2"/>
      <c r="D35" s="187"/>
      <c r="E35" s="187"/>
      <c r="F35" s="2"/>
      <c r="G35" s="2"/>
    </row>
    <row r="36" spans="1:7" s="2" customFormat="1" ht="21" x14ac:dyDescent="0.25">
      <c r="A36" s="600" t="str">
        <f>"Итоговая классификация "&amp;название</f>
        <v>Итоговая классификация Ралли "Смоленск - 2019"</v>
      </c>
      <c r="B36" s="124"/>
      <c r="C36" s="601"/>
      <c r="D36" s="601"/>
      <c r="E36" s="601"/>
      <c r="F36" s="601"/>
    </row>
    <row r="37" spans="1:7" s="2" customFormat="1" ht="21" x14ac:dyDescent="0.25">
      <c r="A37" s="602" t="str">
        <f>датаРалли</f>
        <v>21 сентября 2019 г.</v>
      </c>
      <c r="B37" s="124"/>
      <c r="C37" s="601"/>
      <c r="D37" s="601"/>
      <c r="E37" s="601"/>
      <c r="F37" s="601"/>
    </row>
    <row r="38" spans="1:7" s="2" customFormat="1" ht="3" customHeight="1" x14ac:dyDescent="0.25"/>
    <row r="39" spans="1:7" ht="15.75" x14ac:dyDescent="0.25">
      <c r="A39" s="310" t="str">
        <f>"Зачет Про, стартовало " &amp; итоговыеПро9[[#Totals],[Старт. номер]] &amp; ", финишировало " &amp; итоговыеПро9[[#Totals],[Старт. номер]]-итоговыеПро9[[#Totals],[Пенализация, итого]]</f>
        <v>Зачет Про, стартовало 6, финишировало 6</v>
      </c>
    </row>
    <row r="40" spans="1:7" s="2" customFormat="1" ht="3" customHeight="1" x14ac:dyDescent="0.25"/>
    <row r="41" spans="1:7" hidden="1" x14ac:dyDescent="0.25"/>
    <row r="42" spans="1:7" hidden="1" x14ac:dyDescent="0.25"/>
    <row r="43" spans="1:7" hidden="1" x14ac:dyDescent="0.25"/>
    <row r="44" spans="1:7" ht="38.25" x14ac:dyDescent="0.25">
      <c r="A44" s="603" t="s">
        <v>347</v>
      </c>
      <c r="B44" s="604" t="s">
        <v>9</v>
      </c>
      <c r="C44" s="604" t="s">
        <v>125</v>
      </c>
      <c r="D44" s="604" t="s">
        <v>126</v>
      </c>
      <c r="E44" s="604" t="s">
        <v>37</v>
      </c>
      <c r="F44" s="604" t="s">
        <v>346</v>
      </c>
    </row>
    <row r="45" spans="1:7" x14ac:dyDescent="0.25">
      <c r="A45" s="177">
        <v>1</v>
      </c>
      <c r="B45" s="178">
        <v>25</v>
      </c>
      <c r="C45" s="179" t="s">
        <v>29</v>
      </c>
      <c r="D45" s="179" t="s">
        <v>30</v>
      </c>
      <c r="E45" s="179" t="s">
        <v>6</v>
      </c>
      <c r="F45" s="315">
        <v>692.1</v>
      </c>
    </row>
    <row r="46" spans="1:7" x14ac:dyDescent="0.25">
      <c r="A46" s="177">
        <f>1+A45</f>
        <v>2</v>
      </c>
      <c r="B46" s="178">
        <v>28</v>
      </c>
      <c r="C46" s="179" t="s">
        <v>673</v>
      </c>
      <c r="D46" s="179" t="s">
        <v>674</v>
      </c>
      <c r="E46" s="179" t="s">
        <v>6</v>
      </c>
      <c r="F46" s="315">
        <v>1212.5</v>
      </c>
    </row>
    <row r="47" spans="1:7" x14ac:dyDescent="0.25">
      <c r="A47" s="177">
        <f t="shared" ref="A47:A104" si="1">1+A46</f>
        <v>3</v>
      </c>
      <c r="B47" s="178">
        <v>8</v>
      </c>
      <c r="C47" s="179" t="s">
        <v>230</v>
      </c>
      <c r="D47" s="179" t="s">
        <v>229</v>
      </c>
      <c r="E47" s="179" t="s">
        <v>6</v>
      </c>
      <c r="F47" s="315">
        <v>1542.2</v>
      </c>
    </row>
    <row r="48" spans="1:7" x14ac:dyDescent="0.25">
      <c r="A48" s="177">
        <f t="shared" si="1"/>
        <v>4</v>
      </c>
      <c r="B48" s="178">
        <v>23</v>
      </c>
      <c r="C48" s="179" t="s">
        <v>664</v>
      </c>
      <c r="D48" s="179" t="s">
        <v>665</v>
      </c>
      <c r="E48" s="179" t="s">
        <v>6</v>
      </c>
      <c r="F48" s="315">
        <v>1657.6</v>
      </c>
    </row>
    <row r="49" spans="1:6" x14ac:dyDescent="0.25">
      <c r="A49" s="177">
        <f t="shared" si="1"/>
        <v>5</v>
      </c>
      <c r="B49" s="178">
        <v>26</v>
      </c>
      <c r="C49" s="179" t="s">
        <v>216</v>
      </c>
      <c r="D49" s="179" t="s">
        <v>41</v>
      </c>
      <c r="E49" s="179" t="s">
        <v>6</v>
      </c>
      <c r="F49" s="315">
        <v>3050.3</v>
      </c>
    </row>
    <row r="50" spans="1:6" x14ac:dyDescent="0.25">
      <c r="A50" s="177">
        <f t="shared" si="1"/>
        <v>6</v>
      </c>
      <c r="B50" s="178">
        <v>27</v>
      </c>
      <c r="C50" s="179" t="s">
        <v>227</v>
      </c>
      <c r="D50" s="179" t="s">
        <v>228</v>
      </c>
      <c r="E50" s="179" t="s">
        <v>6</v>
      </c>
      <c r="F50" s="315">
        <v>3627.6</v>
      </c>
    </row>
    <row r="51" spans="1:6" hidden="1" x14ac:dyDescent="0.25">
      <c r="A51" s="177">
        <f t="shared" si="1"/>
        <v>7</v>
      </c>
      <c r="B51" s="178"/>
      <c r="C51" s="179"/>
      <c r="D51" s="179"/>
      <c r="E51" s="179"/>
      <c r="F51" s="315"/>
    </row>
    <row r="52" spans="1:6" hidden="1" x14ac:dyDescent="0.25">
      <c r="A52" s="177">
        <f t="shared" si="1"/>
        <v>8</v>
      </c>
      <c r="B52" s="178"/>
      <c r="C52" s="179"/>
      <c r="D52" s="179"/>
      <c r="E52" s="179"/>
      <c r="F52" s="315"/>
    </row>
    <row r="53" spans="1:6" hidden="1" x14ac:dyDescent="0.25">
      <c r="A53" s="177">
        <f t="shared" si="1"/>
        <v>9</v>
      </c>
      <c r="B53" s="178"/>
      <c r="C53" s="179"/>
      <c r="D53" s="179"/>
      <c r="E53" s="179"/>
      <c r="F53" s="315"/>
    </row>
    <row r="54" spans="1:6" hidden="1" x14ac:dyDescent="0.25">
      <c r="A54" s="177">
        <f t="shared" si="1"/>
        <v>10</v>
      </c>
      <c r="B54" s="178"/>
      <c r="C54" s="179"/>
      <c r="D54" s="179"/>
      <c r="E54" s="179"/>
      <c r="F54" s="315"/>
    </row>
    <row r="55" spans="1:6" hidden="1" x14ac:dyDescent="0.25">
      <c r="A55" s="177">
        <f t="shared" si="1"/>
        <v>11</v>
      </c>
      <c r="B55" s="178"/>
      <c r="C55" s="179"/>
      <c r="D55" s="179"/>
      <c r="E55" s="179"/>
      <c r="F55" s="315"/>
    </row>
    <row r="56" spans="1:6" hidden="1" x14ac:dyDescent="0.25">
      <c r="A56" s="177">
        <f t="shared" si="1"/>
        <v>12</v>
      </c>
      <c r="B56" s="178"/>
      <c r="C56" s="179"/>
      <c r="D56" s="179"/>
      <c r="E56" s="179"/>
      <c r="F56" s="315"/>
    </row>
    <row r="57" spans="1:6" hidden="1" x14ac:dyDescent="0.25">
      <c r="A57" s="177">
        <f t="shared" si="1"/>
        <v>13</v>
      </c>
      <c r="B57" s="178"/>
      <c r="C57" s="179"/>
      <c r="D57" s="179"/>
      <c r="E57" s="179"/>
      <c r="F57" s="315"/>
    </row>
    <row r="58" spans="1:6" hidden="1" x14ac:dyDescent="0.25">
      <c r="A58" s="177">
        <f t="shared" si="1"/>
        <v>14</v>
      </c>
      <c r="B58" s="178"/>
      <c r="C58" s="179"/>
      <c r="D58" s="179"/>
      <c r="E58" s="179"/>
      <c r="F58" s="315"/>
    </row>
    <row r="59" spans="1:6" hidden="1" x14ac:dyDescent="0.25">
      <c r="A59" s="177">
        <f t="shared" si="1"/>
        <v>15</v>
      </c>
      <c r="B59" s="178"/>
      <c r="C59" s="179"/>
      <c r="D59" s="179"/>
      <c r="E59" s="179"/>
      <c r="F59" s="315"/>
    </row>
    <row r="60" spans="1:6" hidden="1" x14ac:dyDescent="0.25">
      <c r="A60" s="177">
        <f t="shared" si="1"/>
        <v>16</v>
      </c>
      <c r="B60" s="178"/>
      <c r="C60" s="179"/>
      <c r="D60" s="179"/>
      <c r="E60" s="179"/>
      <c r="F60" s="315"/>
    </row>
    <row r="61" spans="1:6" hidden="1" x14ac:dyDescent="0.25">
      <c r="A61" s="177">
        <f t="shared" si="1"/>
        <v>17</v>
      </c>
      <c r="B61" s="178"/>
      <c r="C61" s="179"/>
      <c r="D61" s="179"/>
      <c r="E61" s="179"/>
      <c r="F61" s="315"/>
    </row>
    <row r="62" spans="1:6" hidden="1" x14ac:dyDescent="0.25">
      <c r="A62" s="177">
        <f t="shared" si="1"/>
        <v>18</v>
      </c>
      <c r="B62" s="178"/>
      <c r="C62" s="179"/>
      <c r="D62" s="179"/>
      <c r="E62" s="179"/>
      <c r="F62" s="315"/>
    </row>
    <row r="63" spans="1:6" hidden="1" x14ac:dyDescent="0.25">
      <c r="A63" s="177">
        <f t="shared" si="1"/>
        <v>19</v>
      </c>
      <c r="B63" s="178"/>
      <c r="C63" s="179"/>
      <c r="D63" s="179"/>
      <c r="E63" s="179"/>
      <c r="F63" s="315"/>
    </row>
    <row r="64" spans="1:6" hidden="1" x14ac:dyDescent="0.25">
      <c r="A64" s="177">
        <f t="shared" si="1"/>
        <v>20</v>
      </c>
      <c r="B64" s="178"/>
      <c r="C64" s="179"/>
      <c r="D64" s="179"/>
      <c r="E64" s="179"/>
      <c r="F64" s="315"/>
    </row>
    <row r="65" spans="1:6" hidden="1" x14ac:dyDescent="0.25">
      <c r="A65" s="177">
        <f t="shared" si="1"/>
        <v>21</v>
      </c>
      <c r="B65" s="178"/>
      <c r="C65" s="179"/>
      <c r="D65" s="179"/>
      <c r="E65" s="179"/>
      <c r="F65" s="315"/>
    </row>
    <row r="66" spans="1:6" hidden="1" x14ac:dyDescent="0.25">
      <c r="A66" s="177">
        <f t="shared" si="1"/>
        <v>22</v>
      </c>
      <c r="B66" s="178"/>
      <c r="C66" s="179"/>
      <c r="D66" s="179"/>
      <c r="E66" s="179"/>
      <c r="F66" s="315"/>
    </row>
    <row r="67" spans="1:6" hidden="1" x14ac:dyDescent="0.25">
      <c r="A67" s="177">
        <f t="shared" si="1"/>
        <v>23</v>
      </c>
      <c r="B67" s="178"/>
      <c r="C67" s="179"/>
      <c r="D67" s="179"/>
      <c r="E67" s="179"/>
      <c r="F67" s="315"/>
    </row>
    <row r="68" spans="1:6" hidden="1" x14ac:dyDescent="0.25">
      <c r="A68" s="177">
        <f t="shared" si="1"/>
        <v>24</v>
      </c>
      <c r="B68" s="178"/>
      <c r="C68" s="179"/>
      <c r="D68" s="179"/>
      <c r="E68" s="179"/>
      <c r="F68" s="315"/>
    </row>
    <row r="69" spans="1:6" hidden="1" x14ac:dyDescent="0.25">
      <c r="A69" s="177">
        <f t="shared" si="1"/>
        <v>25</v>
      </c>
      <c r="B69" s="178"/>
      <c r="C69" s="179"/>
      <c r="D69" s="179"/>
      <c r="E69" s="179"/>
      <c r="F69" s="315"/>
    </row>
    <row r="70" spans="1:6" hidden="1" x14ac:dyDescent="0.25">
      <c r="A70" s="177">
        <f t="shared" si="1"/>
        <v>26</v>
      </c>
      <c r="B70" s="178"/>
      <c r="C70" s="179"/>
      <c r="D70" s="179"/>
      <c r="E70" s="179"/>
      <c r="F70" s="315"/>
    </row>
    <row r="71" spans="1:6" hidden="1" x14ac:dyDescent="0.25">
      <c r="A71" s="177">
        <f t="shared" si="1"/>
        <v>27</v>
      </c>
      <c r="B71" s="178"/>
      <c r="C71" s="179"/>
      <c r="D71" s="179"/>
      <c r="E71" s="179"/>
      <c r="F71" s="315"/>
    </row>
    <row r="72" spans="1:6" hidden="1" x14ac:dyDescent="0.25">
      <c r="A72" s="177">
        <f t="shared" si="1"/>
        <v>28</v>
      </c>
      <c r="B72" s="178"/>
      <c r="C72" s="179"/>
      <c r="D72" s="179"/>
      <c r="E72" s="179"/>
      <c r="F72" s="315"/>
    </row>
    <row r="73" spans="1:6" hidden="1" x14ac:dyDescent="0.25">
      <c r="A73" s="177">
        <f t="shared" si="1"/>
        <v>29</v>
      </c>
      <c r="B73" s="178"/>
      <c r="C73" s="179"/>
      <c r="D73" s="179"/>
      <c r="E73" s="179"/>
      <c r="F73" s="315"/>
    </row>
    <row r="74" spans="1:6" hidden="1" x14ac:dyDescent="0.25">
      <c r="A74" s="177">
        <f t="shared" si="1"/>
        <v>30</v>
      </c>
      <c r="B74" s="178"/>
      <c r="C74" s="179"/>
      <c r="D74" s="179"/>
      <c r="E74" s="179"/>
      <c r="F74" s="315"/>
    </row>
    <row r="75" spans="1:6" hidden="1" x14ac:dyDescent="0.25">
      <c r="A75" s="177">
        <f t="shared" si="1"/>
        <v>31</v>
      </c>
      <c r="B75" s="178"/>
      <c r="C75" s="179"/>
      <c r="D75" s="179"/>
      <c r="E75" s="179"/>
      <c r="F75" s="315"/>
    </row>
    <row r="76" spans="1:6" hidden="1" x14ac:dyDescent="0.25">
      <c r="A76" s="177">
        <f t="shared" si="1"/>
        <v>32</v>
      </c>
      <c r="B76" s="178"/>
      <c r="C76" s="179"/>
      <c r="D76" s="179"/>
      <c r="E76" s="179"/>
      <c r="F76" s="315"/>
    </row>
    <row r="77" spans="1:6" hidden="1" x14ac:dyDescent="0.25">
      <c r="A77" s="177">
        <f t="shared" si="1"/>
        <v>33</v>
      </c>
      <c r="B77" s="178"/>
      <c r="C77" s="179"/>
      <c r="D77" s="179"/>
      <c r="E77" s="179"/>
      <c r="F77" s="315"/>
    </row>
    <row r="78" spans="1:6" hidden="1" x14ac:dyDescent="0.25">
      <c r="A78" s="177">
        <f t="shared" si="1"/>
        <v>34</v>
      </c>
      <c r="B78" s="178"/>
      <c r="C78" s="179"/>
      <c r="D78" s="179"/>
      <c r="E78" s="179"/>
      <c r="F78" s="315"/>
    </row>
    <row r="79" spans="1:6" hidden="1" x14ac:dyDescent="0.25">
      <c r="A79" s="177">
        <f t="shared" si="1"/>
        <v>35</v>
      </c>
      <c r="B79" s="178"/>
      <c r="C79" s="179"/>
      <c r="D79" s="179"/>
      <c r="E79" s="179"/>
      <c r="F79" s="315"/>
    </row>
    <row r="80" spans="1:6" hidden="1" x14ac:dyDescent="0.25">
      <c r="A80" s="177">
        <f t="shared" si="1"/>
        <v>36</v>
      </c>
      <c r="B80" s="178"/>
      <c r="C80" s="179"/>
      <c r="D80" s="179"/>
      <c r="E80" s="179"/>
      <c r="F80" s="315"/>
    </row>
    <row r="81" spans="1:6" hidden="1" x14ac:dyDescent="0.25">
      <c r="A81" s="177">
        <f t="shared" si="1"/>
        <v>37</v>
      </c>
      <c r="B81" s="178"/>
      <c r="C81" s="179"/>
      <c r="D81" s="179"/>
      <c r="E81" s="179"/>
      <c r="F81" s="315"/>
    </row>
    <row r="82" spans="1:6" hidden="1" x14ac:dyDescent="0.25">
      <c r="A82" s="177">
        <f t="shared" si="1"/>
        <v>38</v>
      </c>
      <c r="B82" s="178"/>
      <c r="C82" s="179"/>
      <c r="D82" s="179"/>
      <c r="E82" s="179"/>
      <c r="F82" s="315"/>
    </row>
    <row r="83" spans="1:6" hidden="1" x14ac:dyDescent="0.25">
      <c r="A83" s="177">
        <f t="shared" si="1"/>
        <v>39</v>
      </c>
      <c r="B83" s="178"/>
      <c r="C83" s="179"/>
      <c r="D83" s="179"/>
      <c r="E83" s="179"/>
      <c r="F83" s="315"/>
    </row>
    <row r="84" spans="1:6" hidden="1" x14ac:dyDescent="0.25">
      <c r="A84" s="177">
        <f t="shared" si="1"/>
        <v>40</v>
      </c>
      <c r="B84" s="178"/>
      <c r="C84" s="179"/>
      <c r="D84" s="179"/>
      <c r="E84" s="179"/>
      <c r="F84" s="315"/>
    </row>
    <row r="85" spans="1:6" hidden="1" x14ac:dyDescent="0.25">
      <c r="A85" s="177">
        <f t="shared" si="1"/>
        <v>41</v>
      </c>
      <c r="B85" s="178"/>
      <c r="C85" s="179"/>
      <c r="D85" s="179"/>
      <c r="E85" s="179"/>
      <c r="F85" s="315"/>
    </row>
    <row r="86" spans="1:6" hidden="1" x14ac:dyDescent="0.25">
      <c r="A86" s="177">
        <f t="shared" si="1"/>
        <v>42</v>
      </c>
      <c r="B86" s="178"/>
      <c r="C86" s="179"/>
      <c r="D86" s="179"/>
      <c r="E86" s="179"/>
      <c r="F86" s="315"/>
    </row>
    <row r="87" spans="1:6" hidden="1" x14ac:dyDescent="0.25">
      <c r="A87" s="177">
        <f t="shared" si="1"/>
        <v>43</v>
      </c>
      <c r="B87" s="178"/>
      <c r="C87" s="179"/>
      <c r="D87" s="179"/>
      <c r="E87" s="179"/>
      <c r="F87" s="315"/>
    </row>
    <row r="88" spans="1:6" hidden="1" x14ac:dyDescent="0.25">
      <c r="A88" s="177">
        <f t="shared" si="1"/>
        <v>44</v>
      </c>
      <c r="B88" s="178"/>
      <c r="C88" s="179"/>
      <c r="D88" s="179"/>
      <c r="E88" s="179"/>
      <c r="F88" s="315"/>
    </row>
    <row r="89" spans="1:6" hidden="1" x14ac:dyDescent="0.25">
      <c r="A89" s="177">
        <f t="shared" si="1"/>
        <v>45</v>
      </c>
      <c r="B89" s="178"/>
      <c r="C89" s="179"/>
      <c r="D89" s="179"/>
      <c r="E89" s="179"/>
      <c r="F89" s="315"/>
    </row>
    <row r="90" spans="1:6" hidden="1" x14ac:dyDescent="0.25">
      <c r="A90" s="177">
        <f t="shared" si="1"/>
        <v>46</v>
      </c>
      <c r="B90" s="178"/>
      <c r="C90" s="179"/>
      <c r="D90" s="179"/>
      <c r="E90" s="179"/>
      <c r="F90" s="315"/>
    </row>
    <row r="91" spans="1:6" hidden="1" x14ac:dyDescent="0.25">
      <c r="A91" s="177">
        <f t="shared" si="1"/>
        <v>47</v>
      </c>
      <c r="B91" s="178"/>
      <c r="C91" s="179"/>
      <c r="D91" s="179"/>
      <c r="E91" s="179"/>
      <c r="F91" s="315"/>
    </row>
    <row r="92" spans="1:6" hidden="1" x14ac:dyDescent="0.25">
      <c r="A92" s="177">
        <f t="shared" si="1"/>
        <v>48</v>
      </c>
      <c r="B92" s="178"/>
      <c r="C92" s="179"/>
      <c r="D92" s="179"/>
      <c r="E92" s="179"/>
      <c r="F92" s="315"/>
    </row>
    <row r="93" spans="1:6" hidden="1" x14ac:dyDescent="0.25">
      <c r="A93" s="177">
        <f t="shared" si="1"/>
        <v>49</v>
      </c>
      <c r="B93" s="178"/>
      <c r="C93" s="179"/>
      <c r="D93" s="179"/>
      <c r="E93" s="179"/>
      <c r="F93" s="315"/>
    </row>
    <row r="94" spans="1:6" hidden="1" x14ac:dyDescent="0.25">
      <c r="A94" s="177">
        <f t="shared" si="1"/>
        <v>50</v>
      </c>
      <c r="B94" s="178"/>
      <c r="C94" s="179"/>
      <c r="D94" s="179"/>
      <c r="E94" s="179"/>
      <c r="F94" s="315"/>
    </row>
    <row r="95" spans="1:6" hidden="1" x14ac:dyDescent="0.25">
      <c r="A95" s="177">
        <f t="shared" si="1"/>
        <v>51</v>
      </c>
      <c r="B95" s="178"/>
      <c r="C95" s="179"/>
      <c r="D95" s="179"/>
      <c r="E95" s="179"/>
      <c r="F95" s="315"/>
    </row>
    <row r="96" spans="1:6" hidden="1" x14ac:dyDescent="0.25">
      <c r="A96" s="177">
        <f t="shared" si="1"/>
        <v>52</v>
      </c>
      <c r="B96" s="178"/>
      <c r="C96" s="179"/>
      <c r="D96" s="179"/>
      <c r="E96" s="179"/>
      <c r="F96" s="315"/>
    </row>
    <row r="97" spans="1:7" hidden="1" x14ac:dyDescent="0.25">
      <c r="A97" s="177">
        <f t="shared" si="1"/>
        <v>53</v>
      </c>
      <c r="B97" s="178"/>
      <c r="C97" s="179"/>
      <c r="D97" s="179"/>
      <c r="E97" s="179"/>
      <c r="F97" s="315"/>
    </row>
    <row r="98" spans="1:7" hidden="1" x14ac:dyDescent="0.25">
      <c r="A98" s="177">
        <f t="shared" si="1"/>
        <v>54</v>
      </c>
      <c r="B98" s="178"/>
      <c r="C98" s="179"/>
      <c r="D98" s="179"/>
      <c r="E98" s="179"/>
      <c r="F98" s="315"/>
    </row>
    <row r="99" spans="1:7" hidden="1" x14ac:dyDescent="0.25">
      <c r="A99" s="177">
        <f t="shared" si="1"/>
        <v>55</v>
      </c>
      <c r="B99" s="311"/>
      <c r="C99" s="179"/>
      <c r="D99" s="179"/>
      <c r="E99" s="179"/>
      <c r="F99" s="315"/>
    </row>
    <row r="100" spans="1:7" hidden="1" x14ac:dyDescent="0.25">
      <c r="A100" s="177">
        <f t="shared" si="1"/>
        <v>56</v>
      </c>
      <c r="B100" s="311"/>
      <c r="C100" s="179"/>
      <c r="D100" s="179"/>
      <c r="E100" s="179"/>
      <c r="F100" s="315"/>
    </row>
    <row r="101" spans="1:7" hidden="1" x14ac:dyDescent="0.25">
      <c r="A101" s="177">
        <f t="shared" si="1"/>
        <v>57</v>
      </c>
      <c r="B101" s="178"/>
      <c r="C101" s="179"/>
      <c r="D101" s="179"/>
      <c r="E101" s="179"/>
      <c r="F101" s="315"/>
    </row>
    <row r="102" spans="1:7" hidden="1" x14ac:dyDescent="0.25">
      <c r="A102" s="177">
        <f t="shared" si="1"/>
        <v>58</v>
      </c>
      <c r="B102" s="178"/>
      <c r="C102" s="179"/>
      <c r="D102" s="179"/>
      <c r="E102" s="179"/>
      <c r="F102" s="315"/>
    </row>
    <row r="103" spans="1:7" hidden="1" x14ac:dyDescent="0.25">
      <c r="A103" s="177">
        <f t="shared" si="1"/>
        <v>59</v>
      </c>
      <c r="B103" s="178"/>
      <c r="C103" s="179"/>
      <c r="D103" s="179"/>
      <c r="E103" s="179"/>
      <c r="F103" s="315"/>
    </row>
    <row r="104" spans="1:7" hidden="1" x14ac:dyDescent="0.25">
      <c r="A104" s="177">
        <f t="shared" si="1"/>
        <v>60</v>
      </c>
      <c r="B104" s="178"/>
      <c r="C104" s="179"/>
      <c r="D104" s="179"/>
      <c r="E104" s="179"/>
      <c r="F104" s="315"/>
    </row>
    <row r="105" spans="1:7" hidden="1" x14ac:dyDescent="0.25">
      <c r="A105" s="313"/>
      <c r="B105" s="180">
        <f>SUBTOTAL(103,итоговыеПро9[Старт. номер])</f>
        <v>6</v>
      </c>
      <c r="C105" s="314" t="s">
        <v>350</v>
      </c>
      <c r="D105" s="179"/>
      <c r="E105" s="312" t="s">
        <v>348</v>
      </c>
      <c r="F105" s="180">
        <f>COUNTIF(итоговыеПро9[Пенализация, итого],"DNF")</f>
        <v>0</v>
      </c>
    </row>
    <row r="107" spans="1:7" ht="15.75" hidden="1" x14ac:dyDescent="0.25">
      <c r="B107" s="316" t="s">
        <v>297</v>
      </c>
      <c r="C107" s="2"/>
      <c r="D107" s="2" t="s">
        <v>298</v>
      </c>
      <c r="E107" s="2" t="s">
        <v>298</v>
      </c>
      <c r="F107" s="2"/>
      <c r="G107" s="2"/>
    </row>
    <row r="108" spans="1:7" hidden="1" x14ac:dyDescent="0.25">
      <c r="B108" s="44"/>
      <c r="C108" s="2"/>
      <c r="D108" s="187" t="s">
        <v>299</v>
      </c>
      <c r="E108" s="187" t="s">
        <v>300</v>
      </c>
      <c r="F108" s="2"/>
      <c r="G108" s="2"/>
    </row>
    <row r="109" spans="1:7" ht="15.75" hidden="1" x14ac:dyDescent="0.25">
      <c r="B109" s="316" t="s">
        <v>301</v>
      </c>
      <c r="C109" s="2"/>
      <c r="D109" s="2" t="s">
        <v>298</v>
      </c>
      <c r="E109" s="2" t="s">
        <v>298</v>
      </c>
      <c r="F109" s="2"/>
      <c r="G109" s="2"/>
    </row>
    <row r="110" spans="1:7" hidden="1" x14ac:dyDescent="0.25">
      <c r="B110" s="44"/>
      <c r="C110" s="2"/>
      <c r="D110" s="187" t="s">
        <v>299</v>
      </c>
      <c r="E110" s="187" t="s">
        <v>300</v>
      </c>
      <c r="F110" s="2"/>
      <c r="G110" s="2"/>
    </row>
    <row r="111" spans="1:7" ht="15.75" x14ac:dyDescent="0.25">
      <c r="B111" s="316" t="s">
        <v>301</v>
      </c>
      <c r="C111" s="2"/>
      <c r="D111" s="2" t="s">
        <v>298</v>
      </c>
      <c r="E111" s="2" t="s">
        <v>298</v>
      </c>
      <c r="F111" s="2"/>
      <c r="G111" s="2"/>
    </row>
    <row r="112" spans="1:7" x14ac:dyDescent="0.25">
      <c r="B112" s="44"/>
      <c r="C112" s="2"/>
      <c r="D112" s="187" t="s">
        <v>299</v>
      </c>
      <c r="E112" s="187" t="s">
        <v>300</v>
      </c>
      <c r="F112" s="2"/>
      <c r="G112" s="2"/>
    </row>
    <row r="113" spans="2:7" ht="15.75" x14ac:dyDescent="0.25">
      <c r="B113" s="316" t="s">
        <v>302</v>
      </c>
      <c r="C113" s="2"/>
      <c r="D113" s="2" t="s">
        <v>298</v>
      </c>
      <c r="E113" s="2" t="s">
        <v>298</v>
      </c>
      <c r="F113" s="2"/>
      <c r="G113" s="2"/>
    </row>
    <row r="114" spans="2:7" x14ac:dyDescent="0.25">
      <c r="B114" s="44"/>
      <c r="C114" s="2"/>
      <c r="D114" s="187" t="s">
        <v>299</v>
      </c>
      <c r="E114" s="187" t="s">
        <v>300</v>
      </c>
      <c r="F114" s="2"/>
      <c r="G114" s="2"/>
    </row>
    <row r="115" spans="2:7" ht="15.75" x14ac:dyDescent="0.25">
      <c r="B115" s="316" t="s">
        <v>303</v>
      </c>
      <c r="C115" s="2"/>
      <c r="D115" s="2" t="s">
        <v>298</v>
      </c>
      <c r="E115" s="2" t="s">
        <v>298</v>
      </c>
      <c r="F115" s="2"/>
      <c r="G115" s="2"/>
    </row>
    <row r="116" spans="2:7" x14ac:dyDescent="0.25">
      <c r="B116" s="44"/>
      <c r="C116" s="2"/>
      <c r="D116" s="187" t="s">
        <v>299</v>
      </c>
      <c r="E116" s="187" t="s">
        <v>300</v>
      </c>
      <c r="F116" s="2"/>
      <c r="G116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rowBreaks count="1" manualBreakCount="1">
    <brk id="35" max="5" man="1"/>
  </rowBreaks>
  <tableParts count="2">
    <tablePart r:id="rId2"/>
    <tablePart r:id="rId3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H117"/>
  <sheetViews>
    <sheetView view="pageBreakPreview" zoomScaleNormal="100" zoomScaleSheetLayoutView="100" workbookViewId="0">
      <selection activeCell="C3" sqref="C3"/>
    </sheetView>
  </sheetViews>
  <sheetFormatPr defaultRowHeight="15" x14ac:dyDescent="0.25"/>
  <cols>
    <col min="1" max="2" width="6.7109375" style="1" customWidth="1"/>
    <col min="3" max="5" width="22.7109375" style="1" customWidth="1"/>
    <col min="6" max="6" width="6.7109375" style="1" customWidth="1"/>
    <col min="7" max="164" width="9.140625" style="1"/>
    <col min="165" max="165" width="18.7109375" style="1" customWidth="1"/>
    <col min="166" max="166" width="18.140625" style="1" customWidth="1"/>
    <col min="167" max="167" width="8.7109375" style="1" customWidth="1"/>
    <col min="168" max="168" width="9.140625" style="1"/>
    <col min="169" max="169" width="9.140625" style="1" customWidth="1"/>
    <col min="170" max="170" width="27.28515625" style="1" customWidth="1"/>
    <col min="171" max="206" width="9.140625" style="1" customWidth="1"/>
    <col min="207" max="420" width="9.140625" style="1"/>
    <col min="421" max="421" width="18.7109375" style="1" customWidth="1"/>
    <col min="422" max="422" width="18.140625" style="1" customWidth="1"/>
    <col min="423" max="423" width="8.7109375" style="1" customWidth="1"/>
    <col min="424" max="424" width="9.140625" style="1"/>
    <col min="425" max="425" width="9.140625" style="1" customWidth="1"/>
    <col min="426" max="426" width="27.28515625" style="1" customWidth="1"/>
    <col min="427" max="462" width="9.140625" style="1" customWidth="1"/>
    <col min="463" max="676" width="9.140625" style="1"/>
    <col min="677" max="677" width="18.7109375" style="1" customWidth="1"/>
    <col min="678" max="678" width="18.140625" style="1" customWidth="1"/>
    <col min="679" max="679" width="8.7109375" style="1" customWidth="1"/>
    <col min="680" max="680" width="9.140625" style="1"/>
    <col min="681" max="681" width="9.140625" style="1" customWidth="1"/>
    <col min="682" max="682" width="27.28515625" style="1" customWidth="1"/>
    <col min="683" max="718" width="9.140625" style="1" customWidth="1"/>
    <col min="719" max="932" width="9.140625" style="1"/>
    <col min="933" max="933" width="18.7109375" style="1" customWidth="1"/>
    <col min="934" max="934" width="18.140625" style="1" customWidth="1"/>
    <col min="935" max="935" width="8.7109375" style="1" customWidth="1"/>
    <col min="936" max="936" width="9.140625" style="1"/>
    <col min="937" max="937" width="9.140625" style="1" customWidth="1"/>
    <col min="938" max="938" width="27.28515625" style="1" customWidth="1"/>
    <col min="939" max="974" width="9.140625" style="1" customWidth="1"/>
    <col min="975" max="1188" width="9.140625" style="1"/>
    <col min="1189" max="1189" width="18.7109375" style="1" customWidth="1"/>
    <col min="1190" max="1190" width="18.140625" style="1" customWidth="1"/>
    <col min="1191" max="1191" width="8.7109375" style="1" customWidth="1"/>
    <col min="1192" max="1192" width="9.140625" style="1"/>
    <col min="1193" max="1193" width="9.140625" style="1" customWidth="1"/>
    <col min="1194" max="1194" width="27.28515625" style="1" customWidth="1"/>
    <col min="1195" max="1230" width="9.140625" style="1" customWidth="1"/>
    <col min="1231" max="1444" width="9.140625" style="1"/>
    <col min="1445" max="1445" width="18.7109375" style="1" customWidth="1"/>
    <col min="1446" max="1446" width="18.140625" style="1" customWidth="1"/>
    <col min="1447" max="1447" width="8.7109375" style="1" customWidth="1"/>
    <col min="1448" max="1448" width="9.140625" style="1"/>
    <col min="1449" max="1449" width="9.140625" style="1" customWidth="1"/>
    <col min="1450" max="1450" width="27.28515625" style="1" customWidth="1"/>
    <col min="1451" max="1486" width="9.140625" style="1" customWidth="1"/>
    <col min="1487" max="1700" width="9.140625" style="1"/>
    <col min="1701" max="1701" width="18.7109375" style="1" customWidth="1"/>
    <col min="1702" max="1702" width="18.140625" style="1" customWidth="1"/>
    <col min="1703" max="1703" width="8.7109375" style="1" customWidth="1"/>
    <col min="1704" max="1704" width="9.140625" style="1"/>
    <col min="1705" max="1705" width="9.140625" style="1" customWidth="1"/>
    <col min="1706" max="1706" width="27.28515625" style="1" customWidth="1"/>
    <col min="1707" max="1742" width="9.140625" style="1" customWidth="1"/>
    <col min="1743" max="1956" width="9.140625" style="1"/>
    <col min="1957" max="1957" width="18.7109375" style="1" customWidth="1"/>
    <col min="1958" max="1958" width="18.140625" style="1" customWidth="1"/>
    <col min="1959" max="1959" width="8.7109375" style="1" customWidth="1"/>
    <col min="1960" max="1960" width="9.140625" style="1"/>
    <col min="1961" max="1961" width="9.140625" style="1" customWidth="1"/>
    <col min="1962" max="1962" width="27.28515625" style="1" customWidth="1"/>
    <col min="1963" max="1998" width="9.140625" style="1" customWidth="1"/>
    <col min="1999" max="2212" width="9.140625" style="1"/>
    <col min="2213" max="2213" width="18.7109375" style="1" customWidth="1"/>
    <col min="2214" max="2214" width="18.140625" style="1" customWidth="1"/>
    <col min="2215" max="2215" width="8.7109375" style="1" customWidth="1"/>
    <col min="2216" max="2216" width="9.140625" style="1"/>
    <col min="2217" max="2217" width="9.140625" style="1" customWidth="1"/>
    <col min="2218" max="2218" width="27.28515625" style="1" customWidth="1"/>
    <col min="2219" max="2254" width="9.140625" style="1" customWidth="1"/>
    <col min="2255" max="2468" width="9.140625" style="1"/>
    <col min="2469" max="2469" width="18.7109375" style="1" customWidth="1"/>
    <col min="2470" max="2470" width="18.140625" style="1" customWidth="1"/>
    <col min="2471" max="2471" width="8.7109375" style="1" customWidth="1"/>
    <col min="2472" max="2472" width="9.140625" style="1"/>
    <col min="2473" max="2473" width="9.140625" style="1" customWidth="1"/>
    <col min="2474" max="2474" width="27.28515625" style="1" customWidth="1"/>
    <col min="2475" max="2510" width="9.140625" style="1" customWidth="1"/>
    <col min="2511" max="2724" width="9.140625" style="1"/>
    <col min="2725" max="2725" width="18.7109375" style="1" customWidth="1"/>
    <col min="2726" max="2726" width="18.140625" style="1" customWidth="1"/>
    <col min="2727" max="2727" width="8.7109375" style="1" customWidth="1"/>
    <col min="2728" max="2728" width="9.140625" style="1"/>
    <col min="2729" max="2729" width="9.140625" style="1" customWidth="1"/>
    <col min="2730" max="2730" width="27.28515625" style="1" customWidth="1"/>
    <col min="2731" max="2766" width="9.140625" style="1" customWidth="1"/>
    <col min="2767" max="2980" width="9.140625" style="1"/>
    <col min="2981" max="2981" width="18.7109375" style="1" customWidth="1"/>
    <col min="2982" max="2982" width="18.140625" style="1" customWidth="1"/>
    <col min="2983" max="2983" width="8.7109375" style="1" customWidth="1"/>
    <col min="2984" max="2984" width="9.140625" style="1"/>
    <col min="2985" max="2985" width="9.140625" style="1" customWidth="1"/>
    <col min="2986" max="2986" width="27.28515625" style="1" customWidth="1"/>
    <col min="2987" max="3022" width="9.140625" style="1" customWidth="1"/>
    <col min="3023" max="3236" width="9.140625" style="1"/>
    <col min="3237" max="3237" width="18.7109375" style="1" customWidth="1"/>
    <col min="3238" max="3238" width="18.140625" style="1" customWidth="1"/>
    <col min="3239" max="3239" width="8.7109375" style="1" customWidth="1"/>
    <col min="3240" max="3240" width="9.140625" style="1"/>
    <col min="3241" max="3241" width="9.140625" style="1" customWidth="1"/>
    <col min="3242" max="3242" width="27.28515625" style="1" customWidth="1"/>
    <col min="3243" max="3278" width="9.140625" style="1" customWidth="1"/>
    <col min="3279" max="3492" width="9.140625" style="1"/>
    <col min="3493" max="3493" width="18.7109375" style="1" customWidth="1"/>
    <col min="3494" max="3494" width="18.140625" style="1" customWidth="1"/>
    <col min="3495" max="3495" width="8.7109375" style="1" customWidth="1"/>
    <col min="3496" max="3496" width="9.140625" style="1"/>
    <col min="3497" max="3497" width="9.140625" style="1" customWidth="1"/>
    <col min="3498" max="3498" width="27.28515625" style="1" customWidth="1"/>
    <col min="3499" max="3534" width="9.140625" style="1" customWidth="1"/>
    <col min="3535" max="3748" width="9.140625" style="1"/>
    <col min="3749" max="3749" width="18.7109375" style="1" customWidth="1"/>
    <col min="3750" max="3750" width="18.140625" style="1" customWidth="1"/>
    <col min="3751" max="3751" width="8.7109375" style="1" customWidth="1"/>
    <col min="3752" max="3752" width="9.140625" style="1"/>
    <col min="3753" max="3753" width="9.140625" style="1" customWidth="1"/>
    <col min="3754" max="3754" width="27.28515625" style="1" customWidth="1"/>
    <col min="3755" max="3790" width="9.140625" style="1" customWidth="1"/>
    <col min="3791" max="4004" width="9.140625" style="1"/>
    <col min="4005" max="4005" width="18.7109375" style="1" customWidth="1"/>
    <col min="4006" max="4006" width="18.140625" style="1" customWidth="1"/>
    <col min="4007" max="4007" width="8.7109375" style="1" customWidth="1"/>
    <col min="4008" max="4008" width="9.140625" style="1"/>
    <col min="4009" max="4009" width="9.140625" style="1" customWidth="1"/>
    <col min="4010" max="4010" width="27.28515625" style="1" customWidth="1"/>
    <col min="4011" max="4046" width="9.140625" style="1" customWidth="1"/>
    <col min="4047" max="4260" width="9.140625" style="1"/>
    <col min="4261" max="4261" width="18.7109375" style="1" customWidth="1"/>
    <col min="4262" max="4262" width="18.140625" style="1" customWidth="1"/>
    <col min="4263" max="4263" width="8.7109375" style="1" customWidth="1"/>
    <col min="4264" max="4264" width="9.140625" style="1"/>
    <col min="4265" max="4265" width="9.140625" style="1" customWidth="1"/>
    <col min="4266" max="4266" width="27.28515625" style="1" customWidth="1"/>
    <col min="4267" max="4302" width="9.140625" style="1" customWidth="1"/>
    <col min="4303" max="4516" width="9.140625" style="1"/>
    <col min="4517" max="4517" width="18.7109375" style="1" customWidth="1"/>
    <col min="4518" max="4518" width="18.140625" style="1" customWidth="1"/>
    <col min="4519" max="4519" width="8.7109375" style="1" customWidth="1"/>
    <col min="4520" max="4520" width="9.140625" style="1"/>
    <col min="4521" max="4521" width="9.140625" style="1" customWidth="1"/>
    <col min="4522" max="4522" width="27.28515625" style="1" customWidth="1"/>
    <col min="4523" max="4558" width="9.140625" style="1" customWidth="1"/>
    <col min="4559" max="4772" width="9.140625" style="1"/>
    <col min="4773" max="4773" width="18.7109375" style="1" customWidth="1"/>
    <col min="4774" max="4774" width="18.140625" style="1" customWidth="1"/>
    <col min="4775" max="4775" width="8.7109375" style="1" customWidth="1"/>
    <col min="4776" max="4776" width="9.140625" style="1"/>
    <col min="4777" max="4777" width="9.140625" style="1" customWidth="1"/>
    <col min="4778" max="4778" width="27.28515625" style="1" customWidth="1"/>
    <col min="4779" max="4814" width="9.140625" style="1" customWidth="1"/>
    <col min="4815" max="5028" width="9.140625" style="1"/>
    <col min="5029" max="5029" width="18.7109375" style="1" customWidth="1"/>
    <col min="5030" max="5030" width="18.140625" style="1" customWidth="1"/>
    <col min="5031" max="5031" width="8.7109375" style="1" customWidth="1"/>
    <col min="5032" max="5032" width="9.140625" style="1"/>
    <col min="5033" max="5033" width="9.140625" style="1" customWidth="1"/>
    <col min="5034" max="5034" width="27.28515625" style="1" customWidth="1"/>
    <col min="5035" max="5070" width="9.140625" style="1" customWidth="1"/>
    <col min="5071" max="5284" width="9.140625" style="1"/>
    <col min="5285" max="5285" width="18.7109375" style="1" customWidth="1"/>
    <col min="5286" max="5286" width="18.140625" style="1" customWidth="1"/>
    <col min="5287" max="5287" width="8.7109375" style="1" customWidth="1"/>
    <col min="5288" max="5288" width="9.140625" style="1"/>
    <col min="5289" max="5289" width="9.140625" style="1" customWidth="1"/>
    <col min="5290" max="5290" width="27.28515625" style="1" customWidth="1"/>
    <col min="5291" max="5326" width="9.140625" style="1" customWidth="1"/>
    <col min="5327" max="5540" width="9.140625" style="1"/>
    <col min="5541" max="5541" width="18.7109375" style="1" customWidth="1"/>
    <col min="5542" max="5542" width="18.140625" style="1" customWidth="1"/>
    <col min="5543" max="5543" width="8.7109375" style="1" customWidth="1"/>
    <col min="5544" max="5544" width="9.140625" style="1"/>
    <col min="5545" max="5545" width="9.140625" style="1" customWidth="1"/>
    <col min="5546" max="5546" width="27.28515625" style="1" customWidth="1"/>
    <col min="5547" max="5582" width="9.140625" style="1" customWidth="1"/>
    <col min="5583" max="5796" width="9.140625" style="1"/>
    <col min="5797" max="5797" width="18.7109375" style="1" customWidth="1"/>
    <col min="5798" max="5798" width="18.140625" style="1" customWidth="1"/>
    <col min="5799" max="5799" width="8.7109375" style="1" customWidth="1"/>
    <col min="5800" max="5800" width="9.140625" style="1"/>
    <col min="5801" max="5801" width="9.140625" style="1" customWidth="1"/>
    <col min="5802" max="5802" width="27.28515625" style="1" customWidth="1"/>
    <col min="5803" max="5838" width="9.140625" style="1" customWidth="1"/>
    <col min="5839" max="6052" width="9.140625" style="1"/>
    <col min="6053" max="6053" width="18.7109375" style="1" customWidth="1"/>
    <col min="6054" max="6054" width="18.140625" style="1" customWidth="1"/>
    <col min="6055" max="6055" width="8.7109375" style="1" customWidth="1"/>
    <col min="6056" max="6056" width="9.140625" style="1"/>
    <col min="6057" max="6057" width="9.140625" style="1" customWidth="1"/>
    <col min="6058" max="6058" width="27.28515625" style="1" customWidth="1"/>
    <col min="6059" max="6094" width="9.140625" style="1" customWidth="1"/>
    <col min="6095" max="6308" width="9.140625" style="1"/>
    <col min="6309" max="6309" width="18.7109375" style="1" customWidth="1"/>
    <col min="6310" max="6310" width="18.140625" style="1" customWidth="1"/>
    <col min="6311" max="6311" width="8.7109375" style="1" customWidth="1"/>
    <col min="6312" max="6312" width="9.140625" style="1"/>
    <col min="6313" max="6313" width="9.140625" style="1" customWidth="1"/>
    <col min="6314" max="6314" width="27.28515625" style="1" customWidth="1"/>
    <col min="6315" max="6350" width="9.140625" style="1" customWidth="1"/>
    <col min="6351" max="6564" width="9.140625" style="1"/>
    <col min="6565" max="6565" width="18.7109375" style="1" customWidth="1"/>
    <col min="6566" max="6566" width="18.140625" style="1" customWidth="1"/>
    <col min="6567" max="6567" width="8.7109375" style="1" customWidth="1"/>
    <col min="6568" max="6568" width="9.140625" style="1"/>
    <col min="6569" max="6569" width="9.140625" style="1" customWidth="1"/>
    <col min="6570" max="6570" width="27.28515625" style="1" customWidth="1"/>
    <col min="6571" max="6606" width="9.140625" style="1" customWidth="1"/>
    <col min="6607" max="6820" width="9.140625" style="1"/>
    <col min="6821" max="6821" width="18.7109375" style="1" customWidth="1"/>
    <col min="6822" max="6822" width="18.140625" style="1" customWidth="1"/>
    <col min="6823" max="6823" width="8.7109375" style="1" customWidth="1"/>
    <col min="6824" max="6824" width="9.140625" style="1"/>
    <col min="6825" max="6825" width="9.140625" style="1" customWidth="1"/>
    <col min="6826" max="6826" width="27.28515625" style="1" customWidth="1"/>
    <col min="6827" max="6862" width="9.140625" style="1" customWidth="1"/>
    <col min="6863" max="7076" width="9.140625" style="1"/>
    <col min="7077" max="7077" width="18.7109375" style="1" customWidth="1"/>
    <col min="7078" max="7078" width="18.140625" style="1" customWidth="1"/>
    <col min="7079" max="7079" width="8.7109375" style="1" customWidth="1"/>
    <col min="7080" max="7080" width="9.140625" style="1"/>
    <col min="7081" max="7081" width="9.140625" style="1" customWidth="1"/>
    <col min="7082" max="7082" width="27.28515625" style="1" customWidth="1"/>
    <col min="7083" max="7118" width="9.140625" style="1" customWidth="1"/>
    <col min="7119" max="7332" width="9.140625" style="1"/>
    <col min="7333" max="7333" width="18.7109375" style="1" customWidth="1"/>
    <col min="7334" max="7334" width="18.140625" style="1" customWidth="1"/>
    <col min="7335" max="7335" width="8.7109375" style="1" customWidth="1"/>
    <col min="7336" max="7336" width="9.140625" style="1"/>
    <col min="7337" max="7337" width="9.140625" style="1" customWidth="1"/>
    <col min="7338" max="7338" width="27.28515625" style="1" customWidth="1"/>
    <col min="7339" max="7374" width="9.140625" style="1" customWidth="1"/>
    <col min="7375" max="7588" width="9.140625" style="1"/>
    <col min="7589" max="7589" width="18.7109375" style="1" customWidth="1"/>
    <col min="7590" max="7590" width="18.140625" style="1" customWidth="1"/>
    <col min="7591" max="7591" width="8.7109375" style="1" customWidth="1"/>
    <col min="7592" max="7592" width="9.140625" style="1"/>
    <col min="7593" max="7593" width="9.140625" style="1" customWidth="1"/>
    <col min="7594" max="7594" width="27.28515625" style="1" customWidth="1"/>
    <col min="7595" max="7630" width="9.140625" style="1" customWidth="1"/>
    <col min="7631" max="7844" width="9.140625" style="1"/>
    <col min="7845" max="7845" width="18.7109375" style="1" customWidth="1"/>
    <col min="7846" max="7846" width="18.140625" style="1" customWidth="1"/>
    <col min="7847" max="7847" width="8.7109375" style="1" customWidth="1"/>
    <col min="7848" max="7848" width="9.140625" style="1"/>
    <col min="7849" max="7849" width="9.140625" style="1" customWidth="1"/>
    <col min="7850" max="7850" width="27.28515625" style="1" customWidth="1"/>
    <col min="7851" max="7886" width="9.140625" style="1" customWidth="1"/>
    <col min="7887" max="8100" width="9.140625" style="1"/>
    <col min="8101" max="8101" width="18.7109375" style="1" customWidth="1"/>
    <col min="8102" max="8102" width="18.140625" style="1" customWidth="1"/>
    <col min="8103" max="8103" width="8.7109375" style="1" customWidth="1"/>
    <col min="8104" max="8104" width="9.140625" style="1"/>
    <col min="8105" max="8105" width="9.140625" style="1" customWidth="1"/>
    <col min="8106" max="8106" width="27.28515625" style="1" customWidth="1"/>
    <col min="8107" max="8142" width="9.140625" style="1" customWidth="1"/>
    <col min="8143" max="8356" width="9.140625" style="1"/>
    <col min="8357" max="8357" width="18.7109375" style="1" customWidth="1"/>
    <col min="8358" max="8358" width="18.140625" style="1" customWidth="1"/>
    <col min="8359" max="8359" width="8.7109375" style="1" customWidth="1"/>
    <col min="8360" max="8360" width="9.140625" style="1"/>
    <col min="8361" max="8361" width="9.140625" style="1" customWidth="1"/>
    <col min="8362" max="8362" width="27.28515625" style="1" customWidth="1"/>
    <col min="8363" max="8398" width="9.140625" style="1" customWidth="1"/>
    <col min="8399" max="8612" width="9.140625" style="1"/>
    <col min="8613" max="8613" width="18.7109375" style="1" customWidth="1"/>
    <col min="8614" max="8614" width="18.140625" style="1" customWidth="1"/>
    <col min="8615" max="8615" width="8.7109375" style="1" customWidth="1"/>
    <col min="8616" max="8616" width="9.140625" style="1"/>
    <col min="8617" max="8617" width="9.140625" style="1" customWidth="1"/>
    <col min="8618" max="8618" width="27.28515625" style="1" customWidth="1"/>
    <col min="8619" max="8654" width="9.140625" style="1" customWidth="1"/>
    <col min="8655" max="8868" width="9.140625" style="1"/>
    <col min="8869" max="8869" width="18.7109375" style="1" customWidth="1"/>
    <col min="8870" max="8870" width="18.140625" style="1" customWidth="1"/>
    <col min="8871" max="8871" width="8.7109375" style="1" customWidth="1"/>
    <col min="8872" max="8872" width="9.140625" style="1"/>
    <col min="8873" max="8873" width="9.140625" style="1" customWidth="1"/>
    <col min="8874" max="8874" width="27.28515625" style="1" customWidth="1"/>
    <col min="8875" max="8910" width="9.140625" style="1" customWidth="1"/>
    <col min="8911" max="9124" width="9.140625" style="1"/>
    <col min="9125" max="9125" width="18.7109375" style="1" customWidth="1"/>
    <col min="9126" max="9126" width="18.140625" style="1" customWidth="1"/>
    <col min="9127" max="9127" width="8.7109375" style="1" customWidth="1"/>
    <col min="9128" max="9128" width="9.140625" style="1"/>
    <col min="9129" max="9129" width="9.140625" style="1" customWidth="1"/>
    <col min="9130" max="9130" width="27.28515625" style="1" customWidth="1"/>
    <col min="9131" max="9166" width="9.140625" style="1" customWidth="1"/>
    <col min="9167" max="9380" width="9.140625" style="1"/>
    <col min="9381" max="9381" width="18.7109375" style="1" customWidth="1"/>
    <col min="9382" max="9382" width="18.140625" style="1" customWidth="1"/>
    <col min="9383" max="9383" width="8.7109375" style="1" customWidth="1"/>
    <col min="9384" max="9384" width="9.140625" style="1"/>
    <col min="9385" max="9385" width="9.140625" style="1" customWidth="1"/>
    <col min="9386" max="9386" width="27.28515625" style="1" customWidth="1"/>
    <col min="9387" max="9422" width="9.140625" style="1" customWidth="1"/>
    <col min="9423" max="9636" width="9.140625" style="1"/>
    <col min="9637" max="9637" width="18.7109375" style="1" customWidth="1"/>
    <col min="9638" max="9638" width="18.140625" style="1" customWidth="1"/>
    <col min="9639" max="9639" width="8.7109375" style="1" customWidth="1"/>
    <col min="9640" max="9640" width="9.140625" style="1"/>
    <col min="9641" max="9641" width="9.140625" style="1" customWidth="1"/>
    <col min="9642" max="9642" width="27.28515625" style="1" customWidth="1"/>
    <col min="9643" max="9678" width="9.140625" style="1" customWidth="1"/>
    <col min="9679" max="9892" width="9.140625" style="1"/>
    <col min="9893" max="9893" width="18.7109375" style="1" customWidth="1"/>
    <col min="9894" max="9894" width="18.140625" style="1" customWidth="1"/>
    <col min="9895" max="9895" width="8.7109375" style="1" customWidth="1"/>
    <col min="9896" max="9896" width="9.140625" style="1"/>
    <col min="9897" max="9897" width="9.140625" style="1" customWidth="1"/>
    <col min="9898" max="9898" width="27.28515625" style="1" customWidth="1"/>
    <col min="9899" max="9934" width="9.140625" style="1" customWidth="1"/>
    <col min="9935" max="10148" width="9.140625" style="1"/>
    <col min="10149" max="10149" width="18.7109375" style="1" customWidth="1"/>
    <col min="10150" max="10150" width="18.140625" style="1" customWidth="1"/>
    <col min="10151" max="10151" width="8.7109375" style="1" customWidth="1"/>
    <col min="10152" max="10152" width="9.140625" style="1"/>
    <col min="10153" max="10153" width="9.140625" style="1" customWidth="1"/>
    <col min="10154" max="10154" width="27.28515625" style="1" customWidth="1"/>
    <col min="10155" max="10190" width="9.140625" style="1" customWidth="1"/>
    <col min="10191" max="10404" width="9.140625" style="1"/>
    <col min="10405" max="10405" width="18.7109375" style="1" customWidth="1"/>
    <col min="10406" max="10406" width="18.140625" style="1" customWidth="1"/>
    <col min="10407" max="10407" width="8.7109375" style="1" customWidth="1"/>
    <col min="10408" max="10408" width="9.140625" style="1"/>
    <col min="10409" max="10409" width="9.140625" style="1" customWidth="1"/>
    <col min="10410" max="10410" width="27.28515625" style="1" customWidth="1"/>
    <col min="10411" max="10446" width="9.140625" style="1" customWidth="1"/>
    <col min="10447" max="10660" width="9.140625" style="1"/>
    <col min="10661" max="10661" width="18.7109375" style="1" customWidth="1"/>
    <col min="10662" max="10662" width="18.140625" style="1" customWidth="1"/>
    <col min="10663" max="10663" width="8.7109375" style="1" customWidth="1"/>
    <col min="10664" max="10664" width="9.140625" style="1"/>
    <col min="10665" max="10665" width="9.140625" style="1" customWidth="1"/>
    <col min="10666" max="10666" width="27.28515625" style="1" customWidth="1"/>
    <col min="10667" max="10702" width="9.140625" style="1" customWidth="1"/>
    <col min="10703" max="10916" width="9.140625" style="1"/>
    <col min="10917" max="10917" width="18.7109375" style="1" customWidth="1"/>
    <col min="10918" max="10918" width="18.140625" style="1" customWidth="1"/>
    <col min="10919" max="10919" width="8.7109375" style="1" customWidth="1"/>
    <col min="10920" max="10920" width="9.140625" style="1"/>
    <col min="10921" max="10921" width="9.140625" style="1" customWidth="1"/>
    <col min="10922" max="10922" width="27.28515625" style="1" customWidth="1"/>
    <col min="10923" max="10958" width="9.140625" style="1" customWidth="1"/>
    <col min="10959" max="11172" width="9.140625" style="1"/>
    <col min="11173" max="11173" width="18.7109375" style="1" customWidth="1"/>
    <col min="11174" max="11174" width="18.140625" style="1" customWidth="1"/>
    <col min="11175" max="11175" width="8.7109375" style="1" customWidth="1"/>
    <col min="11176" max="11176" width="9.140625" style="1"/>
    <col min="11177" max="11177" width="9.140625" style="1" customWidth="1"/>
    <col min="11178" max="11178" width="27.28515625" style="1" customWidth="1"/>
    <col min="11179" max="11214" width="9.140625" style="1" customWidth="1"/>
    <col min="11215" max="11428" width="9.140625" style="1"/>
    <col min="11429" max="11429" width="18.7109375" style="1" customWidth="1"/>
    <col min="11430" max="11430" width="18.140625" style="1" customWidth="1"/>
    <col min="11431" max="11431" width="8.7109375" style="1" customWidth="1"/>
    <col min="11432" max="11432" width="9.140625" style="1"/>
    <col min="11433" max="11433" width="9.140625" style="1" customWidth="1"/>
    <col min="11434" max="11434" width="27.28515625" style="1" customWidth="1"/>
    <col min="11435" max="11470" width="9.140625" style="1" customWidth="1"/>
    <col min="11471" max="11684" width="9.140625" style="1"/>
    <col min="11685" max="11685" width="18.7109375" style="1" customWidth="1"/>
    <col min="11686" max="11686" width="18.140625" style="1" customWidth="1"/>
    <col min="11687" max="11687" width="8.7109375" style="1" customWidth="1"/>
    <col min="11688" max="11688" width="9.140625" style="1"/>
    <col min="11689" max="11689" width="9.140625" style="1" customWidth="1"/>
    <col min="11690" max="11690" width="27.28515625" style="1" customWidth="1"/>
    <col min="11691" max="11726" width="9.140625" style="1" customWidth="1"/>
    <col min="11727" max="11940" width="9.140625" style="1"/>
    <col min="11941" max="11941" width="18.7109375" style="1" customWidth="1"/>
    <col min="11942" max="11942" width="18.140625" style="1" customWidth="1"/>
    <col min="11943" max="11943" width="8.7109375" style="1" customWidth="1"/>
    <col min="11944" max="11944" width="9.140625" style="1"/>
    <col min="11945" max="11945" width="9.140625" style="1" customWidth="1"/>
    <col min="11946" max="11946" width="27.28515625" style="1" customWidth="1"/>
    <col min="11947" max="11982" width="9.140625" style="1" customWidth="1"/>
    <col min="11983" max="12196" width="9.140625" style="1"/>
    <col min="12197" max="12197" width="18.7109375" style="1" customWidth="1"/>
    <col min="12198" max="12198" width="18.140625" style="1" customWidth="1"/>
    <col min="12199" max="12199" width="8.7109375" style="1" customWidth="1"/>
    <col min="12200" max="12200" width="9.140625" style="1"/>
    <col min="12201" max="12201" width="9.140625" style="1" customWidth="1"/>
    <col min="12202" max="12202" width="27.28515625" style="1" customWidth="1"/>
    <col min="12203" max="12238" width="9.140625" style="1" customWidth="1"/>
    <col min="12239" max="12452" width="9.140625" style="1"/>
    <col min="12453" max="12453" width="18.7109375" style="1" customWidth="1"/>
    <col min="12454" max="12454" width="18.140625" style="1" customWidth="1"/>
    <col min="12455" max="12455" width="8.7109375" style="1" customWidth="1"/>
    <col min="12456" max="12456" width="9.140625" style="1"/>
    <col min="12457" max="12457" width="9.140625" style="1" customWidth="1"/>
    <col min="12458" max="12458" width="27.28515625" style="1" customWidth="1"/>
    <col min="12459" max="12494" width="9.140625" style="1" customWidth="1"/>
    <col min="12495" max="12708" width="9.140625" style="1"/>
    <col min="12709" max="12709" width="18.7109375" style="1" customWidth="1"/>
    <col min="12710" max="12710" width="18.140625" style="1" customWidth="1"/>
    <col min="12711" max="12711" width="8.7109375" style="1" customWidth="1"/>
    <col min="12712" max="12712" width="9.140625" style="1"/>
    <col min="12713" max="12713" width="9.140625" style="1" customWidth="1"/>
    <col min="12714" max="12714" width="27.28515625" style="1" customWidth="1"/>
    <col min="12715" max="12750" width="9.140625" style="1" customWidth="1"/>
    <col min="12751" max="12964" width="9.140625" style="1"/>
    <col min="12965" max="12965" width="18.7109375" style="1" customWidth="1"/>
    <col min="12966" max="12966" width="18.140625" style="1" customWidth="1"/>
    <col min="12967" max="12967" width="8.7109375" style="1" customWidth="1"/>
    <col min="12968" max="12968" width="9.140625" style="1"/>
    <col min="12969" max="12969" width="9.140625" style="1" customWidth="1"/>
    <col min="12970" max="12970" width="27.28515625" style="1" customWidth="1"/>
    <col min="12971" max="13006" width="9.140625" style="1" customWidth="1"/>
    <col min="13007" max="13220" width="9.140625" style="1"/>
    <col min="13221" max="13221" width="18.7109375" style="1" customWidth="1"/>
    <col min="13222" max="13222" width="18.140625" style="1" customWidth="1"/>
    <col min="13223" max="13223" width="8.7109375" style="1" customWidth="1"/>
    <col min="13224" max="13224" width="9.140625" style="1"/>
    <col min="13225" max="13225" width="9.140625" style="1" customWidth="1"/>
    <col min="13226" max="13226" width="27.28515625" style="1" customWidth="1"/>
    <col min="13227" max="13262" width="9.140625" style="1" customWidth="1"/>
    <col min="13263" max="13476" width="9.140625" style="1"/>
    <col min="13477" max="13477" width="18.7109375" style="1" customWidth="1"/>
    <col min="13478" max="13478" width="18.140625" style="1" customWidth="1"/>
    <col min="13479" max="13479" width="8.7109375" style="1" customWidth="1"/>
    <col min="13480" max="13480" width="9.140625" style="1"/>
    <col min="13481" max="13481" width="9.140625" style="1" customWidth="1"/>
    <col min="13482" max="13482" width="27.28515625" style="1" customWidth="1"/>
    <col min="13483" max="13518" width="9.140625" style="1" customWidth="1"/>
    <col min="13519" max="13732" width="9.140625" style="1"/>
    <col min="13733" max="13733" width="18.7109375" style="1" customWidth="1"/>
    <col min="13734" max="13734" width="18.140625" style="1" customWidth="1"/>
    <col min="13735" max="13735" width="8.7109375" style="1" customWidth="1"/>
    <col min="13736" max="13736" width="9.140625" style="1"/>
    <col min="13737" max="13737" width="9.140625" style="1" customWidth="1"/>
    <col min="13738" max="13738" width="27.28515625" style="1" customWidth="1"/>
    <col min="13739" max="13774" width="9.140625" style="1" customWidth="1"/>
    <col min="13775" max="13988" width="9.140625" style="1"/>
    <col min="13989" max="13989" width="18.7109375" style="1" customWidth="1"/>
    <col min="13990" max="13990" width="18.140625" style="1" customWidth="1"/>
    <col min="13991" max="13991" width="8.7109375" style="1" customWidth="1"/>
    <col min="13992" max="13992" width="9.140625" style="1"/>
    <col min="13993" max="13993" width="9.140625" style="1" customWidth="1"/>
    <col min="13994" max="13994" width="27.28515625" style="1" customWidth="1"/>
    <col min="13995" max="14030" width="9.140625" style="1" customWidth="1"/>
    <col min="14031" max="14244" width="9.140625" style="1"/>
    <col min="14245" max="14245" width="18.7109375" style="1" customWidth="1"/>
    <col min="14246" max="14246" width="18.140625" style="1" customWidth="1"/>
    <col min="14247" max="14247" width="8.7109375" style="1" customWidth="1"/>
    <col min="14248" max="14248" width="9.140625" style="1"/>
    <col min="14249" max="14249" width="9.140625" style="1" customWidth="1"/>
    <col min="14250" max="14250" width="27.28515625" style="1" customWidth="1"/>
    <col min="14251" max="14286" width="9.140625" style="1" customWidth="1"/>
    <col min="14287" max="14500" width="9.140625" style="1"/>
    <col min="14501" max="14501" width="18.7109375" style="1" customWidth="1"/>
    <col min="14502" max="14502" width="18.140625" style="1" customWidth="1"/>
    <col min="14503" max="14503" width="8.7109375" style="1" customWidth="1"/>
    <col min="14504" max="14504" width="9.140625" style="1"/>
    <col min="14505" max="14505" width="9.140625" style="1" customWidth="1"/>
    <col min="14506" max="14506" width="27.28515625" style="1" customWidth="1"/>
    <col min="14507" max="14542" width="9.140625" style="1" customWidth="1"/>
    <col min="14543" max="14756" width="9.140625" style="1"/>
    <col min="14757" max="14757" width="18.7109375" style="1" customWidth="1"/>
    <col min="14758" max="14758" width="18.140625" style="1" customWidth="1"/>
    <col min="14759" max="14759" width="8.7109375" style="1" customWidth="1"/>
    <col min="14760" max="14760" width="9.140625" style="1"/>
    <col min="14761" max="14761" width="9.140625" style="1" customWidth="1"/>
    <col min="14762" max="14762" width="27.28515625" style="1" customWidth="1"/>
    <col min="14763" max="14798" width="9.140625" style="1" customWidth="1"/>
    <col min="14799" max="15012" width="9.140625" style="1"/>
    <col min="15013" max="15013" width="18.7109375" style="1" customWidth="1"/>
    <col min="15014" max="15014" width="18.140625" style="1" customWidth="1"/>
    <col min="15015" max="15015" width="8.7109375" style="1" customWidth="1"/>
    <col min="15016" max="15016" width="9.140625" style="1"/>
    <col min="15017" max="15017" width="9.140625" style="1" customWidth="1"/>
    <col min="15018" max="15018" width="27.28515625" style="1" customWidth="1"/>
    <col min="15019" max="15054" width="9.140625" style="1" customWidth="1"/>
    <col min="15055" max="15268" width="9.140625" style="1"/>
    <col min="15269" max="15269" width="18.7109375" style="1" customWidth="1"/>
    <col min="15270" max="15270" width="18.140625" style="1" customWidth="1"/>
    <col min="15271" max="15271" width="8.7109375" style="1" customWidth="1"/>
    <col min="15272" max="15272" width="9.140625" style="1"/>
    <col min="15273" max="15273" width="9.140625" style="1" customWidth="1"/>
    <col min="15274" max="15274" width="27.28515625" style="1" customWidth="1"/>
    <col min="15275" max="15310" width="9.140625" style="1" customWidth="1"/>
    <col min="15311" max="15524" width="9.140625" style="1"/>
    <col min="15525" max="15525" width="18.7109375" style="1" customWidth="1"/>
    <col min="15526" max="15526" width="18.140625" style="1" customWidth="1"/>
    <col min="15527" max="15527" width="8.7109375" style="1" customWidth="1"/>
    <col min="15528" max="15528" width="9.140625" style="1"/>
    <col min="15529" max="15529" width="9.140625" style="1" customWidth="1"/>
    <col min="15530" max="15530" width="27.28515625" style="1" customWidth="1"/>
    <col min="15531" max="15566" width="9.140625" style="1" customWidth="1"/>
    <col min="15567" max="15780" width="9.140625" style="1"/>
    <col min="15781" max="15781" width="18.7109375" style="1" customWidth="1"/>
    <col min="15782" max="15782" width="18.140625" style="1" customWidth="1"/>
    <col min="15783" max="15783" width="8.7109375" style="1" customWidth="1"/>
    <col min="15784" max="15784" width="9.140625" style="1"/>
    <col min="15785" max="15785" width="9.140625" style="1" customWidth="1"/>
    <col min="15786" max="15786" width="27.28515625" style="1" customWidth="1"/>
    <col min="15787" max="15822" width="9.140625" style="1" customWidth="1"/>
    <col min="15823" max="16036" width="9.140625" style="1"/>
    <col min="16037" max="16037" width="18.7109375" style="1" customWidth="1"/>
    <col min="16038" max="16038" width="18.140625" style="1" customWidth="1"/>
    <col min="16039" max="16039" width="8.7109375" style="1" customWidth="1"/>
    <col min="16040" max="16040" width="9.140625" style="1"/>
    <col min="16041" max="16041" width="9.140625" style="1" customWidth="1"/>
    <col min="16042" max="16042" width="27.28515625" style="1" customWidth="1"/>
    <col min="16043" max="16078" width="9.140625" style="1" customWidth="1"/>
    <col min="16079" max="16384" width="9.140625" style="1"/>
  </cols>
  <sheetData>
    <row r="1" spans="1:8" s="2" customFormat="1" ht="21" x14ac:dyDescent="0.25">
      <c r="A1" s="17" t="str">
        <f>"Итоговая классификация "&amp;название</f>
        <v>Итоговая классификация Ралли "Смоленск - 2019"</v>
      </c>
      <c r="B1" s="16"/>
      <c r="C1" s="15"/>
      <c r="D1" s="15"/>
      <c r="E1" s="15"/>
      <c r="F1" s="15"/>
    </row>
    <row r="2" spans="1:8" s="2" customFormat="1" ht="21" x14ac:dyDescent="0.25">
      <c r="A2" s="17" t="s">
        <v>728</v>
      </c>
      <c r="B2" s="16"/>
      <c r="C2" s="15"/>
      <c r="D2" s="15"/>
      <c r="E2" s="15"/>
      <c r="F2" s="15"/>
    </row>
    <row r="3" spans="1:8" s="2" customFormat="1" ht="21" x14ac:dyDescent="0.25">
      <c r="A3" s="309" t="str">
        <f>датаРалли</f>
        <v>21 сентября 2019 г.</v>
      </c>
      <c r="B3" s="16"/>
      <c r="C3" s="15"/>
      <c r="D3" s="15"/>
      <c r="E3" s="15"/>
      <c r="F3" s="15"/>
    </row>
    <row r="4" spans="1:8" s="2" customFormat="1" ht="3" customHeight="1" x14ac:dyDescent="0.25"/>
    <row r="5" spans="1:8" ht="15.75" x14ac:dyDescent="0.25">
      <c r="A5" s="310" t="str">
        <f>"Зачет Модерн-ПРО, стартовало " &amp; итоговыеЛайт610[[#Totals],[Старт. номер]] &amp; ", финишировало " &amp; итоговыеЛайт610[[#Totals],[Старт. номер]]-итоговыеЛайт610[[#Totals],[Пенализация, итого]]</f>
        <v>Зачет Модерн-ПРО, стартовало 4, финишировало 4</v>
      </c>
    </row>
    <row r="6" spans="1:8" s="2" customFormat="1" ht="3" customHeight="1" x14ac:dyDescent="0.25"/>
    <row r="7" spans="1:8" hidden="1" x14ac:dyDescent="0.25"/>
    <row r="8" spans="1:8" hidden="1" x14ac:dyDescent="0.25"/>
    <row r="9" spans="1:8" hidden="1" x14ac:dyDescent="0.25">
      <c r="A9" s="605"/>
      <c r="B9" s="605"/>
      <c r="C9" s="605"/>
      <c r="D9" s="605"/>
      <c r="E9" s="605"/>
      <c r="F9" s="605"/>
    </row>
    <row r="10" spans="1:8" ht="38.25" x14ac:dyDescent="0.25">
      <c r="A10" s="174" t="s">
        <v>347</v>
      </c>
      <c r="B10" s="175" t="s">
        <v>9</v>
      </c>
      <c r="C10" s="175" t="s">
        <v>125</v>
      </c>
      <c r="D10" s="175" t="s">
        <v>126</v>
      </c>
      <c r="E10" s="175" t="s">
        <v>37</v>
      </c>
      <c r="F10" s="175" t="s">
        <v>346</v>
      </c>
    </row>
    <row r="11" spans="1:8" x14ac:dyDescent="0.25">
      <c r="A11" s="177">
        <v>1</v>
      </c>
      <c r="B11" s="178">
        <v>24</v>
      </c>
      <c r="C11" s="179" t="s">
        <v>668</v>
      </c>
      <c r="D11" s="179" t="s">
        <v>670</v>
      </c>
      <c r="E11" s="179" t="s">
        <v>725</v>
      </c>
      <c r="F11" s="315">
        <v>108.9</v>
      </c>
    </row>
    <row r="12" spans="1:8" x14ac:dyDescent="0.25">
      <c r="A12" s="177">
        <f>1+A11</f>
        <v>2</v>
      </c>
      <c r="B12" s="178">
        <v>20</v>
      </c>
      <c r="C12" s="179" t="s">
        <v>570</v>
      </c>
      <c r="D12" s="179" t="s">
        <v>580</v>
      </c>
      <c r="E12" s="179" t="s">
        <v>579</v>
      </c>
      <c r="F12" s="315">
        <v>297.89999999999998</v>
      </c>
      <c r="H12" s="1" t="s">
        <v>349</v>
      </c>
    </row>
    <row r="13" spans="1:8" x14ac:dyDescent="0.25">
      <c r="A13" s="177">
        <f t="shared" ref="A13:A19" si="0">1+A12</f>
        <v>3</v>
      </c>
      <c r="B13" s="178">
        <v>19</v>
      </c>
      <c r="C13" s="179" t="s">
        <v>222</v>
      </c>
      <c r="D13" s="179" t="s">
        <v>28</v>
      </c>
      <c r="E13" s="179" t="s">
        <v>6</v>
      </c>
      <c r="F13" s="315">
        <v>1176.9000000000001</v>
      </c>
    </row>
    <row r="14" spans="1:8" x14ac:dyDescent="0.25">
      <c r="A14" s="177">
        <f t="shared" si="0"/>
        <v>4</v>
      </c>
      <c r="B14" s="178">
        <v>22</v>
      </c>
      <c r="C14" s="179" t="s">
        <v>658</v>
      </c>
      <c r="D14" s="179" t="s">
        <v>661</v>
      </c>
      <c r="E14" s="179" t="s">
        <v>660</v>
      </c>
      <c r="F14" s="315">
        <v>2610.3000000000002</v>
      </c>
    </row>
    <row r="15" spans="1:8" hidden="1" x14ac:dyDescent="0.25">
      <c r="A15" s="177">
        <f t="shared" si="0"/>
        <v>5</v>
      </c>
      <c r="B15" s="178"/>
      <c r="C15" s="179"/>
      <c r="D15" s="179"/>
      <c r="E15" s="179"/>
      <c r="F15" s="315"/>
    </row>
    <row r="16" spans="1:8" hidden="1" x14ac:dyDescent="0.25">
      <c r="A16" s="177">
        <f t="shared" si="0"/>
        <v>6</v>
      </c>
      <c r="B16" s="178"/>
      <c r="C16" s="179"/>
      <c r="D16" s="179"/>
      <c r="E16" s="179"/>
      <c r="F16" s="315"/>
    </row>
    <row r="17" spans="1:7" hidden="1" x14ac:dyDescent="0.25">
      <c r="A17" s="177">
        <f t="shared" si="0"/>
        <v>7</v>
      </c>
      <c r="B17" s="178"/>
      <c r="C17" s="179"/>
      <c r="D17" s="179"/>
      <c r="E17" s="179"/>
      <c r="F17" s="315"/>
    </row>
    <row r="18" spans="1:7" hidden="1" x14ac:dyDescent="0.25">
      <c r="A18" s="177">
        <f t="shared" si="0"/>
        <v>8</v>
      </c>
      <c r="B18" s="178"/>
      <c r="C18" s="179"/>
      <c r="D18" s="179"/>
      <c r="E18" s="179"/>
      <c r="F18" s="315"/>
    </row>
    <row r="19" spans="1:7" hidden="1" x14ac:dyDescent="0.25">
      <c r="A19" s="177">
        <f t="shared" si="0"/>
        <v>9</v>
      </c>
      <c r="B19" s="178"/>
      <c r="C19" s="179"/>
      <c r="D19" s="179"/>
      <c r="E19" s="179"/>
      <c r="F19" s="315"/>
    </row>
    <row r="20" spans="1:7" hidden="1" x14ac:dyDescent="0.25">
      <c r="A20" s="313"/>
      <c r="B20" s="180">
        <f>SUBTOTAL(103,итоговыеЛайт610[Старт. номер])</f>
        <v>4</v>
      </c>
      <c r="C20" s="314" t="s">
        <v>350</v>
      </c>
      <c r="D20" s="179"/>
      <c r="E20" s="312" t="s">
        <v>348</v>
      </c>
      <c r="F20" s="180">
        <f>COUNTIF(итоговыеЛайт610[Пенализация, итого],"DNF")</f>
        <v>0</v>
      </c>
    </row>
    <row r="22" spans="1:7" ht="15.75" hidden="1" x14ac:dyDescent="0.25">
      <c r="B22" s="316" t="s">
        <v>297</v>
      </c>
      <c r="C22" s="2"/>
      <c r="D22" s="2" t="s">
        <v>298</v>
      </c>
      <c r="E22" s="2" t="s">
        <v>298</v>
      </c>
      <c r="F22" s="2"/>
      <c r="G22" s="2"/>
    </row>
    <row r="23" spans="1:7" hidden="1" x14ac:dyDescent="0.25">
      <c r="B23" s="44"/>
      <c r="C23" s="2"/>
      <c r="D23" s="187" t="s">
        <v>299</v>
      </c>
      <c r="E23" s="187" t="s">
        <v>300</v>
      </c>
      <c r="F23" s="2"/>
      <c r="G23" s="2"/>
    </row>
    <row r="24" spans="1:7" ht="15.75" hidden="1" x14ac:dyDescent="0.25">
      <c r="B24" s="316" t="s">
        <v>301</v>
      </c>
      <c r="C24" s="2"/>
      <c r="D24" s="2" t="s">
        <v>298</v>
      </c>
      <c r="E24" s="2" t="s">
        <v>298</v>
      </c>
      <c r="F24" s="2"/>
      <c r="G24" s="2"/>
    </row>
    <row r="25" spans="1:7" hidden="1" x14ac:dyDescent="0.25">
      <c r="B25" s="44"/>
      <c r="C25" s="2"/>
      <c r="D25" s="187" t="s">
        <v>299</v>
      </c>
      <c r="E25" s="187" t="s">
        <v>300</v>
      </c>
      <c r="F25" s="2"/>
      <c r="G25" s="2"/>
    </row>
    <row r="26" spans="1:7" ht="15.75" x14ac:dyDescent="0.25">
      <c r="B26" s="316" t="s">
        <v>301</v>
      </c>
      <c r="C26" s="2"/>
      <c r="D26" s="2" t="s">
        <v>298</v>
      </c>
      <c r="E26" s="2" t="s">
        <v>298</v>
      </c>
      <c r="F26" s="2"/>
      <c r="G26" s="2"/>
    </row>
    <row r="27" spans="1:7" x14ac:dyDescent="0.25">
      <c r="B27" s="44"/>
      <c r="C27" s="2"/>
      <c r="D27" s="187" t="s">
        <v>299</v>
      </c>
      <c r="E27" s="187" t="s">
        <v>300</v>
      </c>
      <c r="F27" s="2"/>
      <c r="G27" s="2"/>
    </row>
    <row r="28" spans="1:7" ht="15.75" x14ac:dyDescent="0.25">
      <c r="B28" s="316" t="s">
        <v>302</v>
      </c>
      <c r="C28" s="2"/>
      <c r="D28" s="2" t="s">
        <v>298</v>
      </c>
      <c r="E28" s="2" t="s">
        <v>298</v>
      </c>
      <c r="F28" s="2"/>
      <c r="G28" s="2"/>
    </row>
    <row r="29" spans="1:7" x14ac:dyDescent="0.25">
      <c r="B29" s="44"/>
      <c r="C29" s="2"/>
      <c r="D29" s="187" t="s">
        <v>299</v>
      </c>
      <c r="E29" s="187" t="s">
        <v>300</v>
      </c>
      <c r="F29" s="2"/>
      <c r="G29" s="2"/>
    </row>
    <row r="30" spans="1:7" ht="15.75" x14ac:dyDescent="0.25">
      <c r="B30" s="316" t="s">
        <v>303</v>
      </c>
      <c r="C30" s="2"/>
      <c r="D30" s="2" t="s">
        <v>298</v>
      </c>
      <c r="E30" s="2" t="s">
        <v>298</v>
      </c>
      <c r="F30" s="2"/>
      <c r="G30" s="2"/>
    </row>
    <row r="31" spans="1:7" x14ac:dyDescent="0.25">
      <c r="B31" s="44"/>
      <c r="C31" s="2"/>
      <c r="D31" s="187" t="s">
        <v>299</v>
      </c>
      <c r="E31" s="187" t="s">
        <v>300</v>
      </c>
      <c r="F31" s="2"/>
      <c r="G31" s="2"/>
    </row>
    <row r="32" spans="1:7" x14ac:dyDescent="0.25">
      <c r="B32" s="44"/>
      <c r="C32" s="2"/>
      <c r="D32" s="187"/>
      <c r="E32" s="187"/>
      <c r="F32" s="2"/>
      <c r="G32" s="2"/>
    </row>
    <row r="33" spans="1:7" x14ac:dyDescent="0.25">
      <c r="B33" s="44"/>
      <c r="C33" s="2"/>
      <c r="D33" s="187"/>
      <c r="E33" s="187"/>
      <c r="F33" s="2"/>
      <c r="G33" s="2"/>
    </row>
    <row r="34" spans="1:7" x14ac:dyDescent="0.25">
      <c r="B34" s="44"/>
      <c r="C34" s="2"/>
      <c r="D34" s="187"/>
      <c r="E34" s="187"/>
      <c r="F34" s="2"/>
      <c r="G34" s="2"/>
    </row>
    <row r="35" spans="1:7" x14ac:dyDescent="0.25">
      <c r="B35" s="44"/>
      <c r="C35" s="2"/>
      <c r="D35" s="187"/>
      <c r="E35" s="187"/>
      <c r="F35" s="2"/>
      <c r="G35" s="2"/>
    </row>
    <row r="36" spans="1:7" s="2" customFormat="1" ht="21" x14ac:dyDescent="0.25">
      <c r="A36" s="17" t="str">
        <f>"Итоговая классификация "&amp;название</f>
        <v>Итоговая классификация Ралли "Смоленск - 2019"</v>
      </c>
      <c r="B36" s="16"/>
      <c r="C36" s="15"/>
      <c r="D36" s="15"/>
      <c r="E36" s="15"/>
      <c r="F36" s="15"/>
    </row>
    <row r="37" spans="1:7" s="2" customFormat="1" ht="21" x14ac:dyDescent="0.25">
      <c r="A37" s="17" t="s">
        <v>728</v>
      </c>
      <c r="B37" s="16"/>
      <c r="C37" s="15"/>
      <c r="D37" s="15"/>
      <c r="E37" s="15"/>
      <c r="F37" s="15"/>
    </row>
    <row r="38" spans="1:7" s="2" customFormat="1" ht="21" x14ac:dyDescent="0.25">
      <c r="A38" s="309" t="str">
        <f>датаРалли</f>
        <v>21 сентября 2019 г.</v>
      </c>
      <c r="B38" s="16"/>
      <c r="C38" s="15"/>
      <c r="D38" s="15"/>
      <c r="E38" s="15"/>
      <c r="F38" s="15"/>
    </row>
    <row r="39" spans="1:7" s="2" customFormat="1" ht="3" customHeight="1" x14ac:dyDescent="0.25"/>
    <row r="40" spans="1:7" ht="15.75" x14ac:dyDescent="0.25">
      <c r="A40" s="310" t="str">
        <f>"Зачет Ретро-Про, стартовало " &amp; итоговыеПро911[[#Totals],[Старт. номер]] &amp; ", финишировало " &amp; итоговыеПро911[[#Totals],[Старт. номер]]-итоговыеПро911[[#Totals],[Пенализация, итого]]</f>
        <v>Зачет Ретро-Про, стартовало 7, финишировало 7</v>
      </c>
    </row>
    <row r="41" spans="1:7" s="2" customFormat="1" ht="3" customHeight="1" x14ac:dyDescent="0.25"/>
    <row r="42" spans="1:7" hidden="1" x14ac:dyDescent="0.25">
      <c r="A42" s="605"/>
      <c r="B42" s="605"/>
      <c r="C42" s="605"/>
      <c r="D42" s="605"/>
      <c r="E42" s="605"/>
      <c r="F42" s="605"/>
    </row>
    <row r="43" spans="1:7" hidden="1" x14ac:dyDescent="0.25"/>
    <row r="44" spans="1:7" hidden="1" x14ac:dyDescent="0.25"/>
    <row r="45" spans="1:7" ht="38.25" x14ac:dyDescent="0.25">
      <c r="A45" s="174" t="s">
        <v>347</v>
      </c>
      <c r="B45" s="175" t="s">
        <v>9</v>
      </c>
      <c r="C45" s="175" t="s">
        <v>125</v>
      </c>
      <c r="D45" s="175" t="s">
        <v>126</v>
      </c>
      <c r="E45" s="175" t="s">
        <v>37</v>
      </c>
      <c r="F45" s="175" t="s">
        <v>346</v>
      </c>
    </row>
    <row r="46" spans="1:7" x14ac:dyDescent="0.25">
      <c r="A46" s="177">
        <v>1</v>
      </c>
      <c r="B46" s="178">
        <v>5</v>
      </c>
      <c r="C46" s="179" t="s">
        <v>573</v>
      </c>
      <c r="D46" s="179" t="s">
        <v>585</v>
      </c>
      <c r="E46" s="179" t="s">
        <v>721</v>
      </c>
      <c r="F46" s="315">
        <v>124.5</v>
      </c>
    </row>
    <row r="47" spans="1:7" x14ac:dyDescent="0.25">
      <c r="A47" s="177">
        <f>1+A46</f>
        <v>2</v>
      </c>
      <c r="B47" s="178">
        <v>1</v>
      </c>
      <c r="C47" s="179" t="s">
        <v>568</v>
      </c>
      <c r="D47" s="179" t="s">
        <v>577</v>
      </c>
      <c r="E47" s="179" t="s">
        <v>208</v>
      </c>
      <c r="F47" s="315">
        <v>577.5</v>
      </c>
    </row>
    <row r="48" spans="1:7" x14ac:dyDescent="0.25">
      <c r="A48" s="177">
        <f t="shared" ref="A48:A105" si="1">1+A47</f>
        <v>3</v>
      </c>
      <c r="B48" s="178">
        <v>7</v>
      </c>
      <c r="C48" s="179" t="s">
        <v>575</v>
      </c>
      <c r="D48" s="179" t="s">
        <v>587</v>
      </c>
      <c r="E48" s="179" t="s">
        <v>722</v>
      </c>
      <c r="F48" s="315">
        <v>862.3</v>
      </c>
    </row>
    <row r="49" spans="1:6" x14ac:dyDescent="0.25">
      <c r="A49" s="177">
        <f t="shared" si="1"/>
        <v>4</v>
      </c>
      <c r="B49" s="178">
        <v>6</v>
      </c>
      <c r="C49" s="179" t="s">
        <v>574</v>
      </c>
      <c r="D49" s="179" t="s">
        <v>586</v>
      </c>
      <c r="E49" s="179" t="s">
        <v>208</v>
      </c>
      <c r="F49" s="315">
        <v>2525.1</v>
      </c>
    </row>
    <row r="50" spans="1:6" x14ac:dyDescent="0.25">
      <c r="A50" s="177">
        <f t="shared" si="1"/>
        <v>5</v>
      </c>
      <c r="B50" s="178">
        <v>4</v>
      </c>
      <c r="C50" s="179" t="s">
        <v>571</v>
      </c>
      <c r="D50" s="179" t="s">
        <v>581</v>
      </c>
      <c r="E50" s="179" t="s">
        <v>208</v>
      </c>
      <c r="F50" s="315">
        <v>2549.1</v>
      </c>
    </row>
    <row r="51" spans="1:6" x14ac:dyDescent="0.25">
      <c r="A51" s="177">
        <f t="shared" si="1"/>
        <v>6</v>
      </c>
      <c r="B51" s="178">
        <v>3</v>
      </c>
      <c r="C51" s="179" t="s">
        <v>210</v>
      </c>
      <c r="D51" s="179" t="s">
        <v>212</v>
      </c>
      <c r="E51" s="179" t="s">
        <v>720</v>
      </c>
      <c r="F51" s="315">
        <v>3986.8</v>
      </c>
    </row>
    <row r="52" spans="1:6" x14ac:dyDescent="0.25">
      <c r="A52" s="177">
        <f t="shared" si="1"/>
        <v>7</v>
      </c>
      <c r="B52" s="178">
        <v>2</v>
      </c>
      <c r="C52" s="179" t="s">
        <v>569</v>
      </c>
      <c r="D52" s="179" t="s">
        <v>578</v>
      </c>
      <c r="E52" s="179" t="s">
        <v>6</v>
      </c>
      <c r="F52" s="315">
        <v>6999</v>
      </c>
    </row>
    <row r="53" spans="1:6" hidden="1" x14ac:dyDescent="0.25">
      <c r="A53" s="177">
        <f t="shared" si="1"/>
        <v>8</v>
      </c>
      <c r="B53" s="178">
        <v>2</v>
      </c>
      <c r="C53" s="179" t="s">
        <v>569</v>
      </c>
      <c r="D53" s="179" t="s">
        <v>578</v>
      </c>
      <c r="E53" s="179" t="s">
        <v>6</v>
      </c>
      <c r="F53" s="315">
        <v>6999</v>
      </c>
    </row>
    <row r="54" spans="1:6" hidden="1" x14ac:dyDescent="0.25">
      <c r="A54" s="177">
        <f t="shared" si="1"/>
        <v>9</v>
      </c>
      <c r="B54" s="178"/>
      <c r="C54" s="179"/>
      <c r="D54" s="179"/>
      <c r="E54" s="179"/>
      <c r="F54" s="315"/>
    </row>
    <row r="55" spans="1:6" hidden="1" x14ac:dyDescent="0.25">
      <c r="A55" s="177">
        <f t="shared" si="1"/>
        <v>10</v>
      </c>
      <c r="B55" s="178"/>
      <c r="C55" s="179"/>
      <c r="D55" s="179"/>
      <c r="E55" s="179"/>
      <c r="F55" s="315"/>
    </row>
    <row r="56" spans="1:6" hidden="1" x14ac:dyDescent="0.25">
      <c r="A56" s="177">
        <f t="shared" si="1"/>
        <v>11</v>
      </c>
      <c r="B56" s="178"/>
      <c r="C56" s="179"/>
      <c r="D56" s="179"/>
      <c r="E56" s="179"/>
      <c r="F56" s="315"/>
    </row>
    <row r="57" spans="1:6" hidden="1" x14ac:dyDescent="0.25">
      <c r="A57" s="177">
        <f t="shared" si="1"/>
        <v>12</v>
      </c>
      <c r="B57" s="178"/>
      <c r="C57" s="179"/>
      <c r="D57" s="179"/>
      <c r="E57" s="179"/>
      <c r="F57" s="315"/>
    </row>
    <row r="58" spans="1:6" hidden="1" x14ac:dyDescent="0.25">
      <c r="A58" s="177">
        <f t="shared" si="1"/>
        <v>13</v>
      </c>
      <c r="B58" s="178"/>
      <c r="C58" s="179"/>
      <c r="D58" s="179"/>
      <c r="E58" s="179"/>
      <c r="F58" s="315"/>
    </row>
    <row r="59" spans="1:6" hidden="1" x14ac:dyDescent="0.25">
      <c r="A59" s="177">
        <f t="shared" si="1"/>
        <v>14</v>
      </c>
      <c r="B59" s="178"/>
      <c r="C59" s="179"/>
      <c r="D59" s="179"/>
      <c r="E59" s="179"/>
      <c r="F59" s="315"/>
    </row>
    <row r="60" spans="1:6" hidden="1" x14ac:dyDescent="0.25">
      <c r="A60" s="177">
        <f t="shared" si="1"/>
        <v>15</v>
      </c>
      <c r="B60" s="178"/>
      <c r="C60" s="179"/>
      <c r="D60" s="179"/>
      <c r="E60" s="179"/>
      <c r="F60" s="315"/>
    </row>
    <row r="61" spans="1:6" hidden="1" x14ac:dyDescent="0.25">
      <c r="A61" s="177">
        <f t="shared" si="1"/>
        <v>16</v>
      </c>
      <c r="B61" s="178"/>
      <c r="C61" s="179"/>
      <c r="D61" s="179"/>
      <c r="E61" s="179"/>
      <c r="F61" s="315"/>
    </row>
    <row r="62" spans="1:6" hidden="1" x14ac:dyDescent="0.25">
      <c r="A62" s="177">
        <f t="shared" si="1"/>
        <v>17</v>
      </c>
      <c r="B62" s="178"/>
      <c r="C62" s="179"/>
      <c r="D62" s="179"/>
      <c r="E62" s="179"/>
      <c r="F62" s="315"/>
    </row>
    <row r="63" spans="1:6" hidden="1" x14ac:dyDescent="0.25">
      <c r="A63" s="177">
        <f t="shared" si="1"/>
        <v>18</v>
      </c>
      <c r="B63" s="178"/>
      <c r="C63" s="179"/>
      <c r="D63" s="179"/>
      <c r="E63" s="179"/>
      <c r="F63" s="315"/>
    </row>
    <row r="64" spans="1:6" hidden="1" x14ac:dyDescent="0.25">
      <c r="A64" s="177">
        <f t="shared" si="1"/>
        <v>19</v>
      </c>
      <c r="B64" s="178"/>
      <c r="C64" s="179"/>
      <c r="D64" s="179"/>
      <c r="E64" s="179"/>
      <c r="F64" s="315"/>
    </row>
    <row r="65" spans="1:6" hidden="1" x14ac:dyDescent="0.25">
      <c r="A65" s="177">
        <f t="shared" si="1"/>
        <v>20</v>
      </c>
      <c r="B65" s="178"/>
      <c r="C65" s="179"/>
      <c r="D65" s="179"/>
      <c r="E65" s="179"/>
      <c r="F65" s="315"/>
    </row>
    <row r="66" spans="1:6" hidden="1" x14ac:dyDescent="0.25">
      <c r="A66" s="177">
        <f t="shared" si="1"/>
        <v>21</v>
      </c>
      <c r="B66" s="178"/>
      <c r="C66" s="179"/>
      <c r="D66" s="179"/>
      <c r="E66" s="179"/>
      <c r="F66" s="315"/>
    </row>
    <row r="67" spans="1:6" hidden="1" x14ac:dyDescent="0.25">
      <c r="A67" s="177">
        <f t="shared" si="1"/>
        <v>22</v>
      </c>
      <c r="B67" s="178"/>
      <c r="C67" s="179"/>
      <c r="D67" s="179"/>
      <c r="E67" s="179"/>
      <c r="F67" s="315"/>
    </row>
    <row r="68" spans="1:6" hidden="1" x14ac:dyDescent="0.25">
      <c r="A68" s="177">
        <f t="shared" si="1"/>
        <v>23</v>
      </c>
      <c r="B68" s="178"/>
      <c r="C68" s="179"/>
      <c r="D68" s="179"/>
      <c r="E68" s="179"/>
      <c r="F68" s="315"/>
    </row>
    <row r="69" spans="1:6" hidden="1" x14ac:dyDescent="0.25">
      <c r="A69" s="177">
        <f t="shared" si="1"/>
        <v>24</v>
      </c>
      <c r="B69" s="178"/>
      <c r="C69" s="179"/>
      <c r="D69" s="179"/>
      <c r="E69" s="179"/>
      <c r="F69" s="315"/>
    </row>
    <row r="70" spans="1:6" hidden="1" x14ac:dyDescent="0.25">
      <c r="A70" s="177">
        <f t="shared" si="1"/>
        <v>25</v>
      </c>
      <c r="B70" s="178"/>
      <c r="C70" s="179"/>
      <c r="D70" s="179"/>
      <c r="E70" s="179"/>
      <c r="F70" s="315"/>
    </row>
    <row r="71" spans="1:6" hidden="1" x14ac:dyDescent="0.25">
      <c r="A71" s="177">
        <f t="shared" si="1"/>
        <v>26</v>
      </c>
      <c r="B71" s="178"/>
      <c r="C71" s="179"/>
      <c r="D71" s="179"/>
      <c r="E71" s="179"/>
      <c r="F71" s="315"/>
    </row>
    <row r="72" spans="1:6" hidden="1" x14ac:dyDescent="0.25">
      <c r="A72" s="177">
        <f t="shared" si="1"/>
        <v>27</v>
      </c>
      <c r="B72" s="178"/>
      <c r="C72" s="179"/>
      <c r="D72" s="179"/>
      <c r="E72" s="179"/>
      <c r="F72" s="315"/>
    </row>
    <row r="73" spans="1:6" hidden="1" x14ac:dyDescent="0.25">
      <c r="A73" s="177">
        <f t="shared" si="1"/>
        <v>28</v>
      </c>
      <c r="B73" s="178"/>
      <c r="C73" s="179"/>
      <c r="D73" s="179"/>
      <c r="E73" s="179"/>
      <c r="F73" s="315"/>
    </row>
    <row r="74" spans="1:6" hidden="1" x14ac:dyDescent="0.25">
      <c r="A74" s="177">
        <f t="shared" si="1"/>
        <v>29</v>
      </c>
      <c r="B74" s="178"/>
      <c r="C74" s="179"/>
      <c r="D74" s="179"/>
      <c r="E74" s="179"/>
      <c r="F74" s="315"/>
    </row>
    <row r="75" spans="1:6" hidden="1" x14ac:dyDescent="0.25">
      <c r="A75" s="177">
        <f t="shared" si="1"/>
        <v>30</v>
      </c>
      <c r="B75" s="178"/>
      <c r="C75" s="179"/>
      <c r="D75" s="179"/>
      <c r="E75" s="179"/>
      <c r="F75" s="315"/>
    </row>
    <row r="76" spans="1:6" hidden="1" x14ac:dyDescent="0.25">
      <c r="A76" s="177">
        <f t="shared" si="1"/>
        <v>31</v>
      </c>
      <c r="B76" s="178"/>
      <c r="C76" s="179"/>
      <c r="D76" s="179"/>
      <c r="E76" s="179"/>
      <c r="F76" s="315"/>
    </row>
    <row r="77" spans="1:6" hidden="1" x14ac:dyDescent="0.25">
      <c r="A77" s="177">
        <f t="shared" si="1"/>
        <v>32</v>
      </c>
      <c r="B77" s="178"/>
      <c r="C77" s="179"/>
      <c r="D77" s="179"/>
      <c r="E77" s="179"/>
      <c r="F77" s="315"/>
    </row>
    <row r="78" spans="1:6" hidden="1" x14ac:dyDescent="0.25">
      <c r="A78" s="177">
        <f t="shared" si="1"/>
        <v>33</v>
      </c>
      <c r="B78" s="178"/>
      <c r="C78" s="179"/>
      <c r="D78" s="179"/>
      <c r="E78" s="179"/>
      <c r="F78" s="315"/>
    </row>
    <row r="79" spans="1:6" hidden="1" x14ac:dyDescent="0.25">
      <c r="A79" s="177">
        <f t="shared" si="1"/>
        <v>34</v>
      </c>
      <c r="B79" s="178"/>
      <c r="C79" s="179"/>
      <c r="D79" s="179"/>
      <c r="E79" s="179"/>
      <c r="F79" s="315"/>
    </row>
    <row r="80" spans="1:6" hidden="1" x14ac:dyDescent="0.25">
      <c r="A80" s="177">
        <f t="shared" si="1"/>
        <v>35</v>
      </c>
      <c r="B80" s="178"/>
      <c r="C80" s="179"/>
      <c r="D80" s="179"/>
      <c r="E80" s="179"/>
      <c r="F80" s="315"/>
    </row>
    <row r="81" spans="1:6" hidden="1" x14ac:dyDescent="0.25">
      <c r="A81" s="177">
        <f t="shared" si="1"/>
        <v>36</v>
      </c>
      <c r="B81" s="178"/>
      <c r="C81" s="179"/>
      <c r="D81" s="179"/>
      <c r="E81" s="179"/>
      <c r="F81" s="315"/>
    </row>
    <row r="82" spans="1:6" hidden="1" x14ac:dyDescent="0.25">
      <c r="A82" s="177">
        <f t="shared" si="1"/>
        <v>37</v>
      </c>
      <c r="B82" s="178"/>
      <c r="C82" s="179"/>
      <c r="D82" s="179"/>
      <c r="E82" s="179"/>
      <c r="F82" s="315"/>
    </row>
    <row r="83" spans="1:6" hidden="1" x14ac:dyDescent="0.25">
      <c r="A83" s="177">
        <f t="shared" si="1"/>
        <v>38</v>
      </c>
      <c r="B83" s="178"/>
      <c r="C83" s="179"/>
      <c r="D83" s="179"/>
      <c r="E83" s="179"/>
      <c r="F83" s="315"/>
    </row>
    <row r="84" spans="1:6" hidden="1" x14ac:dyDescent="0.25">
      <c r="A84" s="177">
        <f t="shared" si="1"/>
        <v>39</v>
      </c>
      <c r="B84" s="178"/>
      <c r="C84" s="179"/>
      <c r="D84" s="179"/>
      <c r="E84" s="179"/>
      <c r="F84" s="315"/>
    </row>
    <row r="85" spans="1:6" hidden="1" x14ac:dyDescent="0.25">
      <c r="A85" s="177">
        <f t="shared" si="1"/>
        <v>40</v>
      </c>
      <c r="B85" s="178"/>
      <c r="C85" s="179"/>
      <c r="D85" s="179"/>
      <c r="E85" s="179"/>
      <c r="F85" s="315"/>
    </row>
    <row r="86" spans="1:6" hidden="1" x14ac:dyDescent="0.25">
      <c r="A86" s="177">
        <f t="shared" si="1"/>
        <v>41</v>
      </c>
      <c r="B86" s="178"/>
      <c r="C86" s="179"/>
      <c r="D86" s="179"/>
      <c r="E86" s="179"/>
      <c r="F86" s="315"/>
    </row>
    <row r="87" spans="1:6" hidden="1" x14ac:dyDescent="0.25">
      <c r="A87" s="177">
        <f t="shared" si="1"/>
        <v>42</v>
      </c>
      <c r="B87" s="178"/>
      <c r="C87" s="179"/>
      <c r="D87" s="179"/>
      <c r="E87" s="179"/>
      <c r="F87" s="315"/>
    </row>
    <row r="88" spans="1:6" hidden="1" x14ac:dyDescent="0.25">
      <c r="A88" s="177">
        <f t="shared" si="1"/>
        <v>43</v>
      </c>
      <c r="B88" s="178"/>
      <c r="C88" s="179"/>
      <c r="D88" s="179"/>
      <c r="E88" s="179"/>
      <c r="F88" s="315"/>
    </row>
    <row r="89" spans="1:6" hidden="1" x14ac:dyDescent="0.25">
      <c r="A89" s="177">
        <f t="shared" si="1"/>
        <v>44</v>
      </c>
      <c r="B89" s="178"/>
      <c r="C89" s="179"/>
      <c r="D89" s="179"/>
      <c r="E89" s="179"/>
      <c r="F89" s="315"/>
    </row>
    <row r="90" spans="1:6" hidden="1" x14ac:dyDescent="0.25">
      <c r="A90" s="177">
        <f t="shared" si="1"/>
        <v>45</v>
      </c>
      <c r="B90" s="178"/>
      <c r="C90" s="179"/>
      <c r="D90" s="179"/>
      <c r="E90" s="179"/>
      <c r="F90" s="315"/>
    </row>
    <row r="91" spans="1:6" hidden="1" x14ac:dyDescent="0.25">
      <c r="A91" s="177">
        <f t="shared" si="1"/>
        <v>46</v>
      </c>
      <c r="B91" s="178"/>
      <c r="C91" s="179"/>
      <c r="D91" s="179"/>
      <c r="E91" s="179"/>
      <c r="F91" s="315"/>
    </row>
    <row r="92" spans="1:6" hidden="1" x14ac:dyDescent="0.25">
      <c r="A92" s="177">
        <f t="shared" si="1"/>
        <v>47</v>
      </c>
      <c r="B92" s="178"/>
      <c r="C92" s="179"/>
      <c r="D92" s="179"/>
      <c r="E92" s="179"/>
      <c r="F92" s="315"/>
    </row>
    <row r="93" spans="1:6" hidden="1" x14ac:dyDescent="0.25">
      <c r="A93" s="177">
        <f t="shared" si="1"/>
        <v>48</v>
      </c>
      <c r="B93" s="178"/>
      <c r="C93" s="179"/>
      <c r="D93" s="179"/>
      <c r="E93" s="179"/>
      <c r="F93" s="315"/>
    </row>
    <row r="94" spans="1:6" hidden="1" x14ac:dyDescent="0.25">
      <c r="A94" s="177">
        <f t="shared" si="1"/>
        <v>49</v>
      </c>
      <c r="B94" s="178"/>
      <c r="C94" s="179"/>
      <c r="D94" s="179"/>
      <c r="E94" s="179"/>
      <c r="F94" s="315"/>
    </row>
    <row r="95" spans="1:6" hidden="1" x14ac:dyDescent="0.25">
      <c r="A95" s="177">
        <f t="shared" si="1"/>
        <v>50</v>
      </c>
      <c r="B95" s="178"/>
      <c r="C95" s="179"/>
      <c r="D95" s="179"/>
      <c r="E95" s="179"/>
      <c r="F95" s="315"/>
    </row>
    <row r="96" spans="1:6" hidden="1" x14ac:dyDescent="0.25">
      <c r="A96" s="177">
        <f t="shared" si="1"/>
        <v>51</v>
      </c>
      <c r="B96" s="178"/>
      <c r="C96" s="179"/>
      <c r="D96" s="179"/>
      <c r="E96" s="179"/>
      <c r="F96" s="315"/>
    </row>
    <row r="97" spans="1:7" hidden="1" x14ac:dyDescent="0.25">
      <c r="A97" s="177">
        <f t="shared" si="1"/>
        <v>52</v>
      </c>
      <c r="B97" s="178"/>
      <c r="C97" s="179"/>
      <c r="D97" s="179"/>
      <c r="E97" s="179"/>
      <c r="F97" s="315"/>
    </row>
    <row r="98" spans="1:7" hidden="1" x14ac:dyDescent="0.25">
      <c r="A98" s="177">
        <f t="shared" si="1"/>
        <v>53</v>
      </c>
      <c r="B98" s="178"/>
      <c r="C98" s="179"/>
      <c r="D98" s="179"/>
      <c r="E98" s="179"/>
      <c r="F98" s="315"/>
    </row>
    <row r="99" spans="1:7" hidden="1" x14ac:dyDescent="0.25">
      <c r="A99" s="177">
        <f t="shared" si="1"/>
        <v>54</v>
      </c>
      <c r="B99" s="178"/>
      <c r="C99" s="179"/>
      <c r="D99" s="179"/>
      <c r="E99" s="179"/>
      <c r="F99" s="315"/>
    </row>
    <row r="100" spans="1:7" hidden="1" x14ac:dyDescent="0.25">
      <c r="A100" s="177">
        <f t="shared" si="1"/>
        <v>55</v>
      </c>
      <c r="B100" s="311"/>
      <c r="C100" s="179"/>
      <c r="D100" s="179"/>
      <c r="E100" s="179"/>
      <c r="F100" s="315"/>
    </row>
    <row r="101" spans="1:7" hidden="1" x14ac:dyDescent="0.25">
      <c r="A101" s="177">
        <f t="shared" si="1"/>
        <v>56</v>
      </c>
      <c r="B101" s="311"/>
      <c r="C101" s="179"/>
      <c r="D101" s="179"/>
      <c r="E101" s="179"/>
      <c r="F101" s="315"/>
    </row>
    <row r="102" spans="1:7" hidden="1" x14ac:dyDescent="0.25">
      <c r="A102" s="177">
        <f t="shared" si="1"/>
        <v>57</v>
      </c>
      <c r="B102" s="178"/>
      <c r="C102" s="179"/>
      <c r="D102" s="179"/>
      <c r="E102" s="179"/>
      <c r="F102" s="315"/>
    </row>
    <row r="103" spans="1:7" hidden="1" x14ac:dyDescent="0.25">
      <c r="A103" s="177">
        <f t="shared" si="1"/>
        <v>58</v>
      </c>
      <c r="B103" s="178"/>
      <c r="C103" s="179"/>
      <c r="D103" s="179"/>
      <c r="E103" s="179"/>
      <c r="F103" s="315"/>
    </row>
    <row r="104" spans="1:7" hidden="1" x14ac:dyDescent="0.25">
      <c r="A104" s="177">
        <f t="shared" si="1"/>
        <v>59</v>
      </c>
      <c r="B104" s="178"/>
      <c r="C104" s="179"/>
      <c r="D104" s="179"/>
      <c r="E104" s="179"/>
      <c r="F104" s="315"/>
    </row>
    <row r="105" spans="1:7" hidden="1" x14ac:dyDescent="0.25">
      <c r="A105" s="177">
        <f t="shared" si="1"/>
        <v>60</v>
      </c>
      <c r="B105" s="178"/>
      <c r="C105" s="179"/>
      <c r="D105" s="179"/>
      <c r="E105" s="179"/>
      <c r="F105" s="315"/>
    </row>
    <row r="106" spans="1:7" hidden="1" x14ac:dyDescent="0.25">
      <c r="A106" s="313"/>
      <c r="B106" s="180">
        <f>SUBTOTAL(103,итоговыеПро911[Старт. номер])</f>
        <v>7</v>
      </c>
      <c r="C106" s="314" t="s">
        <v>350</v>
      </c>
      <c r="D106" s="179"/>
      <c r="E106" s="312" t="s">
        <v>348</v>
      </c>
      <c r="F106" s="180">
        <f>COUNTIF(итоговыеПро911[Пенализация, итого],"DNF")</f>
        <v>0</v>
      </c>
    </row>
    <row r="108" spans="1:7" ht="15.75" hidden="1" x14ac:dyDescent="0.25">
      <c r="B108" s="316" t="s">
        <v>297</v>
      </c>
      <c r="C108" s="2"/>
      <c r="D108" s="2" t="s">
        <v>298</v>
      </c>
      <c r="E108" s="2" t="s">
        <v>298</v>
      </c>
      <c r="F108" s="2"/>
      <c r="G108" s="2"/>
    </row>
    <row r="109" spans="1:7" hidden="1" x14ac:dyDescent="0.25">
      <c r="B109" s="44"/>
      <c r="C109" s="2"/>
      <c r="D109" s="187" t="s">
        <v>299</v>
      </c>
      <c r="E109" s="187" t="s">
        <v>300</v>
      </c>
      <c r="F109" s="2"/>
      <c r="G109" s="2"/>
    </row>
    <row r="110" spans="1:7" ht="15.75" hidden="1" x14ac:dyDescent="0.25">
      <c r="B110" s="316" t="s">
        <v>301</v>
      </c>
      <c r="C110" s="2"/>
      <c r="D110" s="2" t="s">
        <v>298</v>
      </c>
      <c r="E110" s="2" t="s">
        <v>298</v>
      </c>
      <c r="F110" s="2"/>
      <c r="G110" s="2"/>
    </row>
    <row r="111" spans="1:7" hidden="1" x14ac:dyDescent="0.25">
      <c r="B111" s="44"/>
      <c r="C111" s="2"/>
      <c r="D111" s="187" t="s">
        <v>299</v>
      </c>
      <c r="E111" s="187" t="s">
        <v>300</v>
      </c>
      <c r="F111" s="2"/>
      <c r="G111" s="2"/>
    </row>
    <row r="112" spans="1:7" ht="15.75" x14ac:dyDescent="0.25">
      <c r="B112" s="316" t="s">
        <v>301</v>
      </c>
      <c r="C112" s="2"/>
      <c r="D112" s="2" t="s">
        <v>298</v>
      </c>
      <c r="E112" s="2" t="s">
        <v>298</v>
      </c>
      <c r="F112" s="2"/>
      <c r="G112" s="2"/>
    </row>
    <row r="113" spans="2:7" x14ac:dyDescent="0.25">
      <c r="B113" s="44"/>
      <c r="C113" s="2"/>
      <c r="D113" s="187" t="s">
        <v>299</v>
      </c>
      <c r="E113" s="187" t="s">
        <v>300</v>
      </c>
      <c r="F113" s="2"/>
      <c r="G113" s="2"/>
    </row>
    <row r="114" spans="2:7" ht="15.75" x14ac:dyDescent="0.25">
      <c r="B114" s="316" t="s">
        <v>302</v>
      </c>
      <c r="C114" s="2"/>
      <c r="D114" s="2" t="s">
        <v>298</v>
      </c>
      <c r="E114" s="2" t="s">
        <v>298</v>
      </c>
      <c r="F114" s="2"/>
      <c r="G114" s="2"/>
    </row>
    <row r="115" spans="2:7" x14ac:dyDescent="0.25">
      <c r="B115" s="44"/>
      <c r="C115" s="2"/>
      <c r="D115" s="187" t="s">
        <v>299</v>
      </c>
      <c r="E115" s="187" t="s">
        <v>300</v>
      </c>
      <c r="F115" s="2"/>
      <c r="G115" s="2"/>
    </row>
    <row r="116" spans="2:7" ht="15.75" x14ac:dyDescent="0.25">
      <c r="B116" s="316" t="s">
        <v>303</v>
      </c>
      <c r="C116" s="2"/>
      <c r="D116" s="2" t="s">
        <v>298</v>
      </c>
      <c r="E116" s="2" t="s">
        <v>298</v>
      </c>
      <c r="F116" s="2"/>
      <c r="G116" s="2"/>
    </row>
    <row r="117" spans="2:7" x14ac:dyDescent="0.25">
      <c r="B117" s="44"/>
      <c r="C117" s="2"/>
      <c r="D117" s="187" t="s">
        <v>299</v>
      </c>
      <c r="E117" s="187" t="s">
        <v>300</v>
      </c>
      <c r="F117" s="2"/>
      <c r="G117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rowBreaks count="1" manualBreakCount="1">
    <brk id="35" max="5" man="1"/>
  </rowBreaks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45"/>
  <sheetViews>
    <sheetView view="pageBreakPreview" zoomScale="85" zoomScaleNormal="55" zoomScaleSheetLayoutView="85" workbookViewId="0">
      <selection activeCell="A44" sqref="A44:J44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23.25" x14ac:dyDescent="0.25">
      <c r="A1" s="407" t="s">
        <v>526</v>
      </c>
      <c r="B1" s="407"/>
      <c r="C1" s="407"/>
      <c r="D1" s="407"/>
      <c r="E1" s="407"/>
      <c r="F1" s="407"/>
      <c r="G1" s="407"/>
      <c r="H1" s="407"/>
      <c r="I1" s="407"/>
      <c r="J1" s="407"/>
    </row>
    <row r="3" spans="1:10" x14ac:dyDescent="0.25">
      <c r="A3" s="369"/>
    </row>
    <row r="4" spans="1:10" x14ac:dyDescent="0.25">
      <c r="A4" s="20"/>
    </row>
    <row r="5" spans="1:10" x14ac:dyDescent="0.25">
      <c r="A5" s="20"/>
    </row>
    <row r="6" spans="1:10" x14ac:dyDescent="0.25">
      <c r="A6" s="20"/>
    </row>
    <row r="7" spans="1:10" x14ac:dyDescent="0.25">
      <c r="A7" s="20"/>
    </row>
    <row r="8" spans="1:10" x14ac:dyDescent="0.25">
      <c r="A8" s="20"/>
    </row>
    <row r="9" spans="1:10" x14ac:dyDescent="0.25">
      <c r="A9" s="20"/>
    </row>
    <row r="12" spans="1:10" x14ac:dyDescent="0.25">
      <c r="A12" s="20"/>
    </row>
    <row r="13" spans="1:10" x14ac:dyDescent="0.25">
      <c r="A13" s="20"/>
    </row>
    <row r="14" spans="1:10" x14ac:dyDescent="0.25">
      <c r="A14" s="20"/>
    </row>
    <row r="15" spans="1:10" x14ac:dyDescent="0.25">
      <c r="A15" s="20"/>
    </row>
    <row r="16" spans="1:10" x14ac:dyDescent="0.25">
      <c r="A16" s="20"/>
    </row>
    <row r="17" spans="1:10" x14ac:dyDescent="0.25">
      <c r="A17" s="20"/>
    </row>
    <row r="18" spans="1:10" x14ac:dyDescent="0.25">
      <c r="A18" s="20"/>
    </row>
    <row r="19" spans="1:10" x14ac:dyDescent="0.25">
      <c r="A19" s="20"/>
    </row>
    <row r="20" spans="1:10" x14ac:dyDescent="0.25">
      <c r="A20" s="20"/>
    </row>
    <row r="21" spans="1:10" x14ac:dyDescent="0.25">
      <c r="A21" s="20"/>
    </row>
    <row r="22" spans="1:10" x14ac:dyDescent="0.25">
      <c r="A22" s="20"/>
    </row>
    <row r="23" spans="1:10" ht="50.1" customHeight="1" x14ac:dyDescent="0.25">
      <c r="A23" s="408" t="str">
        <f>название</f>
        <v>Ралли "Смоленск - 2019"</v>
      </c>
      <c r="B23" s="408"/>
      <c r="C23" s="408"/>
      <c r="D23" s="408"/>
      <c r="E23" s="408"/>
      <c r="F23" s="408"/>
      <c r="G23" s="408"/>
      <c r="H23" s="408"/>
      <c r="I23" s="408"/>
      <c r="J23" s="408"/>
    </row>
    <row r="24" spans="1:10" ht="50.1" customHeight="1" x14ac:dyDescent="0.25">
      <c r="A24" s="408" t="s">
        <v>35</v>
      </c>
      <c r="B24" s="408"/>
      <c r="C24" s="408"/>
      <c r="D24" s="408"/>
      <c r="E24" s="408"/>
      <c r="F24" s="408"/>
      <c r="G24" s="408"/>
      <c r="H24" s="408"/>
      <c r="I24" s="408"/>
      <c r="J24" s="408"/>
    </row>
    <row r="25" spans="1:10" x14ac:dyDescent="0.25">
      <c r="A25" s="20"/>
    </row>
    <row r="26" spans="1:10" x14ac:dyDescent="0.25">
      <c r="A26" s="20"/>
    </row>
    <row r="27" spans="1:10" x14ac:dyDescent="0.25">
      <c r="A27" s="20"/>
    </row>
    <row r="28" spans="1:10" x14ac:dyDescent="0.25">
      <c r="A28" s="20"/>
    </row>
    <row r="29" spans="1:10" x14ac:dyDescent="0.25">
      <c r="A29" s="20"/>
    </row>
    <row r="30" spans="1:10" x14ac:dyDescent="0.25">
      <c r="A30" s="20"/>
    </row>
    <row r="31" spans="1:10" x14ac:dyDescent="0.25">
      <c r="A31" s="20"/>
    </row>
    <row r="32" spans="1:10" x14ac:dyDescent="0.25">
      <c r="A32" s="20"/>
    </row>
    <row r="33" spans="1:10" x14ac:dyDescent="0.25">
      <c r="A33" s="20"/>
    </row>
    <row r="34" spans="1:10" x14ac:dyDescent="0.25">
      <c r="A34" s="20"/>
    </row>
    <row r="35" spans="1:10" x14ac:dyDescent="0.25">
      <c r="A35" s="20"/>
    </row>
    <row r="36" spans="1:10" x14ac:dyDescent="0.25">
      <c r="A36" s="20"/>
    </row>
    <row r="37" spans="1:10" x14ac:dyDescent="0.25">
      <c r="A37" s="20"/>
    </row>
    <row r="38" spans="1:10" x14ac:dyDescent="0.25">
      <c r="A38" s="20"/>
    </row>
    <row r="39" spans="1:10" x14ac:dyDescent="0.25">
      <c r="A39" s="20"/>
    </row>
    <row r="40" spans="1:10" x14ac:dyDescent="0.25">
      <c r="A40" s="20"/>
    </row>
    <row r="41" spans="1:10" x14ac:dyDescent="0.25">
      <c r="A41" s="20"/>
    </row>
    <row r="42" spans="1:10" x14ac:dyDescent="0.25">
      <c r="A42" s="20"/>
    </row>
    <row r="43" spans="1:10" x14ac:dyDescent="0.25">
      <c r="A43" s="20"/>
    </row>
    <row r="44" spans="1:10" ht="24.95" customHeight="1" x14ac:dyDescent="0.25">
      <c r="A44" s="409" t="str">
        <f>датаРалли</f>
        <v>21 сентября 2019 г.</v>
      </c>
      <c r="B44" s="409"/>
      <c r="C44" s="409"/>
      <c r="D44" s="409"/>
      <c r="E44" s="409"/>
      <c r="F44" s="409"/>
      <c r="G44" s="409"/>
      <c r="H44" s="409"/>
      <c r="I44" s="409"/>
      <c r="J44" s="409"/>
    </row>
    <row r="45" spans="1:10" ht="24.95" customHeight="1" x14ac:dyDescent="0.25">
      <c r="A45" s="410" t="s">
        <v>385</v>
      </c>
      <c r="B45" s="410"/>
      <c r="C45" s="410"/>
      <c r="D45" s="410"/>
      <c r="E45" s="410"/>
      <c r="F45" s="410"/>
      <c r="G45" s="410"/>
      <c r="H45" s="410"/>
      <c r="I45" s="410"/>
      <c r="J45" s="410"/>
    </row>
  </sheetData>
  <mergeCells count="5">
    <mergeCell ref="A1:J1"/>
    <mergeCell ref="A23:J23"/>
    <mergeCell ref="A24:J24"/>
    <mergeCell ref="A44:J44"/>
    <mergeCell ref="A45:J45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J44"/>
  <sheetViews>
    <sheetView view="pageBreakPreview" zoomScale="85" zoomScaleNormal="55" zoomScaleSheetLayoutView="85" workbookViewId="0">
      <selection activeCell="A44" sqref="A44:J44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24.95" customHeight="1" x14ac:dyDescent="0.25">
      <c r="A1" s="409" t="s">
        <v>382</v>
      </c>
      <c r="B1" s="409"/>
      <c r="C1" s="409"/>
      <c r="D1" s="409"/>
      <c r="E1" s="409"/>
      <c r="F1" s="409"/>
      <c r="G1" s="409"/>
      <c r="H1" s="409"/>
      <c r="I1" s="409"/>
      <c r="J1" s="409"/>
    </row>
    <row r="2" spans="1:10" ht="24.95" customHeight="1" x14ac:dyDescent="0.25">
      <c r="A2" s="409" t="s">
        <v>383</v>
      </c>
      <c r="B2" s="409"/>
      <c r="C2" s="409"/>
      <c r="D2" s="409"/>
      <c r="E2" s="409"/>
      <c r="F2" s="409"/>
      <c r="G2" s="409"/>
      <c r="H2" s="409"/>
      <c r="I2" s="409"/>
      <c r="J2" s="409"/>
    </row>
    <row r="3" spans="1:10" x14ac:dyDescent="0.25">
      <c r="A3" s="20"/>
    </row>
    <row r="5" spans="1:10" x14ac:dyDescent="0.25">
      <c r="A5" s="20"/>
    </row>
    <row r="6" spans="1:10" x14ac:dyDescent="0.25">
      <c r="A6" s="20"/>
    </row>
    <row r="7" spans="1:10" x14ac:dyDescent="0.25">
      <c r="A7" s="20"/>
    </row>
    <row r="8" spans="1:10" x14ac:dyDescent="0.25">
      <c r="A8" s="20"/>
    </row>
    <row r="11" spans="1:10" x14ac:dyDescent="0.25">
      <c r="A11" s="20"/>
    </row>
    <row r="12" spans="1:10" x14ac:dyDescent="0.25">
      <c r="A12" s="20"/>
    </row>
    <row r="13" spans="1:10" x14ac:dyDescent="0.25">
      <c r="A13" s="20"/>
    </row>
    <row r="14" spans="1:10" x14ac:dyDescent="0.25">
      <c r="A14" s="20"/>
    </row>
    <row r="15" spans="1:10" x14ac:dyDescent="0.25">
      <c r="A15" s="20"/>
    </row>
    <row r="16" spans="1:10" x14ac:dyDescent="0.25">
      <c r="A16" s="20"/>
    </row>
    <row r="17" spans="1:10" x14ac:dyDescent="0.25">
      <c r="A17" s="20"/>
    </row>
    <row r="18" spans="1:10" x14ac:dyDescent="0.25">
      <c r="A18" s="20"/>
    </row>
    <row r="19" spans="1:10" x14ac:dyDescent="0.25">
      <c r="A19" s="20"/>
    </row>
    <row r="20" spans="1:10" x14ac:dyDescent="0.25">
      <c r="A20" s="20"/>
    </row>
    <row r="21" spans="1:10" x14ac:dyDescent="0.25">
      <c r="A21" s="20"/>
    </row>
    <row r="22" spans="1:10" ht="50.1" customHeight="1" x14ac:dyDescent="0.25">
      <c r="A22" s="408" t="str">
        <f>название</f>
        <v>Ралли "Смоленск - 2019"</v>
      </c>
      <c r="B22" s="408"/>
      <c r="C22" s="408"/>
      <c r="D22" s="408"/>
      <c r="E22" s="408"/>
      <c r="F22" s="408"/>
      <c r="G22" s="408"/>
      <c r="H22" s="408"/>
      <c r="I22" s="408"/>
      <c r="J22" s="408"/>
    </row>
    <row r="23" spans="1:10" ht="50.1" customHeight="1" x14ac:dyDescent="0.25">
      <c r="A23" s="408" t="s">
        <v>35</v>
      </c>
      <c r="B23" s="408"/>
      <c r="C23" s="408"/>
      <c r="D23" s="408"/>
      <c r="E23" s="408"/>
      <c r="F23" s="408"/>
      <c r="G23" s="408"/>
      <c r="H23" s="408"/>
      <c r="I23" s="408"/>
      <c r="J23" s="408"/>
    </row>
    <row r="24" spans="1:10" x14ac:dyDescent="0.25">
      <c r="A24" s="20"/>
    </row>
    <row r="25" spans="1:10" x14ac:dyDescent="0.25">
      <c r="A25" s="20"/>
    </row>
    <row r="26" spans="1:10" x14ac:dyDescent="0.25">
      <c r="A26" s="20"/>
    </row>
    <row r="27" spans="1:10" x14ac:dyDescent="0.25">
      <c r="A27" s="20"/>
    </row>
    <row r="28" spans="1:10" x14ac:dyDescent="0.25">
      <c r="A28" s="20"/>
    </row>
    <row r="29" spans="1:10" x14ac:dyDescent="0.25">
      <c r="A29" s="20"/>
    </row>
    <row r="30" spans="1:10" x14ac:dyDescent="0.25">
      <c r="A30" s="20"/>
    </row>
    <row r="31" spans="1:10" x14ac:dyDescent="0.25">
      <c r="A31" s="20"/>
    </row>
    <row r="32" spans="1:10" x14ac:dyDescent="0.25">
      <c r="A32" s="20"/>
    </row>
    <row r="33" spans="1:10" x14ac:dyDescent="0.25">
      <c r="A33" s="20"/>
    </row>
    <row r="34" spans="1:10" x14ac:dyDescent="0.25">
      <c r="A34" s="20"/>
    </row>
    <row r="35" spans="1:10" x14ac:dyDescent="0.25">
      <c r="A35" s="20"/>
    </row>
    <row r="36" spans="1:10" x14ac:dyDescent="0.25">
      <c r="A36" s="20"/>
    </row>
    <row r="37" spans="1:10" x14ac:dyDescent="0.25">
      <c r="A37" s="20"/>
    </row>
    <row r="38" spans="1:10" x14ac:dyDescent="0.25">
      <c r="A38" s="20"/>
    </row>
    <row r="39" spans="1:10" x14ac:dyDescent="0.25">
      <c r="A39" s="20"/>
    </row>
    <row r="40" spans="1:10" x14ac:dyDescent="0.25">
      <c r="A40" s="20"/>
    </row>
    <row r="41" spans="1:10" x14ac:dyDescent="0.25">
      <c r="A41" s="20"/>
    </row>
    <row r="42" spans="1:10" x14ac:dyDescent="0.25">
      <c r="A42" s="20"/>
    </row>
    <row r="43" spans="1:10" ht="24.95" customHeight="1" x14ac:dyDescent="0.25">
      <c r="A43" s="409" t="str">
        <f>датаРалли</f>
        <v>21 сентября 2019 г.</v>
      </c>
      <c r="B43" s="409"/>
      <c r="C43" s="409"/>
      <c r="D43" s="409"/>
      <c r="E43" s="409"/>
      <c r="F43" s="409"/>
      <c r="G43" s="409"/>
      <c r="H43" s="409"/>
      <c r="I43" s="409"/>
      <c r="J43" s="409"/>
    </row>
    <row r="44" spans="1:10" ht="24.95" customHeight="1" x14ac:dyDescent="0.25">
      <c r="A44" s="410" t="s">
        <v>385</v>
      </c>
      <c r="B44" s="410"/>
      <c r="C44" s="410"/>
      <c r="D44" s="410"/>
      <c r="E44" s="410"/>
      <c r="F44" s="410"/>
      <c r="G44" s="410"/>
      <c r="H44" s="410"/>
      <c r="I44" s="410"/>
      <c r="J44" s="410"/>
    </row>
  </sheetData>
  <mergeCells count="6">
    <mergeCell ref="A44:J44"/>
    <mergeCell ref="A1:J1"/>
    <mergeCell ref="A2:J2"/>
    <mergeCell ref="A22:J22"/>
    <mergeCell ref="A23:J23"/>
    <mergeCell ref="A43:J43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N72"/>
  <sheetViews>
    <sheetView showZeros="0" zoomScaleNormal="100" zoomScaleSheetLayoutView="100" workbookViewId="0">
      <selection activeCell="H72" sqref="H72"/>
    </sheetView>
  </sheetViews>
  <sheetFormatPr defaultRowHeight="15" x14ac:dyDescent="0.25"/>
  <cols>
    <col min="1" max="1" width="45.7109375" style="1" customWidth="1"/>
    <col min="2" max="7" width="7.7109375" style="1" customWidth="1"/>
    <col min="8" max="8" width="9.140625" style="1"/>
    <col min="9" max="14" width="9.140625" style="3"/>
    <col min="15" max="15" width="9.5703125" style="1" bestFit="1" customWidth="1"/>
    <col min="16" max="249" width="9.140625" style="1"/>
    <col min="250" max="250" width="18.5703125" style="1" customWidth="1"/>
    <col min="251" max="505" width="9.140625" style="1"/>
    <col min="506" max="506" width="18.5703125" style="1" customWidth="1"/>
    <col min="507" max="761" width="9.140625" style="1"/>
    <col min="762" max="762" width="18.5703125" style="1" customWidth="1"/>
    <col min="763" max="1017" width="9.140625" style="1"/>
    <col min="1018" max="1018" width="18.5703125" style="1" customWidth="1"/>
    <col min="1019" max="1273" width="9.140625" style="1"/>
    <col min="1274" max="1274" width="18.5703125" style="1" customWidth="1"/>
    <col min="1275" max="1529" width="9.140625" style="1"/>
    <col min="1530" max="1530" width="18.5703125" style="1" customWidth="1"/>
    <col min="1531" max="1785" width="9.140625" style="1"/>
    <col min="1786" max="1786" width="18.5703125" style="1" customWidth="1"/>
    <col min="1787" max="2041" width="9.140625" style="1"/>
    <col min="2042" max="2042" width="18.5703125" style="1" customWidth="1"/>
    <col min="2043" max="2297" width="9.140625" style="1"/>
    <col min="2298" max="2298" width="18.5703125" style="1" customWidth="1"/>
    <col min="2299" max="2553" width="9.140625" style="1"/>
    <col min="2554" max="2554" width="18.5703125" style="1" customWidth="1"/>
    <col min="2555" max="2809" width="9.140625" style="1"/>
    <col min="2810" max="2810" width="18.5703125" style="1" customWidth="1"/>
    <col min="2811" max="3065" width="9.140625" style="1"/>
    <col min="3066" max="3066" width="18.5703125" style="1" customWidth="1"/>
    <col min="3067" max="3321" width="9.140625" style="1"/>
    <col min="3322" max="3322" width="18.5703125" style="1" customWidth="1"/>
    <col min="3323" max="3577" width="9.140625" style="1"/>
    <col min="3578" max="3578" width="18.5703125" style="1" customWidth="1"/>
    <col min="3579" max="3833" width="9.140625" style="1"/>
    <col min="3834" max="3834" width="18.5703125" style="1" customWidth="1"/>
    <col min="3835" max="4089" width="9.140625" style="1"/>
    <col min="4090" max="4090" width="18.5703125" style="1" customWidth="1"/>
    <col min="4091" max="4345" width="9.140625" style="1"/>
    <col min="4346" max="4346" width="18.5703125" style="1" customWidth="1"/>
    <col min="4347" max="4601" width="9.140625" style="1"/>
    <col min="4602" max="4602" width="18.5703125" style="1" customWidth="1"/>
    <col min="4603" max="4857" width="9.140625" style="1"/>
    <col min="4858" max="4858" width="18.5703125" style="1" customWidth="1"/>
    <col min="4859" max="5113" width="9.140625" style="1"/>
    <col min="5114" max="5114" width="18.5703125" style="1" customWidth="1"/>
    <col min="5115" max="5369" width="9.140625" style="1"/>
    <col min="5370" max="5370" width="18.5703125" style="1" customWidth="1"/>
    <col min="5371" max="5625" width="9.140625" style="1"/>
    <col min="5626" max="5626" width="18.5703125" style="1" customWidth="1"/>
    <col min="5627" max="5881" width="9.140625" style="1"/>
    <col min="5882" max="5882" width="18.5703125" style="1" customWidth="1"/>
    <col min="5883" max="6137" width="9.140625" style="1"/>
    <col min="6138" max="6138" width="18.5703125" style="1" customWidth="1"/>
    <col min="6139" max="6393" width="9.140625" style="1"/>
    <col min="6394" max="6394" width="18.5703125" style="1" customWidth="1"/>
    <col min="6395" max="6649" width="9.140625" style="1"/>
    <col min="6650" max="6650" width="18.5703125" style="1" customWidth="1"/>
    <col min="6651" max="6905" width="9.140625" style="1"/>
    <col min="6906" max="6906" width="18.5703125" style="1" customWidth="1"/>
    <col min="6907" max="7161" width="9.140625" style="1"/>
    <col min="7162" max="7162" width="18.5703125" style="1" customWidth="1"/>
    <col min="7163" max="7417" width="9.140625" style="1"/>
    <col min="7418" max="7418" width="18.5703125" style="1" customWidth="1"/>
    <col min="7419" max="7673" width="9.140625" style="1"/>
    <col min="7674" max="7674" width="18.5703125" style="1" customWidth="1"/>
    <col min="7675" max="7929" width="9.140625" style="1"/>
    <col min="7930" max="7930" width="18.5703125" style="1" customWidth="1"/>
    <col min="7931" max="8185" width="9.140625" style="1"/>
    <col min="8186" max="8186" width="18.5703125" style="1" customWidth="1"/>
    <col min="8187" max="8441" width="9.140625" style="1"/>
    <col min="8442" max="8442" width="18.5703125" style="1" customWidth="1"/>
    <col min="8443" max="8697" width="9.140625" style="1"/>
    <col min="8698" max="8698" width="18.5703125" style="1" customWidth="1"/>
    <col min="8699" max="8953" width="9.140625" style="1"/>
    <col min="8954" max="8954" width="18.5703125" style="1" customWidth="1"/>
    <col min="8955" max="9209" width="9.140625" style="1"/>
    <col min="9210" max="9210" width="18.5703125" style="1" customWidth="1"/>
    <col min="9211" max="9465" width="9.140625" style="1"/>
    <col min="9466" max="9466" width="18.5703125" style="1" customWidth="1"/>
    <col min="9467" max="9721" width="9.140625" style="1"/>
    <col min="9722" max="9722" width="18.5703125" style="1" customWidth="1"/>
    <col min="9723" max="9977" width="9.140625" style="1"/>
    <col min="9978" max="9978" width="18.5703125" style="1" customWidth="1"/>
    <col min="9979" max="10233" width="9.140625" style="1"/>
    <col min="10234" max="10234" width="18.5703125" style="1" customWidth="1"/>
    <col min="10235" max="10489" width="9.140625" style="1"/>
    <col min="10490" max="10490" width="18.5703125" style="1" customWidth="1"/>
    <col min="10491" max="10745" width="9.140625" style="1"/>
    <col min="10746" max="10746" width="18.5703125" style="1" customWidth="1"/>
    <col min="10747" max="11001" width="9.140625" style="1"/>
    <col min="11002" max="11002" width="18.5703125" style="1" customWidth="1"/>
    <col min="11003" max="11257" width="9.140625" style="1"/>
    <col min="11258" max="11258" width="18.5703125" style="1" customWidth="1"/>
    <col min="11259" max="11513" width="9.140625" style="1"/>
    <col min="11514" max="11514" width="18.5703125" style="1" customWidth="1"/>
    <col min="11515" max="11769" width="9.140625" style="1"/>
    <col min="11770" max="11770" width="18.5703125" style="1" customWidth="1"/>
    <col min="11771" max="12025" width="9.140625" style="1"/>
    <col min="12026" max="12026" width="18.5703125" style="1" customWidth="1"/>
    <col min="12027" max="12281" width="9.140625" style="1"/>
    <col min="12282" max="12282" width="18.5703125" style="1" customWidth="1"/>
    <col min="12283" max="12537" width="9.140625" style="1"/>
    <col min="12538" max="12538" width="18.5703125" style="1" customWidth="1"/>
    <col min="12539" max="12793" width="9.140625" style="1"/>
    <col min="12794" max="12794" width="18.5703125" style="1" customWidth="1"/>
    <col min="12795" max="13049" width="9.140625" style="1"/>
    <col min="13050" max="13050" width="18.5703125" style="1" customWidth="1"/>
    <col min="13051" max="13305" width="9.140625" style="1"/>
    <col min="13306" max="13306" width="18.5703125" style="1" customWidth="1"/>
    <col min="13307" max="13561" width="9.140625" style="1"/>
    <col min="13562" max="13562" width="18.5703125" style="1" customWidth="1"/>
    <col min="13563" max="13817" width="9.140625" style="1"/>
    <col min="13818" max="13818" width="18.5703125" style="1" customWidth="1"/>
    <col min="13819" max="14073" width="9.140625" style="1"/>
    <col min="14074" max="14074" width="18.5703125" style="1" customWidth="1"/>
    <col min="14075" max="14329" width="9.140625" style="1"/>
    <col min="14330" max="14330" width="18.5703125" style="1" customWidth="1"/>
    <col min="14331" max="14585" width="9.140625" style="1"/>
    <col min="14586" max="14586" width="18.5703125" style="1" customWidth="1"/>
    <col min="14587" max="14841" width="9.140625" style="1"/>
    <col min="14842" max="14842" width="18.5703125" style="1" customWidth="1"/>
    <col min="14843" max="15097" width="9.140625" style="1"/>
    <col min="15098" max="15098" width="18.5703125" style="1" customWidth="1"/>
    <col min="15099" max="15353" width="9.140625" style="1"/>
    <col min="15354" max="15354" width="18.5703125" style="1" customWidth="1"/>
    <col min="15355" max="15609" width="9.140625" style="1"/>
    <col min="15610" max="15610" width="18.5703125" style="1" customWidth="1"/>
    <col min="15611" max="15865" width="9.140625" style="1"/>
    <col min="15866" max="15866" width="18.5703125" style="1" customWidth="1"/>
    <col min="15867" max="16121" width="9.140625" style="1"/>
    <col min="16122" max="16122" width="18.5703125" style="1" customWidth="1"/>
    <col min="16123" max="16384" width="9.140625" style="1"/>
  </cols>
  <sheetData>
    <row r="1" spans="1:14" ht="50.1" customHeight="1" x14ac:dyDescent="0.25">
      <c r="A1" s="48" t="str">
        <f>"Маршрутный лист "&amp;название</f>
        <v>Маршрутный лист Ралли "Смоленск - 2019"</v>
      </c>
      <c r="B1" s="49"/>
      <c r="C1" s="49"/>
      <c r="D1" s="49"/>
      <c r="E1" s="49"/>
      <c r="F1" s="127"/>
      <c r="G1" s="50"/>
    </row>
    <row r="2" spans="1:14" ht="5.0999999999999996" customHeight="1" x14ac:dyDescent="0.25">
      <c r="A2" s="128"/>
      <c r="B2" s="129"/>
      <c r="C2" s="129"/>
      <c r="D2" s="129"/>
      <c r="E2" s="129"/>
      <c r="F2" s="130"/>
      <c r="G2" s="129"/>
    </row>
    <row r="3" spans="1:14" hidden="1" x14ac:dyDescent="0.25">
      <c r="A3" s="20"/>
      <c r="B3" s="2"/>
      <c r="C3" s="2"/>
      <c r="D3" s="2"/>
      <c r="E3" s="2"/>
      <c r="F3" s="2"/>
      <c r="G3" s="2"/>
    </row>
    <row r="4" spans="1:14" hidden="1" x14ac:dyDescent="0.25">
      <c r="A4" s="20"/>
      <c r="B4" s="2"/>
      <c r="C4" s="2"/>
      <c r="D4" s="2"/>
      <c r="E4" s="2"/>
      <c r="F4" s="2"/>
      <c r="G4" s="2"/>
    </row>
    <row r="5" spans="1:14" hidden="1" x14ac:dyDescent="0.25">
      <c r="A5" s="20"/>
      <c r="B5" s="2"/>
      <c r="C5" s="2"/>
      <c r="D5" s="2"/>
      <c r="E5" s="2"/>
      <c r="F5" s="2"/>
      <c r="G5" s="2"/>
    </row>
    <row r="6" spans="1:14" hidden="1" x14ac:dyDescent="0.25">
      <c r="A6" s="20"/>
      <c r="B6" s="2"/>
      <c r="C6" s="2"/>
      <c r="D6" s="2"/>
      <c r="E6" s="2"/>
      <c r="F6" s="2"/>
      <c r="G6" s="2"/>
    </row>
    <row r="7" spans="1:14" hidden="1" x14ac:dyDescent="0.25">
      <c r="A7" s="20"/>
      <c r="B7" s="2"/>
      <c r="C7" s="2"/>
      <c r="D7" s="2"/>
      <c r="E7" s="2"/>
      <c r="F7" s="2"/>
      <c r="G7" s="2"/>
    </row>
    <row r="8" spans="1:14" hidden="1" x14ac:dyDescent="0.25">
      <c r="A8" s="20"/>
      <c r="B8" s="2"/>
      <c r="C8" s="2"/>
      <c r="D8" s="2"/>
      <c r="E8" s="2"/>
      <c r="F8" s="2"/>
      <c r="G8" s="2"/>
    </row>
    <row r="9" spans="1:14" ht="67.5" x14ac:dyDescent="0.25">
      <c r="A9" s="165" t="s">
        <v>47</v>
      </c>
      <c r="B9" s="166" t="s">
        <v>88</v>
      </c>
      <c r="C9" s="166" t="s">
        <v>96</v>
      </c>
      <c r="D9" s="166" t="s">
        <v>268</v>
      </c>
      <c r="E9" s="166" t="s">
        <v>12</v>
      </c>
      <c r="F9" s="166" t="s">
        <v>87</v>
      </c>
      <c r="G9" s="167" t="s">
        <v>13</v>
      </c>
    </row>
    <row r="10" spans="1:14" hidden="1" x14ac:dyDescent="0.25">
      <c r="A10" s="333" t="str">
        <f>общее!A10</f>
        <v xml:space="preserve">ДП-1 </v>
      </c>
      <c r="B10" s="269" t="str">
        <f>общее!B10</f>
        <v/>
      </c>
      <c r="C10" s="270">
        <f>общее!C10</f>
        <v>0</v>
      </c>
      <c r="D10" s="270">
        <f>общее!D10</f>
        <v>0</v>
      </c>
      <c r="E10" s="269" t="str">
        <f>общее!E10</f>
        <v/>
      </c>
      <c r="F10" s="269">
        <f>общее!F10</f>
        <v>0</v>
      </c>
      <c r="G10" s="334">
        <f>общее!G10</f>
        <v>0.50069444444444444</v>
      </c>
      <c r="H10" s="3"/>
    </row>
    <row r="11" spans="1:14" s="131" customFormat="1" x14ac:dyDescent="0.25">
      <c r="A11" s="333" t="str">
        <f>общее!A11</f>
        <v>КВ-1 Старт</v>
      </c>
      <c r="B11" s="269" t="str">
        <f>общее!B11</f>
        <v/>
      </c>
      <c r="C11" s="270">
        <f>общее!C11</f>
        <v>0</v>
      </c>
      <c r="D11" s="270">
        <f>общее!D11</f>
        <v>0</v>
      </c>
      <c r="E11" s="269" t="str">
        <f>общее!E11</f>
        <v/>
      </c>
      <c r="F11" s="269">
        <f>общее!F11</f>
        <v>0</v>
      </c>
      <c r="G11" s="334">
        <f>общее!G11</f>
        <v>0.50069444444444444</v>
      </c>
    </row>
    <row r="12" spans="1:14" hidden="1" x14ac:dyDescent="0.25">
      <c r="A12" s="168" t="str">
        <f>общее!A12</f>
        <v>ВКП-1 Лавочкина</v>
      </c>
      <c r="B12" s="169" t="str">
        <f>общее!B12</f>
        <v/>
      </c>
      <c r="C12" s="170">
        <f>общее!C12</f>
        <v>0</v>
      </c>
      <c r="D12" s="170">
        <f>общее!D12</f>
        <v>0</v>
      </c>
      <c r="E12" s="169" t="str">
        <f>общее!E12</f>
        <v/>
      </c>
      <c r="F12" s="169">
        <f>общее!F12</f>
        <v>0</v>
      </c>
      <c r="G12" s="171">
        <f>общее!G12</f>
        <v>0.51230230241708674</v>
      </c>
      <c r="H12" s="3"/>
      <c r="I12" s="3" t="s">
        <v>329</v>
      </c>
    </row>
    <row r="13" spans="1:14" s="131" customFormat="1" x14ac:dyDescent="0.25">
      <c r="A13" s="168" t="str">
        <f>общее!A13</f>
        <v>ДС-1 РДС Городской</v>
      </c>
      <c r="B13" s="269" t="str">
        <f>общее!B13</f>
        <v/>
      </c>
      <c r="C13" s="270">
        <f>общее!C13</f>
        <v>0</v>
      </c>
      <c r="D13" s="270">
        <f>общее!D13</f>
        <v>0</v>
      </c>
      <c r="E13" s="269" t="str">
        <f>общее!E13</f>
        <v/>
      </c>
      <c r="F13" s="269">
        <f>общее!F13</f>
        <v>0</v>
      </c>
      <c r="G13" s="171">
        <f>общее!G13</f>
        <v>0.52612704573198432</v>
      </c>
      <c r="I13" s="3" t="s">
        <v>328</v>
      </c>
      <c r="J13" s="3"/>
      <c r="K13" s="3"/>
      <c r="L13" s="3"/>
      <c r="M13" s="3"/>
      <c r="N13" s="3"/>
    </row>
    <row r="14" spans="1:14" hidden="1" x14ac:dyDescent="0.25">
      <c r="A14" s="168" t="str">
        <f>общее!A14</f>
        <v>ДССФ1-1</v>
      </c>
      <c r="B14" s="169" t="str">
        <f>общее!B14</f>
        <v/>
      </c>
      <c r="C14" s="170">
        <f>общее!C14</f>
        <v>0</v>
      </c>
      <c r="D14" s="170">
        <f>общее!D14</f>
        <v>0</v>
      </c>
      <c r="E14" s="169" t="str">
        <f>общее!E14</f>
        <v/>
      </c>
      <c r="F14" s="169">
        <f>общее!F14</f>
        <v>0</v>
      </c>
      <c r="G14" s="171">
        <f>общее!G14</f>
        <v>0.54435476965719443</v>
      </c>
      <c r="H14" s="3"/>
      <c r="I14" s="3" t="s">
        <v>330</v>
      </c>
    </row>
    <row r="15" spans="1:14" hidden="1" x14ac:dyDescent="0.25">
      <c r="A15" s="168" t="str">
        <f>общее!A15</f>
        <v>ДСФ-1</v>
      </c>
      <c r="B15" s="169" t="str">
        <f>общее!B15</f>
        <v/>
      </c>
      <c r="C15" s="170">
        <f>общее!C15</f>
        <v>0</v>
      </c>
      <c r="D15" s="170">
        <f>общее!D15</f>
        <v>0</v>
      </c>
      <c r="E15" s="169" t="str">
        <f>общее!E15</f>
        <v/>
      </c>
      <c r="F15" s="169">
        <f>общее!F15</f>
        <v>0</v>
      </c>
      <c r="G15" s="171">
        <f>общее!G15</f>
        <v>0.54832668922873518</v>
      </c>
      <c r="H15" s="3"/>
      <c r="I15" s="268">
        <v>3</v>
      </c>
    </row>
    <row r="16" spans="1:14" hidden="1" x14ac:dyDescent="0.25">
      <c r="A16" s="168" t="str">
        <f>общее!A16</f>
        <v>ВКП-2 2-я Брянская</v>
      </c>
      <c r="B16" s="169" t="str">
        <f>общее!B16</f>
        <v/>
      </c>
      <c r="C16" s="170">
        <f>общее!C16</f>
        <v>0</v>
      </c>
      <c r="D16" s="170">
        <f>общее!D16</f>
        <v>0</v>
      </c>
      <c r="E16" s="169" t="str">
        <f>общее!E16</f>
        <v/>
      </c>
      <c r="F16" s="169">
        <f>общее!F16</f>
        <v>0</v>
      </c>
      <c r="G16" s="171">
        <f>общее!G16</f>
        <v>0.56526123003762974</v>
      </c>
      <c r="H16" s="3"/>
    </row>
    <row r="17" spans="1:14" hidden="1" x14ac:dyDescent="0.25">
      <c r="A17" s="168" t="str">
        <f>общее!A17</f>
        <v xml:space="preserve">ВКВ-1 </v>
      </c>
      <c r="B17" s="169" t="str">
        <f>общее!B17</f>
        <v/>
      </c>
      <c r="C17" s="170">
        <f>общее!C17</f>
        <v>0</v>
      </c>
      <c r="D17" s="170">
        <f>общее!D17</f>
        <v>0</v>
      </c>
      <c r="E17" s="169" t="str">
        <f>общее!E17</f>
        <v/>
      </c>
      <c r="F17" s="169">
        <f>общее!F17</f>
        <v>0</v>
      </c>
      <c r="G17" s="171">
        <f>общее!G17</f>
        <v>0.58259604181109814</v>
      </c>
      <c r="H17" s="3"/>
    </row>
    <row r="18" spans="1:14" x14ac:dyDescent="0.25">
      <c r="A18" s="333" t="str">
        <f>общее!A18</f>
        <v>КВ-2 На обочине</v>
      </c>
      <c r="B18" s="269">
        <f>общее!B18</f>
        <v>54.13</v>
      </c>
      <c r="C18" s="270">
        <f>общее!C18</f>
        <v>8.3333335816860199E-2</v>
      </c>
      <c r="D18" s="270">
        <f>общее!D18</f>
        <v>0</v>
      </c>
      <c r="E18" s="269">
        <f>общее!E18</f>
        <v>27.064999193400169</v>
      </c>
      <c r="F18" s="269">
        <f>общее!F18</f>
        <v>0</v>
      </c>
      <c r="G18" s="334">
        <f>общее!G18</f>
        <v>0.58402778026130464</v>
      </c>
      <c r="H18" s="3"/>
    </row>
    <row r="19" spans="1:14" s="131" customFormat="1" x14ac:dyDescent="0.25">
      <c r="A19" s="168" t="str">
        <f>общее!A19</f>
        <v>ДС-2 КСЛ Дави!</v>
      </c>
      <c r="B19" s="169" t="str">
        <f>общее!B19</f>
        <v/>
      </c>
      <c r="C19" s="170">
        <f>общее!C19</f>
        <v>0</v>
      </c>
      <c r="D19" s="170">
        <f>общее!D19</f>
        <v>0</v>
      </c>
      <c r="E19" s="169" t="str">
        <f>общее!E19</f>
        <v/>
      </c>
      <c r="F19" s="169">
        <f>общее!F19</f>
        <v>0</v>
      </c>
      <c r="G19" s="171">
        <f>общее!G19</f>
        <v>0.59494148617031473</v>
      </c>
      <c r="I19" s="3"/>
      <c r="J19" s="3"/>
      <c r="K19" s="3"/>
      <c r="L19" s="3"/>
      <c r="M19" s="3"/>
      <c r="N19" s="3"/>
    </row>
    <row r="20" spans="1:14" x14ac:dyDescent="0.25">
      <c r="A20" s="168" t="str">
        <f>общее!A20</f>
        <v>ДС-3 РДС Загородный</v>
      </c>
      <c r="B20" s="169" t="str">
        <f>общее!B20</f>
        <v/>
      </c>
      <c r="C20" s="170">
        <f>общее!C20</f>
        <v>0</v>
      </c>
      <c r="D20" s="170">
        <f>общее!D20</f>
        <v>0</v>
      </c>
      <c r="E20" s="169" t="str">
        <f>общее!E20</f>
        <v/>
      </c>
      <c r="F20" s="169">
        <f>общее!F20</f>
        <v>0</v>
      </c>
      <c r="G20" s="171">
        <f>общее!G20</f>
        <v>0.60007050493569258</v>
      </c>
      <c r="H20" s="3"/>
    </row>
    <row r="21" spans="1:14" hidden="1" x14ac:dyDescent="0.25">
      <c r="A21" s="168" t="str">
        <f>общее!A21</f>
        <v>ДССФ1-3</v>
      </c>
      <c r="B21" s="169" t="str">
        <f>общее!B21</f>
        <v/>
      </c>
      <c r="C21" s="170">
        <f>общее!C21</f>
        <v>0</v>
      </c>
      <c r="D21" s="170">
        <f>общее!D21</f>
        <v>0</v>
      </c>
      <c r="E21" s="169" t="str">
        <f>общее!E21</f>
        <v/>
      </c>
      <c r="F21" s="169">
        <f>общее!F21</f>
        <v>0</v>
      </c>
      <c r="G21" s="171">
        <f>общее!G21</f>
        <v>0.61300409246158349</v>
      </c>
      <c r="H21" s="3"/>
    </row>
    <row r="22" spans="1:14" s="131" customFormat="1" hidden="1" x14ac:dyDescent="0.25">
      <c r="A22" s="168" t="str">
        <f>общее!A22</f>
        <v>ДССФ2-3</v>
      </c>
      <c r="B22" s="169" t="str">
        <f>общее!B22</f>
        <v/>
      </c>
      <c r="C22" s="170">
        <f>общее!C22</f>
        <v>0</v>
      </c>
      <c r="D22" s="170">
        <f>общее!D22</f>
        <v>0</v>
      </c>
      <c r="E22" s="169" t="str">
        <f>общее!E22</f>
        <v/>
      </c>
      <c r="F22" s="169">
        <f>общее!F22</f>
        <v>0</v>
      </c>
      <c r="G22" s="171">
        <f>общее!G22</f>
        <v>0.63068598808160758</v>
      </c>
      <c r="I22" s="3"/>
      <c r="J22" s="3"/>
      <c r="K22" s="3"/>
      <c r="L22" s="3"/>
      <c r="M22" s="3"/>
      <c r="N22" s="3"/>
    </row>
    <row r="23" spans="1:14" hidden="1" x14ac:dyDescent="0.25">
      <c r="A23" s="168" t="str">
        <f>общее!A23</f>
        <v>ДСФ-3</v>
      </c>
      <c r="B23" s="169" t="str">
        <f>общее!B23</f>
        <v/>
      </c>
      <c r="C23" s="170">
        <f>общее!C23</f>
        <v>0</v>
      </c>
      <c r="D23" s="170">
        <f>общее!D23</f>
        <v>0</v>
      </c>
      <c r="E23" s="169" t="str">
        <f>общее!E23</f>
        <v/>
      </c>
      <c r="F23" s="169">
        <f>общее!F23</f>
        <v>0</v>
      </c>
      <c r="G23" s="171">
        <f>общее!G23</f>
        <v>0.64809292599462176</v>
      </c>
      <c r="H23" s="3"/>
    </row>
    <row r="24" spans="1:14" x14ac:dyDescent="0.25">
      <c r="A24" s="333" t="str">
        <f>общее!A24</f>
        <v>КВ-3 Финиш</v>
      </c>
      <c r="B24" s="269">
        <f>общее!B24</f>
        <v>78.8</v>
      </c>
      <c r="C24" s="270">
        <f>общее!C24</f>
        <v>8.3333335816860199E-2</v>
      </c>
      <c r="D24" s="270">
        <f>общее!D24</f>
        <v>0</v>
      </c>
      <c r="E24" s="269">
        <f>общее!E24</f>
        <v>39.399998825788529</v>
      </c>
      <c r="F24" s="269">
        <f>общее!F24</f>
        <v>0</v>
      </c>
      <c r="G24" s="334">
        <f>общее!G24</f>
        <v>0.66736111607816484</v>
      </c>
      <c r="H24" s="3"/>
    </row>
    <row r="25" spans="1:14" s="131" customFormat="1" hidden="1" x14ac:dyDescent="0.25">
      <c r="A25" s="168">
        <f>общее!A25</f>
        <v>0</v>
      </c>
      <c r="B25" s="169" t="str">
        <f>общее!B25</f>
        <v/>
      </c>
      <c r="C25" s="170">
        <f>общее!C25</f>
        <v>0</v>
      </c>
      <c r="D25" s="170">
        <f>общее!D25</f>
        <v>0</v>
      </c>
      <c r="E25" s="169" t="str">
        <f>общее!E25</f>
        <v/>
      </c>
      <c r="F25" s="169">
        <f>общее!F25</f>
        <v>0</v>
      </c>
      <c r="G25" s="171">
        <f>общее!G25</f>
        <v>0.66736111607816484</v>
      </c>
      <c r="I25" s="3"/>
      <c r="J25" s="3"/>
      <c r="K25" s="3"/>
      <c r="L25" s="3"/>
      <c r="M25" s="3"/>
      <c r="N25" s="3"/>
    </row>
    <row r="26" spans="1:14" hidden="1" x14ac:dyDescent="0.25">
      <c r="A26" s="168">
        <f>общее!A26</f>
        <v>0</v>
      </c>
      <c r="B26" s="169" t="str">
        <f>общее!B26</f>
        <v/>
      </c>
      <c r="C26" s="170">
        <f>общее!C26</f>
        <v>0</v>
      </c>
      <c r="D26" s="170">
        <f>общее!D26</f>
        <v>0</v>
      </c>
      <c r="E26" s="169" t="str">
        <f>общее!E26</f>
        <v/>
      </c>
      <c r="F26" s="169">
        <f>общее!F26</f>
        <v>0</v>
      </c>
      <c r="G26" s="171">
        <f>общее!G26</f>
        <v>0.66736111607816484</v>
      </c>
      <c r="H26" s="3"/>
    </row>
    <row r="27" spans="1:14" hidden="1" x14ac:dyDescent="0.25">
      <c r="A27" s="168">
        <f>общее!A27</f>
        <v>0</v>
      </c>
      <c r="B27" s="169" t="str">
        <f>общее!B27</f>
        <v/>
      </c>
      <c r="C27" s="170">
        <f>общее!C27</f>
        <v>0</v>
      </c>
      <c r="D27" s="170">
        <f>общее!D27</f>
        <v>0</v>
      </c>
      <c r="E27" s="169" t="str">
        <f>общее!E27</f>
        <v/>
      </c>
      <c r="F27" s="169">
        <f>общее!F27</f>
        <v>0</v>
      </c>
      <c r="G27" s="171">
        <f>общее!G27</f>
        <v>0.66736111607816484</v>
      </c>
      <c r="H27" s="3"/>
    </row>
    <row r="28" spans="1:14" s="131" customFormat="1" hidden="1" x14ac:dyDescent="0.25">
      <c r="A28" s="168">
        <f>общее!A28</f>
        <v>0</v>
      </c>
      <c r="B28" s="169" t="str">
        <f>общее!B28</f>
        <v/>
      </c>
      <c r="C28" s="170">
        <f>общее!C28</f>
        <v>0</v>
      </c>
      <c r="D28" s="170">
        <f>общее!D28</f>
        <v>0</v>
      </c>
      <c r="E28" s="169" t="str">
        <f>общее!E28</f>
        <v/>
      </c>
      <c r="F28" s="169">
        <f>общее!F28</f>
        <v>0</v>
      </c>
      <c r="G28" s="171">
        <f>общее!G28</f>
        <v>0.66736111607816484</v>
      </c>
      <c r="I28" s="3"/>
      <c r="J28" s="3"/>
      <c r="K28" s="3"/>
      <c r="L28" s="3"/>
      <c r="M28" s="3"/>
      <c r="N28" s="3"/>
    </row>
    <row r="29" spans="1:14" hidden="1" x14ac:dyDescent="0.25">
      <c r="A29" s="168">
        <f>общее!A29</f>
        <v>0</v>
      </c>
      <c r="B29" s="169" t="str">
        <f>общее!B29</f>
        <v/>
      </c>
      <c r="C29" s="170">
        <f>общее!C29</f>
        <v>0</v>
      </c>
      <c r="D29" s="170">
        <f>общее!D29</f>
        <v>0</v>
      </c>
      <c r="E29" s="169" t="str">
        <f>общее!E29</f>
        <v/>
      </c>
      <c r="F29" s="169">
        <f>общее!F29</f>
        <v>0</v>
      </c>
      <c r="G29" s="171">
        <f>общее!G29</f>
        <v>0.66736111607816484</v>
      </c>
      <c r="H29" s="3"/>
    </row>
    <row r="30" spans="1:14" hidden="1" x14ac:dyDescent="0.25">
      <c r="A30" s="168">
        <f>общее!A30</f>
        <v>0</v>
      </c>
      <c r="B30" s="169" t="str">
        <f>общее!B30</f>
        <v/>
      </c>
      <c r="C30" s="170">
        <f>общее!C30</f>
        <v>0</v>
      </c>
      <c r="D30" s="170">
        <f>общее!D30</f>
        <v>0</v>
      </c>
      <c r="E30" s="169" t="str">
        <f>общее!E30</f>
        <v/>
      </c>
      <c r="F30" s="169">
        <f>общее!F30</f>
        <v>0</v>
      </c>
      <c r="G30" s="171">
        <f>общее!G30</f>
        <v>0.66736111607816484</v>
      </c>
      <c r="H30" s="3"/>
    </row>
    <row r="31" spans="1:14" s="131" customFormat="1" hidden="1" x14ac:dyDescent="0.25">
      <c r="A31" s="168">
        <f>общее!A31</f>
        <v>0</v>
      </c>
      <c r="B31" s="169" t="str">
        <f>общее!B31</f>
        <v/>
      </c>
      <c r="C31" s="170">
        <f>общее!C31</f>
        <v>0</v>
      </c>
      <c r="D31" s="170">
        <f>общее!D31</f>
        <v>0</v>
      </c>
      <c r="E31" s="169" t="str">
        <f>общее!E31</f>
        <v/>
      </c>
      <c r="F31" s="169">
        <f>общее!F31</f>
        <v>0</v>
      </c>
      <c r="G31" s="171">
        <f>общее!G31</f>
        <v>0.66736111607816484</v>
      </c>
      <c r="I31" s="3"/>
      <c r="J31" s="3"/>
      <c r="K31" s="3"/>
      <c r="L31" s="3"/>
      <c r="M31" s="3"/>
      <c r="N31" s="3"/>
    </row>
    <row r="32" spans="1:14" hidden="1" x14ac:dyDescent="0.25">
      <c r="A32" s="168">
        <f>общее!A32</f>
        <v>0</v>
      </c>
      <c r="B32" s="169" t="str">
        <f>общее!B32</f>
        <v/>
      </c>
      <c r="C32" s="170">
        <f>общее!C32</f>
        <v>0</v>
      </c>
      <c r="D32" s="170">
        <f>общее!D32</f>
        <v>0</v>
      </c>
      <c r="E32" s="169" t="str">
        <f>общее!E32</f>
        <v/>
      </c>
      <c r="F32" s="169">
        <f>общее!F32</f>
        <v>0</v>
      </c>
      <c r="G32" s="171">
        <f>общее!G32</f>
        <v>0.66736111607816484</v>
      </c>
      <c r="H32" s="3"/>
    </row>
    <row r="33" spans="1:8" hidden="1" x14ac:dyDescent="0.25">
      <c r="A33" s="168">
        <f>общее!A33</f>
        <v>0</v>
      </c>
      <c r="B33" s="169" t="str">
        <f>общее!B33</f>
        <v/>
      </c>
      <c r="C33" s="170">
        <f>общее!C33</f>
        <v>0</v>
      </c>
      <c r="D33" s="170">
        <f>общее!D33</f>
        <v>0</v>
      </c>
      <c r="E33" s="169" t="str">
        <f>общее!E33</f>
        <v/>
      </c>
      <c r="F33" s="169">
        <f>общее!F33</f>
        <v>0</v>
      </c>
      <c r="G33" s="171">
        <f>общее!G33</f>
        <v>0.66736111607816484</v>
      </c>
      <c r="H33" s="3"/>
    </row>
    <row r="34" spans="1:8" hidden="1" x14ac:dyDescent="0.25">
      <c r="A34" s="168">
        <f>общее!A34</f>
        <v>0</v>
      </c>
      <c r="B34" s="169" t="str">
        <f>общее!B34</f>
        <v/>
      </c>
      <c r="C34" s="170">
        <f>общее!C34</f>
        <v>0</v>
      </c>
      <c r="D34" s="170">
        <f>общее!D34</f>
        <v>0</v>
      </c>
      <c r="E34" s="169" t="str">
        <f>общее!E34</f>
        <v/>
      </c>
      <c r="F34" s="169">
        <f>общее!F34</f>
        <v>0</v>
      </c>
      <c r="G34" s="171">
        <f>общее!G34</f>
        <v>0.66736111607816484</v>
      </c>
      <c r="H34" s="3"/>
    </row>
    <row r="35" spans="1:8" hidden="1" x14ac:dyDescent="0.25">
      <c r="A35" s="168">
        <f>общее!A35</f>
        <v>0</v>
      </c>
      <c r="B35" s="169" t="str">
        <f>общее!B35</f>
        <v/>
      </c>
      <c r="C35" s="170">
        <f>общее!C35</f>
        <v>0</v>
      </c>
      <c r="D35" s="170">
        <f>общее!D35</f>
        <v>0</v>
      </c>
      <c r="E35" s="169" t="str">
        <f>общее!E35</f>
        <v/>
      </c>
      <c r="F35" s="169">
        <f>общее!F35</f>
        <v>0</v>
      </c>
      <c r="G35" s="171">
        <f>общее!G35</f>
        <v>0.66736111607816484</v>
      </c>
      <c r="H35" s="3"/>
    </row>
    <row r="36" spans="1:8" hidden="1" x14ac:dyDescent="0.25">
      <c r="A36" s="168">
        <f>общее!A36</f>
        <v>0</v>
      </c>
      <c r="B36" s="169" t="str">
        <f>общее!B36</f>
        <v/>
      </c>
      <c r="C36" s="170">
        <f>общее!C36</f>
        <v>0</v>
      </c>
      <c r="D36" s="170">
        <f>общее!D36</f>
        <v>0</v>
      </c>
      <c r="E36" s="169" t="str">
        <f>общее!E36</f>
        <v/>
      </c>
      <c r="F36" s="169">
        <f>общее!F36</f>
        <v>0</v>
      </c>
      <c r="G36" s="171">
        <f>общее!G36</f>
        <v>0.66736111607816484</v>
      </c>
      <c r="H36" s="3"/>
    </row>
    <row r="37" spans="1:8" hidden="1" x14ac:dyDescent="0.25">
      <c r="A37" s="168">
        <f>общее!A37</f>
        <v>0</v>
      </c>
      <c r="B37" s="169" t="str">
        <f>общее!B37</f>
        <v/>
      </c>
      <c r="C37" s="170">
        <f>общее!C37</f>
        <v>0</v>
      </c>
      <c r="D37" s="170">
        <f>общее!D37</f>
        <v>0</v>
      </c>
      <c r="E37" s="169" t="str">
        <f>общее!E37</f>
        <v/>
      </c>
      <c r="F37" s="169">
        <f>общее!F37</f>
        <v>0</v>
      </c>
      <c r="G37" s="171">
        <f>общее!G37</f>
        <v>0.66736111607816484</v>
      </c>
      <c r="H37" s="3"/>
    </row>
    <row r="38" spans="1:8" hidden="1" x14ac:dyDescent="0.25">
      <c r="A38" s="168">
        <f>общее!A38</f>
        <v>0</v>
      </c>
      <c r="B38" s="169" t="str">
        <f>общее!B38</f>
        <v/>
      </c>
      <c r="C38" s="170">
        <f>общее!C38</f>
        <v>0</v>
      </c>
      <c r="D38" s="170">
        <f>общее!D38</f>
        <v>0</v>
      </c>
      <c r="E38" s="169" t="str">
        <f>общее!E38</f>
        <v/>
      </c>
      <c r="F38" s="169">
        <f>общее!F38</f>
        <v>0</v>
      </c>
      <c r="G38" s="171">
        <f>общее!G38</f>
        <v>0.66736111607816484</v>
      </c>
      <c r="H38" s="3"/>
    </row>
    <row r="39" spans="1:8" hidden="1" x14ac:dyDescent="0.25">
      <c r="A39" s="168">
        <f>общее!A39</f>
        <v>0</v>
      </c>
      <c r="B39" s="169" t="str">
        <f>общее!B39</f>
        <v/>
      </c>
      <c r="C39" s="170">
        <f>общее!C39</f>
        <v>0</v>
      </c>
      <c r="D39" s="170">
        <f>общее!D39</f>
        <v>0</v>
      </c>
      <c r="E39" s="169" t="str">
        <f>общее!E39</f>
        <v/>
      </c>
      <c r="F39" s="169">
        <f>общее!F39</f>
        <v>0</v>
      </c>
      <c r="G39" s="171">
        <f>общее!G39</f>
        <v>0.66736111607816484</v>
      </c>
      <c r="H39" s="3"/>
    </row>
    <row r="40" spans="1:8" hidden="1" x14ac:dyDescent="0.25">
      <c r="A40" s="168">
        <f>общее!A40</f>
        <v>0</v>
      </c>
      <c r="B40" s="169" t="str">
        <f>общее!B40</f>
        <v/>
      </c>
      <c r="C40" s="170">
        <f>общее!C40</f>
        <v>0</v>
      </c>
      <c r="D40" s="170">
        <f>общее!D40</f>
        <v>0</v>
      </c>
      <c r="E40" s="169" t="str">
        <f>общее!E40</f>
        <v/>
      </c>
      <c r="F40" s="169">
        <f>общее!F40</f>
        <v>0</v>
      </c>
      <c r="G40" s="171">
        <f>общее!G40</f>
        <v>0.66736111607816484</v>
      </c>
      <c r="H40" s="3"/>
    </row>
    <row r="41" spans="1:8" hidden="1" x14ac:dyDescent="0.25">
      <c r="A41" s="168">
        <f>общее!A41</f>
        <v>0</v>
      </c>
      <c r="B41" s="169" t="str">
        <f>общее!B41</f>
        <v/>
      </c>
      <c r="C41" s="170">
        <f>общее!C41</f>
        <v>0</v>
      </c>
      <c r="D41" s="170">
        <f>общее!D41</f>
        <v>0</v>
      </c>
      <c r="E41" s="169" t="str">
        <f>общее!E41</f>
        <v/>
      </c>
      <c r="F41" s="169">
        <f>общее!F41</f>
        <v>0</v>
      </c>
      <c r="G41" s="171">
        <f>общее!G41</f>
        <v>0.66736111607816484</v>
      </c>
      <c r="H41" s="3"/>
    </row>
    <row r="42" spans="1:8" hidden="1" x14ac:dyDescent="0.25">
      <c r="A42" s="168">
        <f>общее!A42</f>
        <v>0</v>
      </c>
      <c r="B42" s="169" t="str">
        <f>общее!B42</f>
        <v/>
      </c>
      <c r="C42" s="170">
        <f>общее!C42</f>
        <v>0</v>
      </c>
      <c r="D42" s="170">
        <f>общее!D42</f>
        <v>0</v>
      </c>
      <c r="E42" s="169" t="str">
        <f>общее!E42</f>
        <v/>
      </c>
      <c r="F42" s="169">
        <f>общее!F42</f>
        <v>0</v>
      </c>
      <c r="G42" s="171">
        <f>общее!G42</f>
        <v>0.66736111607816484</v>
      </c>
      <c r="H42" s="3"/>
    </row>
    <row r="43" spans="1:8" hidden="1" x14ac:dyDescent="0.25">
      <c r="A43" s="168">
        <f>общее!A43</f>
        <v>0</v>
      </c>
      <c r="B43" s="169" t="str">
        <f>общее!B43</f>
        <v/>
      </c>
      <c r="C43" s="170">
        <f>общее!C43</f>
        <v>0</v>
      </c>
      <c r="D43" s="170">
        <f>общее!D43</f>
        <v>0</v>
      </c>
      <c r="E43" s="169" t="str">
        <f>общее!E43</f>
        <v/>
      </c>
      <c r="F43" s="169">
        <f>общее!F43</f>
        <v>0</v>
      </c>
      <c r="G43" s="171">
        <f>общее!G43</f>
        <v>0.66736111607816484</v>
      </c>
      <c r="H43" s="3"/>
    </row>
    <row r="44" spans="1:8" hidden="1" x14ac:dyDescent="0.25">
      <c r="A44" s="168">
        <f>общее!A44</f>
        <v>0</v>
      </c>
      <c r="B44" s="169" t="str">
        <f>общее!B44</f>
        <v/>
      </c>
      <c r="C44" s="170">
        <f>общее!C44</f>
        <v>0</v>
      </c>
      <c r="D44" s="170">
        <f>общее!D44</f>
        <v>0</v>
      </c>
      <c r="E44" s="169" t="str">
        <f>общее!E44</f>
        <v/>
      </c>
      <c r="F44" s="169">
        <f>общее!F44</f>
        <v>0</v>
      </c>
      <c r="G44" s="171">
        <f>общее!G44</f>
        <v>0.66736111607816484</v>
      </c>
      <c r="H44" s="3"/>
    </row>
    <row r="45" spans="1:8" hidden="1" x14ac:dyDescent="0.25">
      <c r="A45" s="168">
        <f>общее!A45</f>
        <v>0</v>
      </c>
      <c r="B45" s="169" t="str">
        <f>общее!B45</f>
        <v/>
      </c>
      <c r="C45" s="170">
        <f>общее!C45</f>
        <v>0</v>
      </c>
      <c r="D45" s="170">
        <f>общее!D45</f>
        <v>0</v>
      </c>
      <c r="E45" s="169" t="str">
        <f>общее!E45</f>
        <v/>
      </c>
      <c r="F45" s="169">
        <f>общее!F45</f>
        <v>0</v>
      </c>
      <c r="G45" s="171">
        <f>общее!G45</f>
        <v>0.66736111607816484</v>
      </c>
      <c r="H45" s="3"/>
    </row>
    <row r="46" spans="1:8" hidden="1" x14ac:dyDescent="0.25">
      <c r="A46" s="168">
        <f>общее!A46</f>
        <v>0</v>
      </c>
      <c r="B46" s="169" t="str">
        <f>общее!B46</f>
        <v/>
      </c>
      <c r="C46" s="170">
        <f>общее!C46</f>
        <v>0</v>
      </c>
      <c r="D46" s="170">
        <f>общее!D46</f>
        <v>0</v>
      </c>
      <c r="E46" s="169" t="str">
        <f>общее!E46</f>
        <v/>
      </c>
      <c r="F46" s="169">
        <f>общее!F46</f>
        <v>0</v>
      </c>
      <c r="G46" s="171">
        <f>общее!G46</f>
        <v>0.66736111607816484</v>
      </c>
      <c r="H46" s="3"/>
    </row>
    <row r="47" spans="1:8" hidden="1" x14ac:dyDescent="0.25">
      <c r="A47" s="168">
        <f>общее!A47</f>
        <v>0</v>
      </c>
      <c r="B47" s="169" t="str">
        <f>общее!B47</f>
        <v/>
      </c>
      <c r="C47" s="170">
        <f>общее!C47</f>
        <v>0</v>
      </c>
      <c r="D47" s="170">
        <f>общее!D47</f>
        <v>0</v>
      </c>
      <c r="E47" s="169" t="str">
        <f>общее!E47</f>
        <v/>
      </c>
      <c r="F47" s="169">
        <f>общее!F47</f>
        <v>0</v>
      </c>
      <c r="G47" s="171">
        <f>общее!G47</f>
        <v>0.66736111607816484</v>
      </c>
      <c r="H47" s="3"/>
    </row>
    <row r="48" spans="1:8" hidden="1" x14ac:dyDescent="0.25">
      <c r="A48" s="168">
        <f>общее!A48</f>
        <v>0</v>
      </c>
      <c r="B48" s="169" t="str">
        <f>общее!B48</f>
        <v/>
      </c>
      <c r="C48" s="170">
        <f>общее!C48</f>
        <v>0</v>
      </c>
      <c r="D48" s="170">
        <f>общее!D48</f>
        <v>0</v>
      </c>
      <c r="E48" s="169" t="str">
        <f>общее!E48</f>
        <v/>
      </c>
      <c r="F48" s="169">
        <f>общее!F48</f>
        <v>0</v>
      </c>
      <c r="G48" s="171">
        <f>общее!G48</f>
        <v>0.66736111607816484</v>
      </c>
      <c r="H48" s="3"/>
    </row>
    <row r="49" spans="1:8" hidden="1" x14ac:dyDescent="0.25">
      <c r="A49" s="168">
        <f>общее!A49</f>
        <v>0</v>
      </c>
      <c r="B49" s="169" t="str">
        <f>общее!B49</f>
        <v/>
      </c>
      <c r="C49" s="170">
        <f>общее!C49</f>
        <v>0</v>
      </c>
      <c r="D49" s="170">
        <f>общее!D49</f>
        <v>0</v>
      </c>
      <c r="E49" s="169" t="str">
        <f>общее!E49</f>
        <v/>
      </c>
      <c r="F49" s="169">
        <f>общее!F49</f>
        <v>0</v>
      </c>
      <c r="G49" s="171">
        <f>общее!G49</f>
        <v>0.66736111607816484</v>
      </c>
      <c r="H49" s="3"/>
    </row>
    <row r="50" spans="1:8" hidden="1" x14ac:dyDescent="0.25">
      <c r="A50" s="168">
        <f>общее!A50</f>
        <v>0</v>
      </c>
      <c r="B50" s="169" t="str">
        <f>общее!B50</f>
        <v/>
      </c>
      <c r="C50" s="170">
        <f>общее!C50</f>
        <v>0</v>
      </c>
      <c r="D50" s="170">
        <f>общее!D50</f>
        <v>0</v>
      </c>
      <c r="E50" s="169" t="str">
        <f>общее!E50</f>
        <v/>
      </c>
      <c r="F50" s="169">
        <f>общее!F50</f>
        <v>0</v>
      </c>
      <c r="G50" s="171">
        <f>общее!G50</f>
        <v>0.66736111607816484</v>
      </c>
      <c r="H50" s="3"/>
    </row>
    <row r="51" spans="1:8" hidden="1" x14ac:dyDescent="0.25">
      <c r="A51" s="168">
        <f>общее!A51</f>
        <v>0</v>
      </c>
      <c r="B51" s="169" t="str">
        <f>общее!B51</f>
        <v/>
      </c>
      <c r="C51" s="170">
        <f>общее!C51</f>
        <v>0</v>
      </c>
      <c r="D51" s="170">
        <f>общее!D51</f>
        <v>0</v>
      </c>
      <c r="E51" s="169" t="str">
        <f>общее!E51</f>
        <v/>
      </c>
      <c r="F51" s="169">
        <f>общее!F51</f>
        <v>0</v>
      </c>
      <c r="G51" s="171">
        <f>общее!G51</f>
        <v>0.66736111607816484</v>
      </c>
      <c r="H51" s="3"/>
    </row>
    <row r="52" spans="1:8" hidden="1" x14ac:dyDescent="0.25">
      <c r="A52" s="168">
        <f>общее!A52</f>
        <v>0</v>
      </c>
      <c r="B52" s="169" t="str">
        <f>общее!B52</f>
        <v/>
      </c>
      <c r="C52" s="170">
        <f>общее!C52</f>
        <v>0</v>
      </c>
      <c r="D52" s="170">
        <f>общее!D52</f>
        <v>0</v>
      </c>
      <c r="E52" s="169" t="str">
        <f>общее!E52</f>
        <v/>
      </c>
      <c r="F52" s="169">
        <f>общее!F52</f>
        <v>0</v>
      </c>
      <c r="G52" s="171">
        <f>общее!G52</f>
        <v>0.66736111607816484</v>
      </c>
      <c r="H52" s="3"/>
    </row>
    <row r="53" spans="1:8" hidden="1" x14ac:dyDescent="0.25">
      <c r="A53" s="168">
        <f>общее!A53</f>
        <v>0</v>
      </c>
      <c r="B53" s="169" t="str">
        <f>общее!B53</f>
        <v/>
      </c>
      <c r="C53" s="170">
        <f>общее!C53</f>
        <v>0</v>
      </c>
      <c r="D53" s="170">
        <f>общее!D53</f>
        <v>0</v>
      </c>
      <c r="E53" s="169" t="str">
        <f>общее!E53</f>
        <v/>
      </c>
      <c r="F53" s="169">
        <f>общее!F53</f>
        <v>0</v>
      </c>
      <c r="G53" s="171">
        <f>общее!G53</f>
        <v>0.66736111607816484</v>
      </c>
      <c r="H53" s="3"/>
    </row>
    <row r="54" spans="1:8" hidden="1" x14ac:dyDescent="0.25">
      <c r="A54" s="168">
        <f>общее!A54</f>
        <v>0</v>
      </c>
      <c r="B54" s="169" t="str">
        <f>общее!B54</f>
        <v/>
      </c>
      <c r="C54" s="170">
        <f>общее!C54</f>
        <v>0</v>
      </c>
      <c r="D54" s="170">
        <f>общее!D54</f>
        <v>0</v>
      </c>
      <c r="E54" s="169" t="str">
        <f>общее!E54</f>
        <v/>
      </c>
      <c r="F54" s="169">
        <f>общее!F54</f>
        <v>0</v>
      </c>
      <c r="G54" s="171">
        <f>общее!G54</f>
        <v>0.66736111607816484</v>
      </c>
      <c r="H54" s="3"/>
    </row>
    <row r="55" spans="1:8" hidden="1" x14ac:dyDescent="0.25">
      <c r="A55" s="168">
        <f>общее!A55</f>
        <v>0</v>
      </c>
      <c r="B55" s="169" t="str">
        <f>общее!B55</f>
        <v/>
      </c>
      <c r="C55" s="170">
        <f>общее!C55</f>
        <v>0</v>
      </c>
      <c r="D55" s="170">
        <f>общее!D55</f>
        <v>0</v>
      </c>
      <c r="E55" s="169" t="str">
        <f>общее!E55</f>
        <v/>
      </c>
      <c r="F55" s="169">
        <f>общее!F55</f>
        <v>0</v>
      </c>
      <c r="G55" s="171">
        <f>общее!G55</f>
        <v>0.66736111607816484</v>
      </c>
      <c r="H55" s="3"/>
    </row>
    <row r="56" spans="1:8" hidden="1" x14ac:dyDescent="0.25">
      <c r="A56" s="168">
        <f>общее!A56</f>
        <v>0</v>
      </c>
      <c r="B56" s="169" t="str">
        <f>общее!B56</f>
        <v/>
      </c>
      <c r="C56" s="170">
        <f>общее!C56</f>
        <v>0</v>
      </c>
      <c r="D56" s="170">
        <f>общее!D56</f>
        <v>0</v>
      </c>
      <c r="E56" s="169" t="str">
        <f>общее!E56</f>
        <v/>
      </c>
      <c r="F56" s="169">
        <f>общее!F56</f>
        <v>0</v>
      </c>
      <c r="G56" s="171">
        <f>общее!G56</f>
        <v>0.66736111607816484</v>
      </c>
      <c r="H56" s="3"/>
    </row>
    <row r="57" spans="1:8" hidden="1" x14ac:dyDescent="0.25">
      <c r="A57" s="168">
        <f>общее!A57</f>
        <v>0</v>
      </c>
      <c r="B57" s="169" t="str">
        <f>общее!B57</f>
        <v/>
      </c>
      <c r="C57" s="170">
        <f>общее!C57</f>
        <v>0</v>
      </c>
      <c r="D57" s="170">
        <f>общее!D57</f>
        <v>0</v>
      </c>
      <c r="E57" s="169" t="str">
        <f>общее!E57</f>
        <v/>
      </c>
      <c r="F57" s="169">
        <f>общее!F57</f>
        <v>0</v>
      </c>
      <c r="G57" s="171">
        <f>общее!G57</f>
        <v>0.66736111607816484</v>
      </c>
      <c r="H57" s="3"/>
    </row>
    <row r="58" spans="1:8" hidden="1" x14ac:dyDescent="0.25">
      <c r="A58" s="168">
        <f>общее!A58</f>
        <v>0</v>
      </c>
      <c r="B58" s="169" t="str">
        <f>общее!B58</f>
        <v/>
      </c>
      <c r="C58" s="170">
        <f>общее!C58</f>
        <v>0</v>
      </c>
      <c r="D58" s="170">
        <f>общее!D58</f>
        <v>0</v>
      </c>
      <c r="E58" s="169" t="str">
        <f>общее!E58</f>
        <v/>
      </c>
      <c r="F58" s="169">
        <f>общее!F58</f>
        <v>0</v>
      </c>
      <c r="G58" s="171">
        <f>общее!G58</f>
        <v>0.66736111607816484</v>
      </c>
      <c r="H58" s="3"/>
    </row>
    <row r="59" spans="1:8" hidden="1" x14ac:dyDescent="0.25">
      <c r="A59" s="168">
        <f>общее!A59</f>
        <v>0</v>
      </c>
      <c r="B59" s="169" t="str">
        <f>общее!B59</f>
        <v/>
      </c>
      <c r="C59" s="170">
        <f>общее!C59</f>
        <v>0</v>
      </c>
      <c r="D59" s="170">
        <f>общее!D59</f>
        <v>0</v>
      </c>
      <c r="E59" s="169" t="str">
        <f>общее!E59</f>
        <v/>
      </c>
      <c r="F59" s="169">
        <f>общее!F59</f>
        <v>0</v>
      </c>
      <c r="G59" s="171">
        <f>общее!G59</f>
        <v>0.66736111607816484</v>
      </c>
      <c r="H59" s="3"/>
    </row>
    <row r="60" spans="1:8" hidden="1" x14ac:dyDescent="0.25">
      <c r="A60" s="168">
        <f>общее!A60</f>
        <v>0</v>
      </c>
      <c r="B60" s="169" t="str">
        <f>общее!B60</f>
        <v/>
      </c>
      <c r="C60" s="170">
        <f>общее!C60</f>
        <v>0</v>
      </c>
      <c r="D60" s="170">
        <f>общее!D60</f>
        <v>0</v>
      </c>
      <c r="E60" s="169" t="str">
        <f>общее!E60</f>
        <v/>
      </c>
      <c r="F60" s="169">
        <f>общее!F60</f>
        <v>0</v>
      </c>
      <c r="G60" s="171">
        <f>общее!G60</f>
        <v>0.66736111607816484</v>
      </c>
      <c r="H60" s="3"/>
    </row>
    <row r="61" spans="1:8" hidden="1" x14ac:dyDescent="0.25">
      <c r="A61" s="168">
        <f>общее!A61</f>
        <v>0</v>
      </c>
      <c r="B61" s="169" t="str">
        <f>общее!B61</f>
        <v/>
      </c>
      <c r="C61" s="170">
        <f>общее!C61</f>
        <v>0</v>
      </c>
      <c r="D61" s="170">
        <f>общее!D61</f>
        <v>0</v>
      </c>
      <c r="E61" s="169" t="str">
        <f>общее!E61</f>
        <v/>
      </c>
      <c r="F61" s="169">
        <f>общее!F61</f>
        <v>0</v>
      </c>
      <c r="G61" s="171">
        <f>общее!G61</f>
        <v>0.66736111607816484</v>
      </c>
      <c r="H61" s="3"/>
    </row>
    <row r="62" spans="1:8" hidden="1" x14ac:dyDescent="0.25">
      <c r="A62" s="168">
        <f>общее!A62</f>
        <v>0</v>
      </c>
      <c r="B62" s="169" t="str">
        <f>общее!B62</f>
        <v/>
      </c>
      <c r="C62" s="170">
        <f>общее!C62</f>
        <v>0</v>
      </c>
      <c r="D62" s="170">
        <f>общее!D62</f>
        <v>0</v>
      </c>
      <c r="E62" s="169" t="str">
        <f>общее!E62</f>
        <v/>
      </c>
      <c r="F62" s="169">
        <f>общее!F62</f>
        <v>0</v>
      </c>
      <c r="G62" s="171">
        <f>общее!G62</f>
        <v>0.66736111607816484</v>
      </c>
      <c r="H62" s="3"/>
    </row>
    <row r="63" spans="1:8" hidden="1" x14ac:dyDescent="0.25">
      <c r="A63" s="168">
        <f>общее!A63</f>
        <v>0</v>
      </c>
      <c r="B63" s="169" t="str">
        <f>общее!B63</f>
        <v/>
      </c>
      <c r="C63" s="170">
        <f>общее!C63</f>
        <v>0</v>
      </c>
      <c r="D63" s="170">
        <f>общее!D63</f>
        <v>0</v>
      </c>
      <c r="E63" s="169" t="str">
        <f>общее!E63</f>
        <v/>
      </c>
      <c r="F63" s="169">
        <f>общее!F63</f>
        <v>0</v>
      </c>
      <c r="G63" s="171">
        <f>общее!G63</f>
        <v>0.66736111607816484</v>
      </c>
      <c r="H63" s="3"/>
    </row>
    <row r="64" spans="1:8" hidden="1" x14ac:dyDescent="0.25">
      <c r="A64" s="168">
        <f>общее!A64</f>
        <v>0</v>
      </c>
      <c r="B64" s="169" t="str">
        <f>общее!B64</f>
        <v/>
      </c>
      <c r="C64" s="170">
        <f>общее!C64</f>
        <v>0</v>
      </c>
      <c r="D64" s="170">
        <f>общее!D64</f>
        <v>0</v>
      </c>
      <c r="E64" s="169" t="str">
        <f>общее!E64</f>
        <v/>
      </c>
      <c r="F64" s="169">
        <f>общее!F64</f>
        <v>0</v>
      </c>
      <c r="G64" s="171">
        <f>общее!G64</f>
        <v>0.66736111607816484</v>
      </c>
      <c r="H64" s="3"/>
    </row>
    <row r="65" spans="1:8" hidden="1" x14ac:dyDescent="0.25">
      <c r="A65" s="168">
        <f>общее!A65</f>
        <v>0</v>
      </c>
      <c r="B65" s="169" t="str">
        <f>общее!B65</f>
        <v/>
      </c>
      <c r="C65" s="170">
        <f>общее!C65</f>
        <v>0</v>
      </c>
      <c r="D65" s="170">
        <f>общее!D65</f>
        <v>0</v>
      </c>
      <c r="E65" s="169" t="str">
        <f>общее!E65</f>
        <v/>
      </c>
      <c r="F65" s="169">
        <f>общее!F65</f>
        <v>0</v>
      </c>
      <c r="G65" s="171">
        <f>общее!G65</f>
        <v>0.66736111607816484</v>
      </c>
      <c r="H65" s="3"/>
    </row>
    <row r="66" spans="1:8" hidden="1" x14ac:dyDescent="0.25">
      <c r="A66" s="168">
        <f>общее!A66</f>
        <v>0</v>
      </c>
      <c r="B66" s="169" t="str">
        <f>общее!B66</f>
        <v/>
      </c>
      <c r="C66" s="170">
        <f>общее!C66</f>
        <v>0</v>
      </c>
      <c r="D66" s="170">
        <f>общее!D66</f>
        <v>0</v>
      </c>
      <c r="E66" s="169" t="str">
        <f>общее!E66</f>
        <v/>
      </c>
      <c r="F66" s="169">
        <f>общее!F66</f>
        <v>0</v>
      </c>
      <c r="G66" s="171">
        <f>общее!G66</f>
        <v>0.66736111607816484</v>
      </c>
      <c r="H66" s="3"/>
    </row>
    <row r="67" spans="1:8" hidden="1" x14ac:dyDescent="0.25">
      <c r="A67" s="168">
        <f>общее!A67</f>
        <v>0</v>
      </c>
      <c r="B67" s="169" t="str">
        <f>общее!B67</f>
        <v/>
      </c>
      <c r="C67" s="170">
        <f>общее!C67</f>
        <v>0</v>
      </c>
      <c r="D67" s="170">
        <f>общее!D67</f>
        <v>0</v>
      </c>
      <c r="E67" s="169" t="str">
        <f>общее!E67</f>
        <v/>
      </c>
      <c r="F67" s="169">
        <f>общее!F67</f>
        <v>0</v>
      </c>
      <c r="G67" s="171">
        <f>общее!G67</f>
        <v>0.66736111607816484</v>
      </c>
      <c r="H67" s="3"/>
    </row>
    <row r="68" spans="1:8" hidden="1" x14ac:dyDescent="0.25">
      <c r="A68" s="168">
        <f>общее!A68</f>
        <v>0</v>
      </c>
      <c r="B68" s="169" t="str">
        <f>общее!B68</f>
        <v/>
      </c>
      <c r="C68" s="170">
        <f>общее!C68</f>
        <v>0</v>
      </c>
      <c r="D68" s="170">
        <f>общее!D68</f>
        <v>0</v>
      </c>
      <c r="E68" s="169" t="str">
        <f>общее!E68</f>
        <v/>
      </c>
      <c r="F68" s="169">
        <f>общее!F68</f>
        <v>0</v>
      </c>
      <c r="G68" s="171">
        <f>общее!G68</f>
        <v>0.66736111607816484</v>
      </c>
      <c r="H68" s="3"/>
    </row>
    <row r="69" spans="1:8" hidden="1" x14ac:dyDescent="0.25">
      <c r="A69" s="168">
        <f>общее!A69</f>
        <v>0</v>
      </c>
      <c r="B69" s="169" t="str">
        <f>общее!B69</f>
        <v/>
      </c>
      <c r="C69" s="170">
        <f>общее!C69</f>
        <v>0</v>
      </c>
      <c r="D69" s="170">
        <f>общее!D69</f>
        <v>0</v>
      </c>
      <c r="E69" s="169" t="str">
        <f>общее!E69</f>
        <v/>
      </c>
      <c r="F69" s="169">
        <f>общее!F69</f>
        <v>0</v>
      </c>
      <c r="G69" s="171">
        <f>общее!G69</f>
        <v>0.66736111607816484</v>
      </c>
      <c r="H69" s="3"/>
    </row>
    <row r="70" spans="1:8" x14ac:dyDescent="0.25">
      <c r="A70" s="165" t="s">
        <v>285</v>
      </c>
      <c r="B70" s="169">
        <f>SUBTOTAL(109,МЛ[Дистанция дорожного сектора, км])</f>
        <v>132.93</v>
      </c>
      <c r="C70" s="170">
        <f>SUBTOTAL(109,МЛ[Норма времени, чч:мм])</f>
        <v>0.1666666716337204</v>
      </c>
      <c r="D70" s="170">
        <f>SUBTOTAL(109,МЛ[Нейтрализация (входит в норму времени), чч:мм])</f>
        <v>0</v>
      </c>
      <c r="E70" s="172"/>
      <c r="F70" s="172"/>
      <c r="G70" s="173"/>
    </row>
    <row r="71" spans="1:8" x14ac:dyDescent="0.25">
      <c r="A71" s="132"/>
      <c r="B71" s="131"/>
      <c r="C71" s="131"/>
      <c r="D71" s="131"/>
      <c r="E71" s="131"/>
      <c r="F71" s="131"/>
      <c r="G71" s="131"/>
    </row>
    <row r="72" spans="1:8" ht="18.75" x14ac:dyDescent="0.25">
      <c r="A72" s="133" t="str">
        <f ca="1">"Раннее прибытие на "&amp;getMpWoName(INDIRECT("_КВ"&amp;I15))&amp;" не пенализируется в пределах льготы"</f>
        <v>Раннее прибытие на КВ-3 не пенализируется в пределах льготы</v>
      </c>
      <c r="B72" s="134"/>
      <c r="C72" s="135"/>
      <c r="D72" s="135"/>
      <c r="E72" s="134"/>
      <c r="F72" s="134"/>
      <c r="G72" s="135"/>
    </row>
  </sheetData>
  <sheetProtection sheet="1" formatCells="0" autoFilter="0"/>
  <pageMargins left="0.59055118110236227" right="0.19685039370078741" top="0.39370078740157483" bottom="0.39370078740157483" header="0" footer="0"/>
  <pageSetup paperSize="9" orientation="portrait" horizontalDpi="30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109</vt:i4>
      </vt:variant>
    </vt:vector>
  </HeadingPairs>
  <TitlesOfParts>
    <vt:vector size="176" baseType="lpstr">
      <vt:lpstr>общее</vt:lpstr>
      <vt:lpstr>КК трофей</vt:lpstr>
      <vt:lpstr>заявки</vt:lpstr>
      <vt:lpstr>заявкиА3</vt:lpstr>
      <vt:lpstr>стартоваяВедомость</vt:lpstr>
      <vt:lpstr>итоговые</vt:lpstr>
      <vt:lpstr>ДК титул традиц</vt:lpstr>
      <vt:lpstr>ДК титул Трофей</vt:lpstr>
      <vt:lpstr>МЛ</vt:lpstr>
      <vt:lpstr>Знаки контроля Трофей</vt:lpstr>
      <vt:lpstr>Легенда Трофей</vt:lpstr>
      <vt:lpstr>Сектор 1 Про</vt:lpstr>
      <vt:lpstr>Сектор 2 Про</vt:lpstr>
      <vt:lpstr>КК</vt:lpstr>
      <vt:lpstr>ДК титул Про</vt:lpstr>
      <vt:lpstr>ДК титул Лайт</vt:lpstr>
      <vt:lpstr>Знаки контроля</vt:lpstr>
      <vt:lpstr>Легенда</vt:lpstr>
      <vt:lpstr>тарировочный</vt:lpstr>
      <vt:lpstr>бюллетени</vt:lpstr>
      <vt:lpstr>подписи</vt:lpstr>
      <vt:lpstr>РД шаблон</vt:lpstr>
      <vt:lpstr>протоколТИ</vt:lpstr>
      <vt:lpstr>протоколДоп</vt:lpstr>
      <vt:lpstr>протоколКВ0</vt:lpstr>
      <vt:lpstr>протоколКВ</vt:lpstr>
      <vt:lpstr>протоколДС</vt:lpstr>
      <vt:lpstr>протоколДСф</vt:lpstr>
      <vt:lpstr>протоколСЛ</vt:lpstr>
      <vt:lpstr>протоколКСЛ</vt:lpstr>
      <vt:lpstr>пСекр</vt:lpstr>
      <vt:lpstr>пКВ0</vt:lpstr>
      <vt:lpstr>пДС1Старт</vt:lpstr>
      <vt:lpstr>пДС1сф</vt:lpstr>
      <vt:lpstr>пДС1ф</vt:lpstr>
      <vt:lpstr>пКВ1-2-3-4</vt:lpstr>
      <vt:lpstr>пДС4Старт</vt:lpstr>
      <vt:lpstr>пДС4сф</vt:lpstr>
      <vt:lpstr>пДС4ф</vt:lpstr>
      <vt:lpstr>пВКП1</vt:lpstr>
      <vt:lpstr>_ДС1-1</vt:lpstr>
      <vt:lpstr>_ДС1</vt:lpstr>
      <vt:lpstr>_ДС1-3</vt:lpstr>
      <vt:lpstr>_ДС2-3</vt:lpstr>
      <vt:lpstr>_ДС3</vt:lpstr>
      <vt:lpstr>предварительные</vt:lpstr>
      <vt:lpstr>_протоколДП1</vt:lpstr>
      <vt:lpstr>_протоколКВ1</vt:lpstr>
      <vt:lpstr>_протоколВКП1</vt:lpstr>
      <vt:lpstr>_протоколВКП11</vt:lpstr>
      <vt:lpstr>_протоколВКП21</vt:lpstr>
      <vt:lpstr>_протоколДС1</vt:lpstr>
      <vt:lpstr>_протоколДССФ11</vt:lpstr>
      <vt:lpstr>_протоколДСФ1</vt:lpstr>
      <vt:lpstr>_протоколВКП2</vt:lpstr>
      <vt:lpstr>_протоколВКВ1</vt:lpstr>
      <vt:lpstr>_протоколКВ2</vt:lpstr>
      <vt:lpstr>_протоколДС2</vt:lpstr>
      <vt:lpstr>_протоколДС3</vt:lpstr>
      <vt:lpstr>_протоколДССФ13</vt:lpstr>
      <vt:lpstr>_протоколДССФ23</vt:lpstr>
      <vt:lpstr>_протоколДСФ3</vt:lpstr>
      <vt:lpstr>_протоколКВ3</vt:lpstr>
      <vt:lpstr>предварительные печать</vt:lpstr>
      <vt:lpstr>предварительные печать 2</vt:lpstr>
      <vt:lpstr>итоговые (2)</vt:lpstr>
      <vt:lpstr>итоговые (3)</vt:lpstr>
      <vt:lpstr>_ВКВ1</vt:lpstr>
      <vt:lpstr>_ВКП1</vt:lpstr>
      <vt:lpstr>_ВКП2</vt:lpstr>
      <vt:lpstr>_ДП1</vt:lpstr>
      <vt:lpstr>_ДП2</vt:lpstr>
      <vt:lpstr>_ДС1</vt:lpstr>
      <vt:lpstr>_ДС2</vt:lpstr>
      <vt:lpstr>_ДС3</vt:lpstr>
      <vt:lpstr>_ДССФ11Норматив</vt:lpstr>
      <vt:lpstr>_ДССФ13Норматив</vt:lpstr>
      <vt:lpstr>_ДССФ23Норматив</vt:lpstr>
      <vt:lpstr>_ДСФ1Норматив</vt:lpstr>
      <vt:lpstr>_ДСФ3Норматив</vt:lpstr>
      <vt:lpstr>_КВ1</vt:lpstr>
      <vt:lpstr>_КВ2</vt:lpstr>
      <vt:lpstr>_КВ2Время</vt:lpstr>
      <vt:lpstr>_КВ2Расстояние</vt:lpstr>
      <vt:lpstr>_КВ2Скорость</vt:lpstr>
      <vt:lpstr>_КВ3</vt:lpstr>
      <vt:lpstr>_КВ3Время</vt:lpstr>
      <vt:lpstr>_КВ3Расстояние</vt:lpstr>
      <vt:lpstr>_КВ3Скорость</vt:lpstr>
      <vt:lpstr>база</vt:lpstr>
      <vt:lpstr>буква</vt:lpstr>
      <vt:lpstr>времяЗакрытия</vt:lpstr>
      <vt:lpstr>времяОткрытия</vt:lpstr>
      <vt:lpstr>датаРалли</vt:lpstr>
      <vt:lpstr>допПротоколы</vt:lpstr>
      <vt:lpstr>_протоколВКВ1!Заголовки_для_печати</vt:lpstr>
      <vt:lpstr>_протоколВКП1!Заголовки_для_печати</vt:lpstr>
      <vt:lpstr>_протоколВКП11!Заголовки_для_печати</vt:lpstr>
      <vt:lpstr>_протоколВКП2!Заголовки_для_печати</vt:lpstr>
      <vt:lpstr>_протоколВКП21!Заголовки_для_печати</vt:lpstr>
      <vt:lpstr>_протоколДП1!Заголовки_для_печати</vt:lpstr>
      <vt:lpstr>_протоколДС1!Заголовки_для_печати</vt:lpstr>
      <vt:lpstr>_протоколДС2!Заголовки_для_печати</vt:lpstr>
      <vt:lpstr>_протоколДС3!Заголовки_для_печати</vt:lpstr>
      <vt:lpstr>_протоколДССФ11!Заголовки_для_печати</vt:lpstr>
      <vt:lpstr>_протоколДССФ13!Заголовки_для_печати</vt:lpstr>
      <vt:lpstr>_протоколДССФ23!Заголовки_для_печати</vt:lpstr>
      <vt:lpstr>_протоколДСФ1!Заголовки_для_печати</vt:lpstr>
      <vt:lpstr>_протоколДСФ3!Заголовки_для_печати</vt:lpstr>
      <vt:lpstr>_протоколКВ1!Заголовки_для_печати</vt:lpstr>
      <vt:lpstr>_протоколКВ2!Заголовки_для_печати</vt:lpstr>
      <vt:lpstr>_протоколКВ3!Заголовки_для_печати</vt:lpstr>
      <vt:lpstr>заявкиА3!Заголовки_для_печати</vt:lpstr>
      <vt:lpstr>итоговые!Заголовки_для_печати</vt:lpstr>
      <vt:lpstr>предварительные!Заголовки_для_печати</vt:lpstr>
      <vt:lpstr>'предварительные печать'!Заголовки_для_печати</vt:lpstr>
      <vt:lpstr>'предварительные печать 2'!Заголовки_для_печати</vt:lpstr>
      <vt:lpstr>протоколДоп!Заголовки_для_печати</vt:lpstr>
      <vt:lpstr>протоколДС!Заголовки_для_печати</vt:lpstr>
      <vt:lpstr>протоколДСф!Заголовки_для_печати</vt:lpstr>
      <vt:lpstr>протоколКВ!Заголовки_для_печати</vt:lpstr>
      <vt:lpstr>протоколКВ0!Заголовки_для_печати</vt:lpstr>
      <vt:lpstr>протоколКСЛ!Заголовки_для_печати</vt:lpstr>
      <vt:lpstr>протоколСЛ!Заголовки_для_печати</vt:lpstr>
      <vt:lpstr>протоколТИ!Заголовки_для_печати</vt:lpstr>
      <vt:lpstr>'Сектор 1 Про'!Заголовки_для_печати</vt:lpstr>
      <vt:lpstr>'Сектор 2 Про'!Заголовки_для_печати</vt:lpstr>
      <vt:lpstr>стартоваяВедомость!Заголовки_для_печати</vt:lpstr>
      <vt:lpstr>тарировочный!Заголовки_для_печати</vt:lpstr>
      <vt:lpstr>конверт</vt:lpstr>
      <vt:lpstr>конус</vt:lpstr>
      <vt:lpstr>название</vt:lpstr>
      <vt:lpstr>названиеКратко</vt:lpstr>
      <vt:lpstr>неПоСхеме</vt:lpstr>
      <vt:lpstr>_ДС1!Область_печати</vt:lpstr>
      <vt:lpstr>'_ДС1-1'!Область_печати</vt:lpstr>
      <vt:lpstr>'_ДС1-3'!Область_печати</vt:lpstr>
      <vt:lpstr>'_ДС2-3'!Область_печати</vt:lpstr>
      <vt:lpstr>_ДС3!Область_печати</vt:lpstr>
      <vt:lpstr>'ДК титул Лайт'!Область_печати</vt:lpstr>
      <vt:lpstr>'ДК титул Про'!Область_печати</vt:lpstr>
      <vt:lpstr>'ДК титул традиц'!Область_печати</vt:lpstr>
      <vt:lpstr>'ДК титул Трофей'!Область_печати</vt:lpstr>
      <vt:lpstr>заявкиА3!Область_печати</vt:lpstr>
      <vt:lpstr>итоговые!Область_печати</vt:lpstr>
      <vt:lpstr>'итоговые (2)'!Область_печати</vt:lpstr>
      <vt:lpstr>'итоговые (3)'!Область_печати</vt:lpstr>
      <vt:lpstr>МЛ!Область_печати</vt:lpstr>
      <vt:lpstr>пВКП1!Область_печати</vt:lpstr>
      <vt:lpstr>пДС1Старт!Область_печати</vt:lpstr>
      <vt:lpstr>пДС1сф!Область_печати</vt:lpstr>
      <vt:lpstr>пДС1ф!Область_печати</vt:lpstr>
      <vt:lpstr>пДС4Старт!Область_печати</vt:lpstr>
      <vt:lpstr>пДС4сф!Область_печати</vt:lpstr>
      <vt:lpstr>пДС4ф!Область_печати</vt:lpstr>
      <vt:lpstr>пКВ0!Область_печати</vt:lpstr>
      <vt:lpstr>'пКВ1-2-3-4'!Область_печати</vt:lpstr>
      <vt:lpstr>'РД шаблон'!Область_печати</vt:lpstr>
      <vt:lpstr>'Сектор 1 Про'!Область_печати</vt:lpstr>
      <vt:lpstr>'Сектор 2 Про'!Область_печати</vt:lpstr>
      <vt:lpstr>стартоваяВедомость!Область_печати</vt:lpstr>
      <vt:lpstr>тарировочный!Область_печати</vt:lpstr>
      <vt:lpstr>округлениеРД</vt:lpstr>
      <vt:lpstr>опережениеКВ</vt:lpstr>
      <vt:lpstr>опозданиеКВ</vt:lpstr>
      <vt:lpstr>отклонениеРД</vt:lpstr>
      <vt:lpstr>ПДД</vt:lpstr>
      <vt:lpstr>пределКВ</vt:lpstr>
      <vt:lpstr>пределРД</vt:lpstr>
      <vt:lpstr>пропускДС</vt:lpstr>
      <vt:lpstr>пропускКВ</vt:lpstr>
      <vt:lpstr>пропускСФ</vt:lpstr>
      <vt:lpstr>секундаСЛ</vt:lpstr>
      <vt:lpstr>старт</vt:lpstr>
      <vt:lpstr>фальстарт</vt:lpstr>
      <vt:lpstr>числоЭкипажей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ДК</dc:title>
  <dc:subject/>
  <dc:creator>alex</dc:creator>
  <cp:lastModifiedBy>alexe</cp:lastModifiedBy>
  <cp:lastPrinted>2019-09-22T16:27:19Z</cp:lastPrinted>
  <dcterms:created xsi:type="dcterms:W3CDTF">2016-06-12T22:47:51Z</dcterms:created>
  <dcterms:modified xsi:type="dcterms:W3CDTF">2019-09-22T18:15:53Z</dcterms:modified>
</cp:coreProperties>
</file>