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35" yWindow="450" windowWidth="12105" windowHeight="6465" tabRatio="642" activeTab="8"/>
  </bookViews>
  <sheets>
    <sheet name="Полный список" sheetId="43" r:id="rId1"/>
    <sheet name="Уч-ки" sheetId="1" r:id="rId2"/>
    <sheet name="ТИ" sheetId="21" r:id="rId3"/>
    <sheet name="Старт.вед." sheetId="39" r:id="rId4"/>
    <sheet name="Секц.1" sheetId="36" r:id="rId5"/>
    <sheet name="Пен.1" sheetId="37" r:id="rId6"/>
    <sheet name="Секц.2" sheetId="51" r:id="rId7"/>
    <sheet name="Пен.2" sheetId="53" r:id="rId8"/>
    <sheet name="Итог" sheetId="40" r:id="rId9"/>
  </sheets>
  <definedNames>
    <definedName name="_xlnm._FilterDatabase" localSheetId="8" hidden="1">Итог!$A$1:$U$39</definedName>
    <definedName name="_xlnm.Print_Area" localSheetId="8">Итог!$A$1:$U$40</definedName>
    <definedName name="_xlnm.Print_Area" localSheetId="5">Пен.1!$A$3:$N$42</definedName>
    <definedName name="_xlnm.Print_Area" localSheetId="7">Пен.2!$A$3:$N$42</definedName>
    <definedName name="_xlnm.Print_Area" localSheetId="0">'Полный список'!$A$1:$N$13</definedName>
    <definedName name="_xlnm.Print_Area" localSheetId="3">Старт.вед.!$A$1:$I$44</definedName>
    <definedName name="_xlnm.Print_Area" localSheetId="2">ТИ!$A$2:$H$43</definedName>
    <definedName name="_xlnm.Print_Area" localSheetId="1">'Уч-ки'!$A$1:$H$43</definedName>
  </definedNames>
  <calcPr calcId="125725"/>
</workbook>
</file>

<file path=xl/calcChain.xml><?xml version="1.0" encoding="utf-8"?>
<calcChain xmlns="http://schemas.openxmlformats.org/spreadsheetml/2006/main">
  <c r="U13" i="40"/>
  <c r="B11"/>
  <c r="U12"/>
  <c r="B9"/>
  <c r="U11"/>
  <c r="B10"/>
  <c r="U10"/>
  <c r="B12"/>
  <c r="U9"/>
  <c r="B13"/>
  <c r="A13" i="53"/>
  <c r="A12"/>
  <c r="A11"/>
  <c r="A10"/>
  <c r="A9"/>
  <c r="A38"/>
  <c r="B38" s="1"/>
  <c r="A37"/>
  <c r="B37" s="1"/>
  <c r="A36"/>
  <c r="B36" s="1"/>
  <c r="A35"/>
  <c r="B35" s="1"/>
  <c r="A34"/>
  <c r="B34" s="1"/>
  <c r="A33"/>
  <c r="B33" s="1"/>
  <c r="A32"/>
  <c r="B32" s="1"/>
  <c r="A31"/>
  <c r="B31" s="1"/>
  <c r="A30"/>
  <c r="B30" s="1"/>
  <c r="A29"/>
  <c r="B29" s="1"/>
  <c r="A28"/>
  <c r="B28" s="1"/>
  <c r="A27"/>
  <c r="B27" s="1"/>
  <c r="A26"/>
  <c r="B26" s="1"/>
  <c r="A25"/>
  <c r="B25" s="1"/>
  <c r="P24"/>
  <c r="A24"/>
  <c r="B24" s="1"/>
  <c r="P23"/>
  <c r="A23"/>
  <c r="B23" s="1"/>
  <c r="P22"/>
  <c r="A22"/>
  <c r="B22" s="1"/>
  <c r="P21"/>
  <c r="A21"/>
  <c r="B21" s="1"/>
  <c r="P20"/>
  <c r="A20"/>
  <c r="B20" s="1"/>
  <c r="P19"/>
  <c r="B19"/>
  <c r="A19"/>
  <c r="P18"/>
  <c r="B18"/>
  <c r="A18"/>
  <c r="P17"/>
  <c r="A17"/>
  <c r="B17" s="1"/>
  <c r="P16"/>
  <c r="A16"/>
  <c r="B16" s="1"/>
  <c r="A15"/>
  <c r="B15" s="1"/>
  <c r="B14"/>
  <c r="A14"/>
  <c r="B15" i="40"/>
  <c r="B14"/>
  <c r="B8"/>
  <c r="AB13" i="51"/>
  <c r="AA13"/>
  <c r="Z13"/>
  <c r="AA12"/>
  <c r="Z12"/>
  <c r="AA11"/>
  <c r="Z11"/>
  <c r="AB11" s="1"/>
  <c r="AA10"/>
  <c r="Z10"/>
  <c r="W13"/>
  <c r="V13"/>
  <c r="U13"/>
  <c r="V12"/>
  <c r="U12"/>
  <c r="W12" s="1"/>
  <c r="V11"/>
  <c r="U11"/>
  <c r="W11" s="1"/>
  <c r="V10"/>
  <c r="U10"/>
  <c r="Z8"/>
  <c r="AB8"/>
  <c r="AA8"/>
  <c r="AB12" l="1"/>
  <c r="AB10"/>
  <c r="W10"/>
  <c r="K1"/>
  <c r="L1" s="1"/>
  <c r="M1" s="1"/>
  <c r="N1" s="1"/>
  <c r="O1" s="1"/>
  <c r="P1" s="1"/>
  <c r="Q1" s="1"/>
  <c r="R1" s="1"/>
  <c r="S1" s="1"/>
  <c r="T1" s="1"/>
  <c r="U1" s="1"/>
  <c r="V1" s="1"/>
  <c r="W1" s="1"/>
  <c r="X1" s="1"/>
  <c r="Y1" s="1"/>
  <c r="Z1" s="1"/>
  <c r="AA1" s="1"/>
  <c r="AB1" s="1"/>
  <c r="AC1" s="1"/>
  <c r="AD1" s="1"/>
  <c r="AE1" s="1"/>
  <c r="AF1" s="1"/>
  <c r="AG1" s="1"/>
  <c r="AH1" s="1"/>
  <c r="AI1" s="1"/>
  <c r="AJ1" s="1"/>
  <c r="AK1" s="1"/>
  <c r="AL1" s="1"/>
  <c r="AM1" s="1"/>
  <c r="AN1" s="1"/>
  <c r="AO1" s="1"/>
  <c r="AP1" s="1"/>
  <c r="AQ1" s="1"/>
  <c r="J1"/>
  <c r="AD8"/>
  <c r="A13" i="37"/>
  <c r="A12"/>
  <c r="A11"/>
  <c r="A10"/>
  <c r="A9"/>
  <c r="AV9" i="36"/>
  <c r="AH9"/>
  <c r="AG9"/>
  <c r="AC9"/>
  <c r="AB9"/>
  <c r="AH8"/>
  <c r="AG8"/>
  <c r="AO39" i="51"/>
  <c r="AF39"/>
  <c r="AE39"/>
  <c r="AH39" s="1"/>
  <c r="AI39" s="1"/>
  <c r="AD39"/>
  <c r="Y39"/>
  <c r="X39"/>
  <c r="T39"/>
  <c r="S39"/>
  <c r="O39"/>
  <c r="N39"/>
  <c r="C39"/>
  <c r="B39"/>
  <c r="A39"/>
  <c r="K39" s="1"/>
  <c r="AO38"/>
  <c r="AF38"/>
  <c r="AE38"/>
  <c r="AH38" s="1"/>
  <c r="AI38" s="1"/>
  <c r="AD38"/>
  <c r="Y38"/>
  <c r="X38"/>
  <c r="T38"/>
  <c r="S38"/>
  <c r="O38"/>
  <c r="N38"/>
  <c r="C38"/>
  <c r="B38"/>
  <c r="A38"/>
  <c r="J38" s="1"/>
  <c r="M38" s="1"/>
  <c r="AO37"/>
  <c r="AF37"/>
  <c r="AE37"/>
  <c r="AH37" s="1"/>
  <c r="AI37" s="1"/>
  <c r="AD37"/>
  <c r="Y37"/>
  <c r="X37"/>
  <c r="T37"/>
  <c r="S37"/>
  <c r="O37"/>
  <c r="N37"/>
  <c r="C37"/>
  <c r="A37"/>
  <c r="B37" s="1"/>
  <c r="AO36"/>
  <c r="AF36"/>
  <c r="AE36"/>
  <c r="AH36" s="1"/>
  <c r="AI36" s="1"/>
  <c r="AD36"/>
  <c r="Y36"/>
  <c r="X36"/>
  <c r="T36"/>
  <c r="S36"/>
  <c r="O36"/>
  <c r="N36"/>
  <c r="C36"/>
  <c r="A36"/>
  <c r="E36" s="1"/>
  <c r="AO35"/>
  <c r="AF35"/>
  <c r="AE35"/>
  <c r="AH35" s="1"/>
  <c r="AI35" s="1"/>
  <c r="AD35"/>
  <c r="Y35"/>
  <c r="X35"/>
  <c r="T35"/>
  <c r="S35"/>
  <c r="O35"/>
  <c r="N35"/>
  <c r="C35"/>
  <c r="A35"/>
  <c r="K35" s="1"/>
  <c r="AO34"/>
  <c r="AF34"/>
  <c r="AE34"/>
  <c r="AH34" s="1"/>
  <c r="AI34" s="1"/>
  <c r="AD34"/>
  <c r="Y34"/>
  <c r="X34"/>
  <c r="T34"/>
  <c r="S34"/>
  <c r="O34"/>
  <c r="N34"/>
  <c r="C34"/>
  <c r="B34"/>
  <c r="A34"/>
  <c r="J34" s="1"/>
  <c r="M34" s="1"/>
  <c r="AO33"/>
  <c r="AF33"/>
  <c r="AE33"/>
  <c r="AH33" s="1"/>
  <c r="AI33" s="1"/>
  <c r="AD33"/>
  <c r="Y33"/>
  <c r="X33"/>
  <c r="T33"/>
  <c r="S33"/>
  <c r="O33"/>
  <c r="N33"/>
  <c r="E33"/>
  <c r="C33"/>
  <c r="A33"/>
  <c r="AO32"/>
  <c r="AF32"/>
  <c r="AE32"/>
  <c r="AH32" s="1"/>
  <c r="AI32" s="1"/>
  <c r="AD32"/>
  <c r="Y32"/>
  <c r="X32"/>
  <c r="T32"/>
  <c r="S32"/>
  <c r="O32"/>
  <c r="N32"/>
  <c r="C32"/>
  <c r="A32"/>
  <c r="E32" s="1"/>
  <c r="AO31"/>
  <c r="AF31"/>
  <c r="AE31"/>
  <c r="AH31" s="1"/>
  <c r="AI31" s="1"/>
  <c r="AD31"/>
  <c r="Y31"/>
  <c r="X31"/>
  <c r="T31"/>
  <c r="S31"/>
  <c r="O31"/>
  <c r="N31"/>
  <c r="C31"/>
  <c r="B31"/>
  <c r="A31"/>
  <c r="K31" s="1"/>
  <c r="AO30"/>
  <c r="AF30"/>
  <c r="AE30"/>
  <c r="AH30" s="1"/>
  <c r="AI30" s="1"/>
  <c r="AD30"/>
  <c r="Y30"/>
  <c r="X30"/>
  <c r="T30"/>
  <c r="S30"/>
  <c r="O30"/>
  <c r="N30"/>
  <c r="C30"/>
  <c r="A30"/>
  <c r="J30" s="1"/>
  <c r="M30" s="1"/>
  <c r="AO29"/>
  <c r="AF29"/>
  <c r="AE29"/>
  <c r="AH29" s="1"/>
  <c r="AI29" s="1"/>
  <c r="AD29"/>
  <c r="Y29"/>
  <c r="X29"/>
  <c r="T29"/>
  <c r="S29"/>
  <c r="O29"/>
  <c r="N29"/>
  <c r="C29"/>
  <c r="A29"/>
  <c r="AO28"/>
  <c r="AF28"/>
  <c r="AE28"/>
  <c r="AH28" s="1"/>
  <c r="AI28" s="1"/>
  <c r="AD28"/>
  <c r="Y28"/>
  <c r="X28"/>
  <c r="T28"/>
  <c r="S28"/>
  <c r="O28"/>
  <c r="N28"/>
  <c r="C28"/>
  <c r="A28"/>
  <c r="E28" s="1"/>
  <c r="AO27"/>
  <c r="AF27"/>
  <c r="AE27"/>
  <c r="AH27" s="1"/>
  <c r="AI27" s="1"/>
  <c r="AD27"/>
  <c r="Y27"/>
  <c r="X27"/>
  <c r="T27"/>
  <c r="S27"/>
  <c r="O27"/>
  <c r="N27"/>
  <c r="C27"/>
  <c r="A27"/>
  <c r="K27" s="1"/>
  <c r="AO26"/>
  <c r="AF26"/>
  <c r="AE26"/>
  <c r="AH26" s="1"/>
  <c r="AI26" s="1"/>
  <c r="AD26"/>
  <c r="Y26"/>
  <c r="X26"/>
  <c r="T26"/>
  <c r="S26"/>
  <c r="O26"/>
  <c r="N26"/>
  <c r="C26"/>
  <c r="B26"/>
  <c r="A26"/>
  <c r="J26" s="1"/>
  <c r="M26" s="1"/>
  <c r="AO25"/>
  <c r="AF25"/>
  <c r="AE25"/>
  <c r="AH25" s="1"/>
  <c r="AI25" s="1"/>
  <c r="AD25"/>
  <c r="Y25"/>
  <c r="X25"/>
  <c r="T25"/>
  <c r="S25"/>
  <c r="O25"/>
  <c r="N25"/>
  <c r="C25"/>
  <c r="A25"/>
  <c r="E25" s="1"/>
  <c r="AO24"/>
  <c r="AF24"/>
  <c r="AE24"/>
  <c r="AH24" s="1"/>
  <c r="AI24" s="1"/>
  <c r="AD24"/>
  <c r="Y24"/>
  <c r="X24"/>
  <c r="T24"/>
  <c r="S24"/>
  <c r="O24"/>
  <c r="N24"/>
  <c r="M24"/>
  <c r="AQ24"/>
  <c r="G24"/>
  <c r="C24"/>
  <c r="A24"/>
  <c r="K24" s="1"/>
  <c r="AO23"/>
  <c r="AF23"/>
  <c r="AE23"/>
  <c r="AH23" s="1"/>
  <c r="AI23" s="1"/>
  <c r="AD23"/>
  <c r="Y23"/>
  <c r="X23"/>
  <c r="T23"/>
  <c r="S23"/>
  <c r="O23"/>
  <c r="N23"/>
  <c r="M23"/>
  <c r="V23" s="1"/>
  <c r="G23"/>
  <c r="C23"/>
  <c r="A23"/>
  <c r="K23" s="1"/>
  <c r="AQ22"/>
  <c r="AO22"/>
  <c r="AF22"/>
  <c r="AE22"/>
  <c r="AH22" s="1"/>
  <c r="AI22" s="1"/>
  <c r="AD22"/>
  <c r="Y22"/>
  <c r="X22"/>
  <c r="T22"/>
  <c r="S22"/>
  <c r="O22"/>
  <c r="N22"/>
  <c r="M22"/>
  <c r="G22"/>
  <c r="C22"/>
  <c r="A22"/>
  <c r="K22" s="1"/>
  <c r="AO21"/>
  <c r="AH21"/>
  <c r="AI21" s="1"/>
  <c r="AF21"/>
  <c r="AE21"/>
  <c r="AD21"/>
  <c r="Y21"/>
  <c r="X21"/>
  <c r="T21"/>
  <c r="S21"/>
  <c r="O21"/>
  <c r="N21"/>
  <c r="M21"/>
  <c r="AQ21"/>
  <c r="G21"/>
  <c r="C21"/>
  <c r="A21"/>
  <c r="K21" s="1"/>
  <c r="AO20"/>
  <c r="AF20"/>
  <c r="AE20"/>
  <c r="AH20" s="1"/>
  <c r="AI20" s="1"/>
  <c r="AD20"/>
  <c r="Y20"/>
  <c r="X20"/>
  <c r="T20"/>
  <c r="S20"/>
  <c r="O20"/>
  <c r="N20"/>
  <c r="M20"/>
  <c r="V20" s="1"/>
  <c r="AQ20"/>
  <c r="G20"/>
  <c r="C20"/>
  <c r="A20"/>
  <c r="K20" s="1"/>
  <c r="AQ19"/>
  <c r="AO19"/>
  <c r="AF19"/>
  <c r="AE19"/>
  <c r="AH19" s="1"/>
  <c r="AI19" s="1"/>
  <c r="AD19"/>
  <c r="Y19"/>
  <c r="X19"/>
  <c r="T19"/>
  <c r="S19"/>
  <c r="O19"/>
  <c r="N19"/>
  <c r="M19"/>
  <c r="G19"/>
  <c r="C19"/>
  <c r="B19"/>
  <c r="A19"/>
  <c r="K19" s="1"/>
  <c r="AO18"/>
  <c r="AF18"/>
  <c r="AE18"/>
  <c r="AH18" s="1"/>
  <c r="AI18" s="1"/>
  <c r="AD18"/>
  <c r="Y18"/>
  <c r="X18"/>
  <c r="T18"/>
  <c r="S18"/>
  <c r="O18"/>
  <c r="N18"/>
  <c r="M18"/>
  <c r="J18"/>
  <c r="AQ18"/>
  <c r="G18"/>
  <c r="C18"/>
  <c r="B18"/>
  <c r="A18"/>
  <c r="K18" s="1"/>
  <c r="AO17"/>
  <c r="AF17"/>
  <c r="AE17"/>
  <c r="AH17" s="1"/>
  <c r="AI17" s="1"/>
  <c r="AD17"/>
  <c r="Y17"/>
  <c r="X17"/>
  <c r="T17"/>
  <c r="S17"/>
  <c r="O17"/>
  <c r="N17"/>
  <c r="M17"/>
  <c r="V17" s="1"/>
  <c r="AQ17"/>
  <c r="G17"/>
  <c r="C17"/>
  <c r="A17"/>
  <c r="K17" s="1"/>
  <c r="AO16"/>
  <c r="AF16"/>
  <c r="AE16"/>
  <c r="AH16" s="1"/>
  <c r="AI16" s="1"/>
  <c r="AD16"/>
  <c r="Y16"/>
  <c r="X16"/>
  <c r="T16"/>
  <c r="S16"/>
  <c r="O16"/>
  <c r="N16"/>
  <c r="M16"/>
  <c r="V16" s="1"/>
  <c r="AQ16"/>
  <c r="G16"/>
  <c r="C16"/>
  <c r="A16"/>
  <c r="K16" s="1"/>
  <c r="AO15"/>
  <c r="AH15"/>
  <c r="AI15" s="1"/>
  <c r="AD15"/>
  <c r="O15"/>
  <c r="N15"/>
  <c r="M15"/>
  <c r="G15"/>
  <c r="C15"/>
  <c r="B15"/>
  <c r="A15"/>
  <c r="X15" s="1"/>
  <c r="AO14"/>
  <c r="AH14"/>
  <c r="AI14" s="1"/>
  <c r="AD14"/>
  <c r="M14"/>
  <c r="G14"/>
  <c r="A14"/>
  <c r="X14" s="1"/>
  <c r="AO13"/>
  <c r="G13"/>
  <c r="AD13" s="1"/>
  <c r="A13"/>
  <c r="AF13" s="1"/>
  <c r="AO12"/>
  <c r="G12"/>
  <c r="AD12" s="1"/>
  <c r="A12"/>
  <c r="AO11"/>
  <c r="G11"/>
  <c r="AD11" s="1"/>
  <c r="A11"/>
  <c r="AF11" s="1"/>
  <c r="AO10"/>
  <c r="AE10"/>
  <c r="AH10" s="1"/>
  <c r="AI10" s="1"/>
  <c r="G10"/>
  <c r="AD10" s="1"/>
  <c r="C10"/>
  <c r="A10"/>
  <c r="AO9"/>
  <c r="Y9"/>
  <c r="G9"/>
  <c r="AD9" s="1"/>
  <c r="A9"/>
  <c r="AO8"/>
  <c r="P8"/>
  <c r="M8"/>
  <c r="G8"/>
  <c r="A8"/>
  <c r="C1"/>
  <c r="D1" s="1"/>
  <c r="E1" s="1"/>
  <c r="F1" s="1"/>
  <c r="G1" s="1"/>
  <c r="H1" s="1"/>
  <c r="I1" s="1"/>
  <c r="B1"/>
  <c r="O1" i="36"/>
  <c r="P1" s="1"/>
  <c r="Q1" s="1"/>
  <c r="R1" s="1"/>
  <c r="S1" s="1"/>
  <c r="T1" s="1"/>
  <c r="U1" s="1"/>
  <c r="V1" s="1"/>
  <c r="W1" s="1"/>
  <c r="X1" s="1"/>
  <c r="Y1" s="1"/>
  <c r="Z1" s="1"/>
  <c r="AA1" s="1"/>
  <c r="AB1" s="1"/>
  <c r="AC1" s="1"/>
  <c r="AD1" s="1"/>
  <c r="AE1" s="1"/>
  <c r="AF1" s="1"/>
  <c r="AG1" s="1"/>
  <c r="AH1" s="1"/>
  <c r="AI1" s="1"/>
  <c r="AJ1" s="1"/>
  <c r="AK1" s="1"/>
  <c r="AL1" s="1"/>
  <c r="AM1" s="1"/>
  <c r="AN1" s="1"/>
  <c r="AO1" s="1"/>
  <c r="AP1" s="1"/>
  <c r="AQ1" s="1"/>
  <c r="AR1" s="1"/>
  <c r="AS1" s="1"/>
  <c r="AT1" s="1"/>
  <c r="AU1" s="1"/>
  <c r="AV1" s="1"/>
  <c r="N1"/>
  <c r="O13"/>
  <c r="O12"/>
  <c r="O10"/>
  <c r="O9"/>
  <c r="G12" i="53" l="1"/>
  <c r="G10"/>
  <c r="C12"/>
  <c r="K10"/>
  <c r="J12"/>
  <c r="J10"/>
  <c r="K12"/>
  <c r="C10"/>
  <c r="F12"/>
  <c r="F10"/>
  <c r="I9"/>
  <c r="D10"/>
  <c r="E10" s="1"/>
  <c r="G11"/>
  <c r="C9"/>
  <c r="D9"/>
  <c r="H10" i="40"/>
  <c r="H10" i="53"/>
  <c r="K9"/>
  <c r="H11"/>
  <c r="D11"/>
  <c r="F13"/>
  <c r="F11"/>
  <c r="F9"/>
  <c r="I12"/>
  <c r="I10"/>
  <c r="D13"/>
  <c r="H12" i="40"/>
  <c r="K13" i="53"/>
  <c r="D12"/>
  <c r="G13"/>
  <c r="H11" i="40"/>
  <c r="G9" i="53"/>
  <c r="I11"/>
  <c r="K11"/>
  <c r="H9"/>
  <c r="H9" i="40"/>
  <c r="H12" i="53"/>
  <c r="J13"/>
  <c r="J11"/>
  <c r="J9"/>
  <c r="C13"/>
  <c r="C11"/>
  <c r="H13"/>
  <c r="I13"/>
  <c r="H13" i="40"/>
  <c r="L10"/>
  <c r="L9"/>
  <c r="Z36" i="51"/>
  <c r="Z37"/>
  <c r="Q15"/>
  <c r="V18"/>
  <c r="AA19"/>
  <c r="V21"/>
  <c r="Z34"/>
  <c r="AA27"/>
  <c r="P18"/>
  <c r="P19"/>
  <c r="V19"/>
  <c r="P21"/>
  <c r="Z26"/>
  <c r="Z30"/>
  <c r="AA37"/>
  <c r="AE15"/>
  <c r="P16"/>
  <c r="B17"/>
  <c r="J17"/>
  <c r="Q18"/>
  <c r="B20"/>
  <c r="J20"/>
  <c r="B27"/>
  <c r="AE8"/>
  <c r="AH8" s="1"/>
  <c r="AI8" s="1"/>
  <c r="C12"/>
  <c r="C14"/>
  <c r="Y14"/>
  <c r="B14"/>
  <c r="N14"/>
  <c r="P14" s="1"/>
  <c r="Y15"/>
  <c r="P20"/>
  <c r="B21"/>
  <c r="J21"/>
  <c r="J23"/>
  <c r="D36"/>
  <c r="G36" s="1"/>
  <c r="H36" s="1"/>
  <c r="AQ36" s="1"/>
  <c r="AF8"/>
  <c r="C8"/>
  <c r="Q20"/>
  <c r="V22"/>
  <c r="J31"/>
  <c r="M31" s="1"/>
  <c r="V31" s="1"/>
  <c r="AE11"/>
  <c r="AH11" s="1"/>
  <c r="AI11" s="1"/>
  <c r="AE13"/>
  <c r="AH13" s="1"/>
  <c r="AI13" s="1"/>
  <c r="AA18"/>
  <c r="K28"/>
  <c r="J22"/>
  <c r="AA22"/>
  <c r="AA25"/>
  <c r="J28"/>
  <c r="M28" s="1"/>
  <c r="V28" s="1"/>
  <c r="AA31"/>
  <c r="K32"/>
  <c r="J35"/>
  <c r="M35" s="1"/>
  <c r="V35" s="1"/>
  <c r="M12"/>
  <c r="AF12"/>
  <c r="J14"/>
  <c r="S14"/>
  <c r="U14" s="1"/>
  <c r="AF14"/>
  <c r="AA21"/>
  <c r="Z24"/>
  <c r="Z25"/>
  <c r="AB25" s="1"/>
  <c r="D28"/>
  <c r="G28" s="1"/>
  <c r="H28" s="1"/>
  <c r="AQ28" s="1"/>
  <c r="AA29"/>
  <c r="J32"/>
  <c r="M32" s="1"/>
  <c r="P32" s="1"/>
  <c r="K36"/>
  <c r="J39"/>
  <c r="M39" s="1"/>
  <c r="V39" s="1"/>
  <c r="M10"/>
  <c r="AF10"/>
  <c r="AE12"/>
  <c r="AH12" s="1"/>
  <c r="AI12" s="1"/>
  <c r="O14"/>
  <c r="Q14" s="1"/>
  <c r="AE14"/>
  <c r="J15"/>
  <c r="S15"/>
  <c r="U15" s="1"/>
  <c r="AF15"/>
  <c r="B16"/>
  <c r="J16"/>
  <c r="J19"/>
  <c r="Q21"/>
  <c r="P22"/>
  <c r="J27"/>
  <c r="M27" s="1"/>
  <c r="V27" s="1"/>
  <c r="Z28"/>
  <c r="Z29"/>
  <c r="B30"/>
  <c r="D32"/>
  <c r="G32" s="1"/>
  <c r="H32" s="1"/>
  <c r="AQ32" s="1"/>
  <c r="Z33"/>
  <c r="B35"/>
  <c r="J36"/>
  <c r="M36" s="1"/>
  <c r="P36" s="1"/>
  <c r="Z38"/>
  <c r="AA39"/>
  <c r="V24"/>
  <c r="P15"/>
  <c r="R15" s="1"/>
  <c r="AA17"/>
  <c r="V30"/>
  <c r="AA34"/>
  <c r="P24"/>
  <c r="Q24"/>
  <c r="AA26"/>
  <c r="AB26" s="1"/>
  <c r="AA30"/>
  <c r="AB30" s="1"/>
  <c r="AA33"/>
  <c r="Z35"/>
  <c r="AA38"/>
  <c r="AD9" i="36"/>
  <c r="AI9"/>
  <c r="Q17" i="51"/>
  <c r="Q23"/>
  <c r="U24"/>
  <c r="U28"/>
  <c r="Q16"/>
  <c r="P17"/>
  <c r="Q19"/>
  <c r="R19" s="1"/>
  <c r="Q22"/>
  <c r="P23"/>
  <c r="P34"/>
  <c r="Z16"/>
  <c r="U16"/>
  <c r="W16" s="1"/>
  <c r="B24"/>
  <c r="J24"/>
  <c r="Q26"/>
  <c r="U26"/>
  <c r="U18"/>
  <c r="Z18"/>
  <c r="AE9"/>
  <c r="AH9" s="1"/>
  <c r="AI9" s="1"/>
  <c r="N9"/>
  <c r="AF9"/>
  <c r="S9"/>
  <c r="O9"/>
  <c r="J9"/>
  <c r="M9" s="1"/>
  <c r="C9"/>
  <c r="X9"/>
  <c r="T9"/>
  <c r="V9" s="1"/>
  <c r="K9"/>
  <c r="U19"/>
  <c r="Z19"/>
  <c r="Z27"/>
  <c r="B33"/>
  <c r="K33"/>
  <c r="J33"/>
  <c r="M33" s="1"/>
  <c r="D33"/>
  <c r="G33" s="1"/>
  <c r="H33" s="1"/>
  <c r="AQ33" s="1"/>
  <c r="U34"/>
  <c r="V34"/>
  <c r="Q34"/>
  <c r="AA16"/>
  <c r="Z32"/>
  <c r="Q39"/>
  <c r="Z20"/>
  <c r="U20"/>
  <c r="W20" s="1"/>
  <c r="Z23"/>
  <c r="U23"/>
  <c r="W23" s="1"/>
  <c r="B29"/>
  <c r="K29"/>
  <c r="J29"/>
  <c r="M29" s="1"/>
  <c r="V29" s="1"/>
  <c r="D29"/>
  <c r="G29" s="1"/>
  <c r="H29" s="1"/>
  <c r="AQ29" s="1"/>
  <c r="Q30"/>
  <c r="U30"/>
  <c r="U38"/>
  <c r="Q38"/>
  <c r="V38"/>
  <c r="Z17"/>
  <c r="U17"/>
  <c r="W17" s="1"/>
  <c r="U21"/>
  <c r="Z21"/>
  <c r="B25"/>
  <c r="J25"/>
  <c r="M25" s="1"/>
  <c r="K25"/>
  <c r="D25"/>
  <c r="G25" s="1"/>
  <c r="H25" s="1"/>
  <c r="AQ25" s="1"/>
  <c r="U22"/>
  <c r="Z22"/>
  <c r="Z31"/>
  <c r="V26"/>
  <c r="P30"/>
  <c r="AA20"/>
  <c r="AA23"/>
  <c r="P26"/>
  <c r="E29"/>
  <c r="P38"/>
  <c r="AA24"/>
  <c r="AA28"/>
  <c r="E30"/>
  <c r="AA32"/>
  <c r="E34"/>
  <c r="AA36"/>
  <c r="D37"/>
  <c r="G37" s="1"/>
  <c r="H37" s="1"/>
  <c r="AQ37" s="1"/>
  <c r="K37"/>
  <c r="E38"/>
  <c r="Z39"/>
  <c r="B22"/>
  <c r="B23"/>
  <c r="D26"/>
  <c r="G26" s="1"/>
  <c r="H26" s="1"/>
  <c r="AQ26" s="1"/>
  <c r="K26"/>
  <c r="E27"/>
  <c r="B28"/>
  <c r="D30"/>
  <c r="G30" s="1"/>
  <c r="H30" s="1"/>
  <c r="AQ30" s="1"/>
  <c r="K30"/>
  <c r="E31"/>
  <c r="B32"/>
  <c r="D34"/>
  <c r="G34" s="1"/>
  <c r="H34" s="1"/>
  <c r="AQ34" s="1"/>
  <c r="K34"/>
  <c r="E35"/>
  <c r="B36"/>
  <c r="J37"/>
  <c r="M37" s="1"/>
  <c r="D38"/>
  <c r="G38" s="1"/>
  <c r="H38" s="1"/>
  <c r="AQ38" s="1"/>
  <c r="K38"/>
  <c r="E39"/>
  <c r="AA35"/>
  <c r="E37"/>
  <c r="E26"/>
  <c r="C11"/>
  <c r="M11"/>
  <c r="C13"/>
  <c r="M13"/>
  <c r="K14"/>
  <c r="T14"/>
  <c r="V14" s="1"/>
  <c r="K15"/>
  <c r="T15"/>
  <c r="V15" s="1"/>
  <c r="D27"/>
  <c r="G27" s="1"/>
  <c r="H27" s="1"/>
  <c r="AQ27" s="1"/>
  <c r="D31"/>
  <c r="G31" s="1"/>
  <c r="H31" s="1"/>
  <c r="AQ31" s="1"/>
  <c r="D35"/>
  <c r="G35" s="1"/>
  <c r="H35" s="1"/>
  <c r="AQ35" s="1"/>
  <c r="D39"/>
  <c r="G39" s="1"/>
  <c r="H39" s="1"/>
  <c r="AQ39" s="1"/>
  <c r="E11" i="53" l="1"/>
  <c r="E9"/>
  <c r="L9"/>
  <c r="L11"/>
  <c r="E13"/>
  <c r="E12"/>
  <c r="L13"/>
  <c r="L12"/>
  <c r="L10"/>
  <c r="N10" s="1"/>
  <c r="P10" s="1"/>
  <c r="L11" i="40"/>
  <c r="L12"/>
  <c r="L13"/>
  <c r="W21" i="51"/>
  <c r="AB36"/>
  <c r="R18"/>
  <c r="AB37"/>
  <c r="AB29"/>
  <c r="AB22"/>
  <c r="U31"/>
  <c r="W31" s="1"/>
  <c r="Q36"/>
  <c r="R36" s="1"/>
  <c r="AB27"/>
  <c r="Q9"/>
  <c r="P9"/>
  <c r="R16"/>
  <c r="P28"/>
  <c r="U35"/>
  <c r="W35" s="1"/>
  <c r="U39"/>
  <c r="W39" s="1"/>
  <c r="W18"/>
  <c r="AB19"/>
  <c r="AB24"/>
  <c r="AB34"/>
  <c r="W30"/>
  <c r="W19"/>
  <c r="AB18"/>
  <c r="P39"/>
  <c r="R39" s="1"/>
  <c r="R21"/>
  <c r="W15"/>
  <c r="AB21"/>
  <c r="R20"/>
  <c r="AB31"/>
  <c r="AB33"/>
  <c r="AB39"/>
  <c r="AB28"/>
  <c r="AB17"/>
  <c r="Z9"/>
  <c r="U9"/>
  <c r="R23"/>
  <c r="AA9"/>
  <c r="P13"/>
  <c r="R13" s="1"/>
  <c r="Q13"/>
  <c r="P12"/>
  <c r="Q12"/>
  <c r="Q11"/>
  <c r="P11"/>
  <c r="P10"/>
  <c r="Q10"/>
  <c r="Q28"/>
  <c r="R28" s="1"/>
  <c r="Q35"/>
  <c r="P35"/>
  <c r="R14"/>
  <c r="Q32"/>
  <c r="R32" s="1"/>
  <c r="R34"/>
  <c r="W24"/>
  <c r="P31"/>
  <c r="U36"/>
  <c r="W22"/>
  <c r="V36"/>
  <c r="Q31"/>
  <c r="R22"/>
  <c r="AB38"/>
  <c r="W14"/>
  <c r="W28"/>
  <c r="V32"/>
  <c r="Q27"/>
  <c r="U27"/>
  <c r="W27" s="1"/>
  <c r="U32"/>
  <c r="P27"/>
  <c r="AB35"/>
  <c r="AB20"/>
  <c r="R17"/>
  <c r="R24"/>
  <c r="AB32"/>
  <c r="W26"/>
  <c r="R30"/>
  <c r="U8"/>
  <c r="Q8"/>
  <c r="R8" s="1"/>
  <c r="P37"/>
  <c r="Q37"/>
  <c r="U37"/>
  <c r="P25"/>
  <c r="U25"/>
  <c r="Q25"/>
  <c r="P29"/>
  <c r="Q29"/>
  <c r="U29"/>
  <c r="W29" s="1"/>
  <c r="Z14"/>
  <c r="V8"/>
  <c r="R38"/>
  <c r="W38"/>
  <c r="AB23"/>
  <c r="V25"/>
  <c r="V37"/>
  <c r="Z15"/>
  <c r="W34"/>
  <c r="U33"/>
  <c r="P33"/>
  <c r="Q33"/>
  <c r="AB16"/>
  <c r="R26"/>
  <c r="V33"/>
  <c r="AA14"/>
  <c r="AA15"/>
  <c r="N11" i="53" l="1"/>
  <c r="P11" s="1"/>
  <c r="N9"/>
  <c r="P9" s="1"/>
  <c r="N13"/>
  <c r="P13" s="1"/>
  <c r="N12"/>
  <c r="P12" s="1"/>
  <c r="W32" i="51"/>
  <c r="R10"/>
  <c r="AQ10" s="1"/>
  <c r="R12"/>
  <c r="AQ12" s="1"/>
  <c r="R27"/>
  <c r="R35"/>
  <c r="R11"/>
  <c r="AQ13"/>
  <c r="AQ9"/>
  <c r="R31"/>
  <c r="W36"/>
  <c r="AB14"/>
  <c r="AQ14" s="1"/>
  <c r="R29"/>
  <c r="AB15"/>
  <c r="AQ15" s="1"/>
  <c r="R33"/>
  <c r="W37"/>
  <c r="W8"/>
  <c r="AQ8" s="1"/>
  <c r="H8" i="40" s="1"/>
  <c r="AQ11" i="51"/>
  <c r="R25"/>
  <c r="W33"/>
  <c r="W25"/>
  <c r="R37"/>
  <c r="O8" i="36" l="1"/>
  <c r="AT13" l="1"/>
  <c r="AT12"/>
  <c r="AT11"/>
  <c r="AT10"/>
  <c r="AT9"/>
  <c r="AT39"/>
  <c r="AT38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8"/>
  <c r="Z16"/>
  <c r="AA16"/>
  <c r="Z17"/>
  <c r="AA17"/>
  <c r="Z18"/>
  <c r="AA18"/>
  <c r="Z19"/>
  <c r="AA19"/>
  <c r="Z20"/>
  <c r="AA20"/>
  <c r="Z21"/>
  <c r="AA21"/>
  <c r="Z22"/>
  <c r="AA22"/>
  <c r="Z23"/>
  <c r="AA23"/>
  <c r="Z24"/>
  <c r="AA24"/>
  <c r="Z25"/>
  <c r="AA25"/>
  <c r="Z26"/>
  <c r="AA26"/>
  <c r="Z27"/>
  <c r="AA27"/>
  <c r="Z28"/>
  <c r="AA28"/>
  <c r="Z29"/>
  <c r="AA29"/>
  <c r="Z30"/>
  <c r="AA30"/>
  <c r="Z31"/>
  <c r="AA31"/>
  <c r="Z32"/>
  <c r="AA32"/>
  <c r="Z33"/>
  <c r="AA33"/>
  <c r="Z34"/>
  <c r="AA34"/>
  <c r="Z35"/>
  <c r="AA35"/>
  <c r="Z36"/>
  <c r="AA36"/>
  <c r="Z37"/>
  <c r="AA37"/>
  <c r="Z38"/>
  <c r="AA38"/>
  <c r="Z39"/>
  <c r="AA39"/>
  <c r="G9"/>
  <c r="AK9" s="1"/>
  <c r="G8"/>
  <c r="AK8" s="1"/>
  <c r="H9" i="21"/>
  <c r="H10" s="1"/>
  <c r="H11" s="1"/>
  <c r="H12" s="1"/>
  <c r="H13" s="1"/>
  <c r="H14" s="1"/>
  <c r="H15" s="1"/>
  <c r="H16" s="1"/>
  <c r="B14" i="1"/>
  <c r="B14" i="39" s="1"/>
  <c r="T14" i="36"/>
  <c r="B8" i="1"/>
  <c r="B8" i="39" s="1"/>
  <c r="A8" i="36" s="1"/>
  <c r="B9" i="1"/>
  <c r="B9" i="39" s="1"/>
  <c r="A9" i="36" s="1"/>
  <c r="AM9" s="1"/>
  <c r="B13" i="1"/>
  <c r="B13" i="39" s="1"/>
  <c r="A13" i="36" s="1"/>
  <c r="B10" i="1"/>
  <c r="B11"/>
  <c r="B11" i="39" s="1"/>
  <c r="A11" i="36" s="1"/>
  <c r="B12" i="1"/>
  <c r="B12" i="39" s="1"/>
  <c r="A12" i="36" s="1"/>
  <c r="H13" i="1"/>
  <c r="F11" i="40" s="1"/>
  <c r="AO14" i="36"/>
  <c r="H14" i="1"/>
  <c r="H12"/>
  <c r="F9" i="40" s="1"/>
  <c r="B15" i="1"/>
  <c r="AO15" i="36"/>
  <c r="T15"/>
  <c r="H15" i="1"/>
  <c r="H8"/>
  <c r="H10"/>
  <c r="F12" i="40" s="1"/>
  <c r="H11" i="1"/>
  <c r="F10" i="40" s="1"/>
  <c r="H9" i="1"/>
  <c r="F13" i="40" s="1"/>
  <c r="B24" i="1"/>
  <c r="B16"/>
  <c r="B16" i="39" s="1"/>
  <c r="A16" i="36" s="1"/>
  <c r="H16" i="1"/>
  <c r="G16"/>
  <c r="D16"/>
  <c r="F16"/>
  <c r="C16"/>
  <c r="E16"/>
  <c r="B23"/>
  <c r="B23" i="40" s="1"/>
  <c r="B22" i="1"/>
  <c r="B22" i="40" s="1"/>
  <c r="B21" i="1"/>
  <c r="B21" i="40" s="1"/>
  <c r="B20" i="1"/>
  <c r="B19"/>
  <c r="B19" i="40" s="1"/>
  <c r="B18" i="1"/>
  <c r="B17"/>
  <c r="G15"/>
  <c r="D15"/>
  <c r="F15"/>
  <c r="C15"/>
  <c r="E15"/>
  <c r="G14"/>
  <c r="D14"/>
  <c r="F14"/>
  <c r="C14"/>
  <c r="E14"/>
  <c r="G13"/>
  <c r="E11" i="40" s="1"/>
  <c r="D13" i="1"/>
  <c r="F13"/>
  <c r="D11" i="40" s="1"/>
  <c r="C13" i="1"/>
  <c r="E13"/>
  <c r="G12"/>
  <c r="E9" i="40" s="1"/>
  <c r="D12" i="1"/>
  <c r="D9" i="40" s="1"/>
  <c r="F12" i="1"/>
  <c r="C12"/>
  <c r="E12"/>
  <c r="G11"/>
  <c r="E10" i="40" s="1"/>
  <c r="D11" i="1"/>
  <c r="F11"/>
  <c r="C11"/>
  <c r="E11"/>
  <c r="G10"/>
  <c r="E12" i="40" s="1"/>
  <c r="D10" i="1"/>
  <c r="F10"/>
  <c r="C10"/>
  <c r="E10"/>
  <c r="G9"/>
  <c r="E13" i="40" s="1"/>
  <c r="D9" i="1"/>
  <c r="D13" i="40" s="1"/>
  <c r="F9" i="1"/>
  <c r="C9"/>
  <c r="E9"/>
  <c r="D9" i="39" s="1"/>
  <c r="B38" i="1"/>
  <c r="B38" i="39" s="1"/>
  <c r="A38" i="36" s="1"/>
  <c r="B37" i="1"/>
  <c r="B37" i="21" s="1"/>
  <c r="B36" i="1"/>
  <c r="B35"/>
  <c r="B34"/>
  <c r="B34" i="39" s="1"/>
  <c r="A34" i="36" s="1"/>
  <c r="B33" i="1"/>
  <c r="B33" i="40" s="1"/>
  <c r="B32" i="1"/>
  <c r="B32" i="39" s="1"/>
  <c r="A32" i="36" s="1"/>
  <c r="B31" i="1"/>
  <c r="B31" i="39" s="1"/>
  <c r="B30" i="1"/>
  <c r="B29"/>
  <c r="B29" i="39" s="1"/>
  <c r="B28" i="1"/>
  <c r="B27"/>
  <c r="B27" i="39" s="1"/>
  <c r="B26" i="1"/>
  <c r="B26" i="21" s="1"/>
  <c r="B25" i="1"/>
  <c r="B23" i="39"/>
  <c r="A23" i="36" s="1"/>
  <c r="B22" i="39"/>
  <c r="A22" i="36" s="1"/>
  <c r="A22" i="37" s="1"/>
  <c r="B19" i="39"/>
  <c r="A19" i="36" s="1"/>
  <c r="T16"/>
  <c r="G24"/>
  <c r="G23"/>
  <c r="G22"/>
  <c r="G19"/>
  <c r="G18"/>
  <c r="G17"/>
  <c r="G16"/>
  <c r="G15"/>
  <c r="G14"/>
  <c r="G13"/>
  <c r="AK13" s="1"/>
  <c r="G12"/>
  <c r="AK12" s="1"/>
  <c r="G11"/>
  <c r="AK11" s="1"/>
  <c r="G10"/>
  <c r="AK10" s="1"/>
  <c r="B39" i="1"/>
  <c r="AL39" i="36"/>
  <c r="AO39" s="1"/>
  <c r="AK39"/>
  <c r="AM39"/>
  <c r="AL38"/>
  <c r="AO38" s="1"/>
  <c r="AK38"/>
  <c r="AM38"/>
  <c r="AL37"/>
  <c r="AO37" s="1"/>
  <c r="AK37"/>
  <c r="AM37"/>
  <c r="AL36"/>
  <c r="AO36" s="1"/>
  <c r="AK36"/>
  <c r="AM36"/>
  <c r="AL35"/>
  <c r="AO35" s="1"/>
  <c r="AK35"/>
  <c r="AM35"/>
  <c r="AL34"/>
  <c r="AO34" s="1"/>
  <c r="AK34"/>
  <c r="AM34"/>
  <c r="AL33"/>
  <c r="AO33" s="1"/>
  <c r="AK33"/>
  <c r="AM33"/>
  <c r="AL32"/>
  <c r="AO32" s="1"/>
  <c r="AK32"/>
  <c r="AM32"/>
  <c r="AL31"/>
  <c r="AO31" s="1"/>
  <c r="AK31"/>
  <c r="AM31"/>
  <c r="AL30"/>
  <c r="AO30" s="1"/>
  <c r="AK30"/>
  <c r="AM30"/>
  <c r="AL29"/>
  <c r="AO29" s="1"/>
  <c r="AK29"/>
  <c r="AM29"/>
  <c r="AL28"/>
  <c r="AO28" s="1"/>
  <c r="AK28"/>
  <c r="AM28"/>
  <c r="AL27"/>
  <c r="AO27" s="1"/>
  <c r="AK27"/>
  <c r="AM27"/>
  <c r="AL26"/>
  <c r="AO26" s="1"/>
  <c r="AK26"/>
  <c r="AM26"/>
  <c r="AL25"/>
  <c r="AO25" s="1"/>
  <c r="AK25"/>
  <c r="AM25"/>
  <c r="AL24"/>
  <c r="AO24" s="1"/>
  <c r="AK24"/>
  <c r="AM24"/>
  <c r="AL23"/>
  <c r="AO23" s="1"/>
  <c r="AK23"/>
  <c r="AM23"/>
  <c r="AL22"/>
  <c r="AO22" s="1"/>
  <c r="AK22"/>
  <c r="AM22"/>
  <c r="AO21"/>
  <c r="AK21"/>
  <c r="AM21"/>
  <c r="AL21"/>
  <c r="AL20"/>
  <c r="AO20" s="1"/>
  <c r="AK20"/>
  <c r="AM20"/>
  <c r="AL19"/>
  <c r="AO19" s="1"/>
  <c r="AK19"/>
  <c r="AM19"/>
  <c r="AL18"/>
  <c r="AO18" s="1"/>
  <c r="AK18"/>
  <c r="AM18"/>
  <c r="AL17"/>
  <c r="AO17" s="1"/>
  <c r="AK17"/>
  <c r="AM17"/>
  <c r="AL16"/>
  <c r="AO16" s="1"/>
  <c r="AK16"/>
  <c r="AM16"/>
  <c r="B1"/>
  <c r="C1" s="1"/>
  <c r="D1" s="1"/>
  <c r="E1" s="1"/>
  <c r="F1" s="1"/>
  <c r="G1" s="1"/>
  <c r="H1" s="1"/>
  <c r="I1" s="1"/>
  <c r="J1" s="1"/>
  <c r="AE39"/>
  <c r="AF39"/>
  <c r="U39"/>
  <c r="V39"/>
  <c r="AE38"/>
  <c r="AF38"/>
  <c r="U38"/>
  <c r="V38"/>
  <c r="AE37"/>
  <c r="AF37"/>
  <c r="U37"/>
  <c r="V37"/>
  <c r="AE36"/>
  <c r="AF36"/>
  <c r="U36"/>
  <c r="V36"/>
  <c r="AE35"/>
  <c r="AF35"/>
  <c r="U35"/>
  <c r="V35"/>
  <c r="AE34"/>
  <c r="AF34"/>
  <c r="U34"/>
  <c r="V34"/>
  <c r="AE33"/>
  <c r="AF33"/>
  <c r="U33"/>
  <c r="V33"/>
  <c r="AE32"/>
  <c r="AF32"/>
  <c r="U32"/>
  <c r="V32"/>
  <c r="AE31"/>
  <c r="AF31"/>
  <c r="U31"/>
  <c r="V31"/>
  <c r="AE30"/>
  <c r="AF30"/>
  <c r="U30"/>
  <c r="V30"/>
  <c r="AE29"/>
  <c r="AF29"/>
  <c r="U29"/>
  <c r="V29"/>
  <c r="AE28"/>
  <c r="AF28"/>
  <c r="U28"/>
  <c r="V28"/>
  <c r="AE27"/>
  <c r="AF27"/>
  <c r="U27"/>
  <c r="V27"/>
  <c r="AE26"/>
  <c r="AF26"/>
  <c r="U26"/>
  <c r="V26"/>
  <c r="AE25"/>
  <c r="AF25"/>
  <c r="U25"/>
  <c r="V25"/>
  <c r="AE24"/>
  <c r="AF24"/>
  <c r="T24"/>
  <c r="U24"/>
  <c r="V24"/>
  <c r="AE23"/>
  <c r="AF23"/>
  <c r="T23"/>
  <c r="U23"/>
  <c r="V23"/>
  <c r="AE22"/>
  <c r="AF22"/>
  <c r="T22"/>
  <c r="U22"/>
  <c r="V22"/>
  <c r="AE21"/>
  <c r="AF21"/>
  <c r="T21"/>
  <c r="U21"/>
  <c r="V21"/>
  <c r="AE20"/>
  <c r="AF20"/>
  <c r="T20"/>
  <c r="U20"/>
  <c r="V20"/>
  <c r="AE19"/>
  <c r="AF19"/>
  <c r="T19"/>
  <c r="U19"/>
  <c r="V19"/>
  <c r="AE18"/>
  <c r="AF18"/>
  <c r="T18"/>
  <c r="U18"/>
  <c r="V18"/>
  <c r="AE17"/>
  <c r="AF17"/>
  <c r="T17"/>
  <c r="U17"/>
  <c r="V17"/>
  <c r="AE16"/>
  <c r="AF16"/>
  <c r="U16"/>
  <c r="V16"/>
  <c r="B8" i="21"/>
  <c r="H8" i="39" s="1"/>
  <c r="B11" i="21"/>
  <c r="B14"/>
  <c r="B18"/>
  <c r="B19"/>
  <c r="B20"/>
  <c r="B22"/>
  <c r="B23"/>
  <c r="L24" i="36"/>
  <c r="L16"/>
  <c r="H24" i="1"/>
  <c r="H23"/>
  <c r="L9" i="36"/>
  <c r="L13"/>
  <c r="L10"/>
  <c r="L18"/>
  <c r="H18" i="1"/>
  <c r="L11" i="36"/>
  <c r="L20"/>
  <c r="H20" i="1"/>
  <c r="AK14" i="36"/>
  <c r="L14"/>
  <c r="L22"/>
  <c r="H22" i="1"/>
  <c r="L19" i="36"/>
  <c r="H19" i="1"/>
  <c r="L17" i="36"/>
  <c r="H17" i="1"/>
  <c r="L21" i="36"/>
  <c r="H21" i="1"/>
  <c r="C25" i="36"/>
  <c r="L25"/>
  <c r="AK15"/>
  <c r="L15"/>
  <c r="L12"/>
  <c r="L8"/>
  <c r="C38"/>
  <c r="L38"/>
  <c r="H25" i="1"/>
  <c r="G25"/>
  <c r="D25"/>
  <c r="F25"/>
  <c r="C25"/>
  <c r="E25"/>
  <c r="C37" i="36"/>
  <c r="L37"/>
  <c r="C36"/>
  <c r="L36"/>
  <c r="C35"/>
  <c r="L35"/>
  <c r="B34" i="40"/>
  <c r="C34" i="36"/>
  <c r="L34"/>
  <c r="C33"/>
  <c r="L33"/>
  <c r="B32" i="40"/>
  <c r="C32" i="36"/>
  <c r="L32"/>
  <c r="B31" i="40"/>
  <c r="C31" i="36"/>
  <c r="L31"/>
  <c r="C30"/>
  <c r="L30"/>
  <c r="C29"/>
  <c r="L29"/>
  <c r="C28"/>
  <c r="L28"/>
  <c r="C27"/>
  <c r="L27"/>
  <c r="C26"/>
  <c r="L26"/>
  <c r="C24"/>
  <c r="G24" i="1"/>
  <c r="D24"/>
  <c r="F24"/>
  <c r="C24"/>
  <c r="E24"/>
  <c r="C23" i="36"/>
  <c r="L23"/>
  <c r="G23" i="1"/>
  <c r="D23"/>
  <c r="F23"/>
  <c r="C23"/>
  <c r="E23"/>
  <c r="C22" i="36"/>
  <c r="G22" i="1"/>
  <c r="D22"/>
  <c r="F22"/>
  <c r="C22"/>
  <c r="E22"/>
  <c r="C21" i="36"/>
  <c r="G21"/>
  <c r="G21" i="1"/>
  <c r="D21"/>
  <c r="F21"/>
  <c r="C21"/>
  <c r="E21"/>
  <c r="C20" i="36"/>
  <c r="G20"/>
  <c r="G20" i="1"/>
  <c r="D20"/>
  <c r="F20"/>
  <c r="C20"/>
  <c r="E20"/>
  <c r="C19" i="36"/>
  <c r="G19" i="1"/>
  <c r="D19"/>
  <c r="F19"/>
  <c r="C19"/>
  <c r="E19"/>
  <c r="C18" i="36"/>
  <c r="G18" i="1"/>
  <c r="D18"/>
  <c r="F18"/>
  <c r="C18"/>
  <c r="E18"/>
  <c r="C17" i="36"/>
  <c r="G17" i="1"/>
  <c r="D17"/>
  <c r="F17"/>
  <c r="C17"/>
  <c r="E17"/>
  <c r="C16" i="36"/>
  <c r="G8" i="1"/>
  <c r="E8" i="39" s="1"/>
  <c r="D8" i="1"/>
  <c r="G8" i="39" s="1"/>
  <c r="F8" i="1"/>
  <c r="C8"/>
  <c r="B8" i="51" s="1"/>
  <c r="E8" i="1"/>
  <c r="L39" i="36"/>
  <c r="C39"/>
  <c r="A14" i="40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C38" i="1"/>
  <c r="C37"/>
  <c r="C36"/>
  <c r="C35"/>
  <c r="C34"/>
  <c r="C33"/>
  <c r="C32"/>
  <c r="C31"/>
  <c r="C30"/>
  <c r="C29"/>
  <c r="C28"/>
  <c r="C27"/>
  <c r="C26"/>
  <c r="B27" i="21"/>
  <c r="B30"/>
  <c r="B31"/>
  <c r="B34"/>
  <c r="B35"/>
  <c r="B38"/>
  <c r="H26" i="1"/>
  <c r="H28"/>
  <c r="H32"/>
  <c r="H29"/>
  <c r="H30"/>
  <c r="H38"/>
  <c r="H33"/>
  <c r="H27"/>
  <c r="H34"/>
  <c r="H31"/>
  <c r="H35"/>
  <c r="H37"/>
  <c r="H36"/>
  <c r="P23" i="37"/>
  <c r="A9" i="43"/>
  <c r="A10" s="1"/>
  <c r="A11" s="1"/>
  <c r="A12" s="1"/>
  <c r="A13" s="1"/>
  <c r="H29" i="21"/>
  <c r="H30" s="1"/>
  <c r="H31" s="1"/>
  <c r="H32" s="1"/>
  <c r="H33" s="1"/>
  <c r="H34" s="1"/>
  <c r="H35" s="1"/>
  <c r="H36" s="1"/>
  <c r="H37" s="1"/>
  <c r="H38" s="1"/>
  <c r="H39" s="1"/>
  <c r="C39" i="1"/>
  <c r="D39"/>
  <c r="H39"/>
  <c r="G39"/>
  <c r="E39"/>
  <c r="A10" i="39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D38" i="1"/>
  <c r="G38"/>
  <c r="E38"/>
  <c r="D37"/>
  <c r="G37"/>
  <c r="E37"/>
  <c r="D36"/>
  <c r="G36"/>
  <c r="E36"/>
  <c r="D35"/>
  <c r="G35"/>
  <c r="E35"/>
  <c r="D34"/>
  <c r="G34"/>
  <c r="E34"/>
  <c r="D33"/>
  <c r="G33"/>
  <c r="E33"/>
  <c r="D32"/>
  <c r="G32"/>
  <c r="E32"/>
  <c r="D31"/>
  <c r="G31"/>
  <c r="E31"/>
  <c r="D30"/>
  <c r="G30"/>
  <c r="E30"/>
  <c r="D29"/>
  <c r="G29"/>
  <c r="E29"/>
  <c r="D28"/>
  <c r="G28"/>
  <c r="E28"/>
  <c r="D27"/>
  <c r="G27"/>
  <c r="E27"/>
  <c r="D26"/>
  <c r="G26"/>
  <c r="E26"/>
  <c r="A10" i="2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F39"/>
  <c r="U38" i="40"/>
  <c r="F38" i="1"/>
  <c r="F37"/>
  <c r="U14" i="40"/>
  <c r="U15"/>
  <c r="U16"/>
  <c r="U17"/>
  <c r="U18"/>
  <c r="U19"/>
  <c r="U20"/>
  <c r="U21"/>
  <c r="U22"/>
  <c r="U23"/>
  <c r="U24"/>
  <c r="U25"/>
  <c r="F26" i="1"/>
  <c r="U26" i="40"/>
  <c r="F27" i="1"/>
  <c r="U27" i="40"/>
  <c r="F28" i="1"/>
  <c r="U28" i="40"/>
  <c r="F29" i="1"/>
  <c r="U29" i="40"/>
  <c r="F30" i="1"/>
  <c r="U30" i="40"/>
  <c r="F31" i="1"/>
  <c r="U31" i="40"/>
  <c r="F32" i="1"/>
  <c r="U32" i="40"/>
  <c r="F33" i="1"/>
  <c r="U33" i="40"/>
  <c r="F34" i="1"/>
  <c r="U34" i="40"/>
  <c r="F35" i="1"/>
  <c r="U35" i="40"/>
  <c r="F36" i="1"/>
  <c r="U36" i="40"/>
  <c r="U37"/>
  <c r="A9" i="39"/>
  <c r="U8" i="40"/>
  <c r="A9" i="21"/>
  <c r="D10" i="40" l="1"/>
  <c r="D12"/>
  <c r="C8" i="39"/>
  <c r="B13" i="53"/>
  <c r="B13" i="37"/>
  <c r="C11" i="40"/>
  <c r="B13" i="51"/>
  <c r="B12" i="53"/>
  <c r="C9" i="40"/>
  <c r="B12" i="51"/>
  <c r="B12" i="37"/>
  <c r="C10" i="40"/>
  <c r="B11" i="37"/>
  <c r="B11" i="53"/>
  <c r="B11" i="51"/>
  <c r="C11" i="39"/>
  <c r="C12" i="40"/>
  <c r="B10" i="53"/>
  <c r="B10" i="51"/>
  <c r="B10" i="37"/>
  <c r="B9" i="53"/>
  <c r="C13" i="40"/>
  <c r="B9" i="37"/>
  <c r="B9" i="51"/>
  <c r="G8" i="40"/>
  <c r="I8" s="1"/>
  <c r="G10"/>
  <c r="I10" s="1"/>
  <c r="J10" s="1"/>
  <c r="G11"/>
  <c r="I11" s="1"/>
  <c r="J11" s="1"/>
  <c r="G9"/>
  <c r="I9" s="1"/>
  <c r="J9" s="1"/>
  <c r="G13"/>
  <c r="I13" s="1"/>
  <c r="J13" s="1"/>
  <c r="G12"/>
  <c r="I12" s="1"/>
  <c r="J12" s="1"/>
  <c r="A8" i="53"/>
  <c r="D12" i="37"/>
  <c r="F11"/>
  <c r="H10"/>
  <c r="J13"/>
  <c r="C12"/>
  <c r="E12" s="1"/>
  <c r="J9"/>
  <c r="G12"/>
  <c r="J11"/>
  <c r="K10"/>
  <c r="C10"/>
  <c r="F13"/>
  <c r="H12"/>
  <c r="D10"/>
  <c r="F9"/>
  <c r="K12"/>
  <c r="G10"/>
  <c r="D9"/>
  <c r="J10"/>
  <c r="F12"/>
  <c r="C9"/>
  <c r="C13"/>
  <c r="G9"/>
  <c r="K13"/>
  <c r="I13"/>
  <c r="F10"/>
  <c r="H13"/>
  <c r="G11"/>
  <c r="I12"/>
  <c r="I10"/>
  <c r="I11"/>
  <c r="H11"/>
  <c r="D13"/>
  <c r="C11"/>
  <c r="K11"/>
  <c r="K9"/>
  <c r="I9"/>
  <c r="H9"/>
  <c r="D11"/>
  <c r="J12"/>
  <c r="G13"/>
  <c r="F15" i="40"/>
  <c r="C14"/>
  <c r="H14" s="1"/>
  <c r="F8" i="39"/>
  <c r="AM13" i="36"/>
  <c r="T13"/>
  <c r="AL13"/>
  <c r="AO13" s="1"/>
  <c r="W13"/>
  <c r="T9"/>
  <c r="T11"/>
  <c r="AH12"/>
  <c r="AM11"/>
  <c r="AM12"/>
  <c r="T12"/>
  <c r="X13"/>
  <c r="AL9"/>
  <c r="AO9" s="1"/>
  <c r="X12"/>
  <c r="AB13"/>
  <c r="AG11"/>
  <c r="AG13"/>
  <c r="AL11"/>
  <c r="AO11" s="1"/>
  <c r="AL12"/>
  <c r="AO12" s="1"/>
  <c r="T8"/>
  <c r="W8" s="1"/>
  <c r="AL8"/>
  <c r="AO8" s="1"/>
  <c r="AP25"/>
  <c r="AP29"/>
  <c r="AB21"/>
  <c r="AP26"/>
  <c r="AP30"/>
  <c r="AP34"/>
  <c r="AP38"/>
  <c r="AC16"/>
  <c r="AC18"/>
  <c r="AB17"/>
  <c r="AB24"/>
  <c r="AC20"/>
  <c r="AB18"/>
  <c r="AB22"/>
  <c r="B9"/>
  <c r="AC24"/>
  <c r="AC22"/>
  <c r="AC17"/>
  <c r="AB20"/>
  <c r="AC21"/>
  <c r="AB16"/>
  <c r="AB23"/>
  <c r="AB19"/>
  <c r="AC23"/>
  <c r="AC19"/>
  <c r="R34"/>
  <c r="W16"/>
  <c r="Q34"/>
  <c r="T34" s="1"/>
  <c r="AC34" s="1"/>
  <c r="A16" i="37"/>
  <c r="B16" s="1"/>
  <c r="E34" i="36"/>
  <c r="B12"/>
  <c r="C9"/>
  <c r="X20"/>
  <c r="AG20"/>
  <c r="AG22"/>
  <c r="R22"/>
  <c r="AH30"/>
  <c r="AP18"/>
  <c r="AP23"/>
  <c r="AP39"/>
  <c r="AH16"/>
  <c r="AG32"/>
  <c r="K1"/>
  <c r="L1" s="1"/>
  <c r="M1" s="1"/>
  <c r="AG21"/>
  <c r="AH22"/>
  <c r="AG31"/>
  <c r="AH21"/>
  <c r="Q16"/>
  <c r="AG17"/>
  <c r="AH32"/>
  <c r="AH38"/>
  <c r="AP19"/>
  <c r="R16"/>
  <c r="X16"/>
  <c r="AH18"/>
  <c r="AH37"/>
  <c r="AP33"/>
  <c r="X18"/>
  <c r="AG18"/>
  <c r="AG23"/>
  <c r="AH24"/>
  <c r="AG37"/>
  <c r="AG39"/>
  <c r="AP16"/>
  <c r="AP21"/>
  <c r="AP31"/>
  <c r="AP35"/>
  <c r="X24"/>
  <c r="AG24"/>
  <c r="AP22"/>
  <c r="AP28"/>
  <c r="AP32"/>
  <c r="AP36"/>
  <c r="AP37"/>
  <c r="AP14"/>
  <c r="AM8"/>
  <c r="C8"/>
  <c r="B8"/>
  <c r="N22"/>
  <c r="W21"/>
  <c r="Q22"/>
  <c r="Q19"/>
  <c r="E32"/>
  <c r="R32"/>
  <c r="E8" i="21"/>
  <c r="N19" i="36"/>
  <c r="B33" i="39"/>
  <c r="G33" s="1"/>
  <c r="B33" i="21"/>
  <c r="D33" s="1"/>
  <c r="W19" i="36"/>
  <c r="E23" i="21"/>
  <c r="E23" i="39"/>
  <c r="B13" i="21"/>
  <c r="C13" s="1"/>
  <c r="C12" i="39"/>
  <c r="B12" i="21"/>
  <c r="E12" s="1"/>
  <c r="C16" i="39"/>
  <c r="E31"/>
  <c r="E27" i="21"/>
  <c r="D12" i="39"/>
  <c r="F11" i="21"/>
  <c r="C37"/>
  <c r="G9" i="39"/>
  <c r="E13"/>
  <c r="D29"/>
  <c r="B23" i="36"/>
  <c r="E11" i="21"/>
  <c r="E35"/>
  <c r="F9" i="39"/>
  <c r="F11"/>
  <c r="F12"/>
  <c r="E19"/>
  <c r="G29"/>
  <c r="E31" i="21"/>
  <c r="B11" i="36"/>
  <c r="E13" i="21"/>
  <c r="E20"/>
  <c r="C9" i="39"/>
  <c r="G11"/>
  <c r="E22"/>
  <c r="C32"/>
  <c r="D11" i="21"/>
  <c r="F26"/>
  <c r="E9" i="39"/>
  <c r="E11"/>
  <c r="E12"/>
  <c r="F16"/>
  <c r="E27"/>
  <c r="E32"/>
  <c r="B22" i="37"/>
  <c r="B22" i="36"/>
  <c r="B38"/>
  <c r="E31" i="40"/>
  <c r="F22" i="21"/>
  <c r="C14"/>
  <c r="B9"/>
  <c r="E9" s="1"/>
  <c r="D8"/>
  <c r="D8" i="39"/>
  <c r="F8" i="21"/>
  <c r="G18"/>
  <c r="D37"/>
  <c r="D11" i="39"/>
  <c r="G12"/>
  <c r="F13"/>
  <c r="G16"/>
  <c r="G23"/>
  <c r="D35" i="21"/>
  <c r="B13" i="36"/>
  <c r="E19" i="21"/>
  <c r="E15" i="40"/>
  <c r="F13" i="21"/>
  <c r="D13" i="39"/>
  <c r="G8" i="21"/>
  <c r="D19"/>
  <c r="C13" i="39"/>
  <c r="G13"/>
  <c r="B19" i="36"/>
  <c r="AP15"/>
  <c r="F30" i="21"/>
  <c r="D30"/>
  <c r="B39" i="39"/>
  <c r="B39" i="21"/>
  <c r="F39" s="1"/>
  <c r="B30" i="39"/>
  <c r="F30" s="1"/>
  <c r="B30" i="40"/>
  <c r="D30" s="1"/>
  <c r="C34"/>
  <c r="H34" s="1"/>
  <c r="D23" i="21"/>
  <c r="D38" i="39"/>
  <c r="D34"/>
  <c r="A14" i="36"/>
  <c r="C14" i="39"/>
  <c r="F14"/>
  <c r="G14"/>
  <c r="D14"/>
  <c r="B25"/>
  <c r="B25" i="40"/>
  <c r="E25" s="1"/>
  <c r="E29" i="39"/>
  <c r="C29"/>
  <c r="A29" i="36"/>
  <c r="A33"/>
  <c r="A33" i="37" s="1"/>
  <c r="C33" i="39"/>
  <c r="B36"/>
  <c r="F36" s="1"/>
  <c r="B36" i="40"/>
  <c r="C36" s="1"/>
  <c r="H36" s="1"/>
  <c r="B36" i="21"/>
  <c r="G38" i="39"/>
  <c r="G34"/>
  <c r="F38" i="21"/>
  <c r="D38"/>
  <c r="D34"/>
  <c r="F34"/>
  <c r="A27" i="36"/>
  <c r="B27" s="1"/>
  <c r="G27" i="39"/>
  <c r="D27"/>
  <c r="C27"/>
  <c r="A31" i="36"/>
  <c r="A31" i="37" s="1"/>
  <c r="C31" i="39"/>
  <c r="G31"/>
  <c r="D31"/>
  <c r="B18" i="40"/>
  <c r="E18" s="1"/>
  <c r="B18" i="39"/>
  <c r="B16" i="36"/>
  <c r="E14" i="39"/>
  <c r="G19"/>
  <c r="D26" i="21"/>
  <c r="D20"/>
  <c r="G22" i="39"/>
  <c r="C33" i="40"/>
  <c r="H33" s="1"/>
  <c r="B28" i="39"/>
  <c r="B28" i="40"/>
  <c r="D28" s="1"/>
  <c r="B28" i="21"/>
  <c r="F28" s="1"/>
  <c r="B24" i="40"/>
  <c r="D24" s="1"/>
  <c r="B24" i="21"/>
  <c r="B25"/>
  <c r="F25" s="1"/>
  <c r="C32" i="40"/>
  <c r="H32" s="1"/>
  <c r="D22" i="39"/>
  <c r="D23"/>
  <c r="C34"/>
  <c r="B32" i="21"/>
  <c r="G32" s="1"/>
  <c r="R19" i="36"/>
  <c r="G20" i="21"/>
  <c r="D27"/>
  <c r="G37"/>
  <c r="D16" i="39"/>
  <c r="C19"/>
  <c r="C22"/>
  <c r="C23"/>
  <c r="D32"/>
  <c r="G32"/>
  <c r="E34"/>
  <c r="E38"/>
  <c r="E37" i="21"/>
  <c r="B29"/>
  <c r="F29" s="1"/>
  <c r="R23" i="36"/>
  <c r="B38" i="40"/>
  <c r="B21" i="21"/>
  <c r="B16"/>
  <c r="F16" s="1"/>
  <c r="B21" i="39"/>
  <c r="F21" s="1"/>
  <c r="C19" i="40"/>
  <c r="H19" s="1"/>
  <c r="B15" i="39"/>
  <c r="W22" i="36"/>
  <c r="C20" i="21"/>
  <c r="D31"/>
  <c r="E16" i="39"/>
  <c r="D19"/>
  <c r="C38"/>
  <c r="B27" i="40"/>
  <c r="E27" s="1"/>
  <c r="B29"/>
  <c r="D29" s="1"/>
  <c r="D33"/>
  <c r="B15" i="21"/>
  <c r="Q32" i="36"/>
  <c r="T32" s="1"/>
  <c r="W32" s="1"/>
  <c r="B16" i="40"/>
  <c r="C16" s="1"/>
  <c r="H16" s="1"/>
  <c r="F21"/>
  <c r="X17" i="36"/>
  <c r="W17"/>
  <c r="Q23"/>
  <c r="N23"/>
  <c r="B35" i="39"/>
  <c r="B35" i="40"/>
  <c r="A38" i="37"/>
  <c r="R38" i="36"/>
  <c r="D38"/>
  <c r="G38" s="1"/>
  <c r="Q38"/>
  <c r="T38" s="1"/>
  <c r="AC38" s="1"/>
  <c r="E38"/>
  <c r="E26" i="21"/>
  <c r="C38"/>
  <c r="F27" i="39"/>
  <c r="F32"/>
  <c r="F19" i="21"/>
  <c r="F20"/>
  <c r="C26"/>
  <c r="G26"/>
  <c r="E30"/>
  <c r="C34"/>
  <c r="G34"/>
  <c r="F37"/>
  <c r="E38"/>
  <c r="F22" i="40"/>
  <c r="C31"/>
  <c r="H31" s="1"/>
  <c r="D31"/>
  <c r="F31"/>
  <c r="AH26" i="36"/>
  <c r="B26" i="39"/>
  <c r="B26" i="40"/>
  <c r="B37" i="39"/>
  <c r="B37" i="40"/>
  <c r="F37" s="1"/>
  <c r="B17"/>
  <c r="E17" s="1"/>
  <c r="B17" i="39"/>
  <c r="B17" i="21"/>
  <c r="B20" i="40"/>
  <c r="E20" s="1"/>
  <c r="B20" i="39"/>
  <c r="B10"/>
  <c r="F33" i="40"/>
  <c r="F32"/>
  <c r="D25"/>
  <c r="B34" i="36"/>
  <c r="E21" i="40"/>
  <c r="E16"/>
  <c r="D34"/>
  <c r="E14"/>
  <c r="B10" i="21"/>
  <c r="C10" s="1"/>
  <c r="E34" i="40"/>
  <c r="F29"/>
  <c r="B32" i="36"/>
  <c r="F23" i="21"/>
  <c r="E34"/>
  <c r="F23" i="39"/>
  <c r="F29"/>
  <c r="F31"/>
  <c r="F33"/>
  <c r="F34"/>
  <c r="F38"/>
  <c r="F35" i="21"/>
  <c r="AH29" i="36"/>
  <c r="F23" i="40"/>
  <c r="C23"/>
  <c r="H23" s="1"/>
  <c r="X23" i="36"/>
  <c r="W23"/>
  <c r="D19" i="40"/>
  <c r="E19"/>
  <c r="D12" i="21"/>
  <c r="C30"/>
  <c r="G30"/>
  <c r="G38"/>
  <c r="F19" i="39"/>
  <c r="F21" i="21"/>
  <c r="F22" i="39"/>
  <c r="E32" i="40"/>
  <c r="E33"/>
  <c r="F34"/>
  <c r="D22" i="21"/>
  <c r="D18"/>
  <c r="D14"/>
  <c r="AG16" i="36"/>
  <c r="W18"/>
  <c r="AH19"/>
  <c r="X22"/>
  <c r="W24"/>
  <c r="AH27"/>
  <c r="AH28"/>
  <c r="AG29"/>
  <c r="AG36"/>
  <c r="AH39"/>
  <c r="C15" i="40"/>
  <c r="H15" s="1"/>
  <c r="AH17" i="36"/>
  <c r="X19"/>
  <c r="AG19"/>
  <c r="AH20"/>
  <c r="AH23"/>
  <c r="AG26"/>
  <c r="AG28"/>
  <c r="AH31"/>
  <c r="AH33"/>
  <c r="AP20"/>
  <c r="E22" i="40"/>
  <c r="W20" i="36"/>
  <c r="X21"/>
  <c r="AH25"/>
  <c r="AH35"/>
  <c r="AH36"/>
  <c r="C22" i="40"/>
  <c r="H22" s="1"/>
  <c r="F14"/>
  <c r="H17" i="21"/>
  <c r="H18" s="1"/>
  <c r="H19" s="1"/>
  <c r="H20" s="1"/>
  <c r="H21" s="1"/>
  <c r="H22" s="1"/>
  <c r="H23" s="1"/>
  <c r="H24" s="1"/>
  <c r="H25" s="1"/>
  <c r="H26" s="1"/>
  <c r="H27" s="1"/>
  <c r="G31"/>
  <c r="C31"/>
  <c r="G27"/>
  <c r="C27"/>
  <c r="F14"/>
  <c r="C22"/>
  <c r="AH34" i="36"/>
  <c r="AG34"/>
  <c r="D32" i="40"/>
  <c r="H10" i="39"/>
  <c r="G14" i="21"/>
  <c r="F18"/>
  <c r="E22"/>
  <c r="E18"/>
  <c r="C8"/>
  <c r="E14"/>
  <c r="C18"/>
  <c r="G22"/>
  <c r="F27"/>
  <c r="G28"/>
  <c r="F31"/>
  <c r="H9" i="39"/>
  <c r="AG27" i="36"/>
  <c r="AG30"/>
  <c r="AG33"/>
  <c r="G35" i="21"/>
  <c r="C35"/>
  <c r="G23"/>
  <c r="C23"/>
  <c r="G19"/>
  <c r="C19"/>
  <c r="G11"/>
  <c r="C11"/>
  <c r="AG25" i="36"/>
  <c r="AG35"/>
  <c r="AG38"/>
  <c r="AP17"/>
  <c r="AP24"/>
  <c r="AP27"/>
  <c r="A19" i="37"/>
  <c r="D32" i="36"/>
  <c r="G32" s="1"/>
  <c r="A32" i="37"/>
  <c r="A34"/>
  <c r="A23"/>
  <c r="D34" i="36"/>
  <c r="G34" s="1"/>
  <c r="D14" i="40"/>
  <c r="D22"/>
  <c r="N16" i="36"/>
  <c r="B24" i="39"/>
  <c r="F19" i="40"/>
  <c r="E23"/>
  <c r="A8" i="37"/>
  <c r="D15" i="40"/>
  <c r="C21"/>
  <c r="H21" s="1"/>
  <c r="D21"/>
  <c r="D23"/>
  <c r="M10" l="1"/>
  <c r="N10" s="1"/>
  <c r="Q10"/>
  <c r="R10" s="1"/>
  <c r="S10" s="1"/>
  <c r="T10" s="1"/>
  <c r="J8" i="53"/>
  <c r="F8"/>
  <c r="H8"/>
  <c r="I8"/>
  <c r="K8"/>
  <c r="G8"/>
  <c r="C8"/>
  <c r="D8"/>
  <c r="M11" i="40"/>
  <c r="N11" s="1"/>
  <c r="Q11"/>
  <c r="R11" s="1"/>
  <c r="S11" s="1"/>
  <c r="T11" s="1"/>
  <c r="E13" i="37"/>
  <c r="Q13" i="40"/>
  <c r="R13" s="1"/>
  <c r="S13" s="1"/>
  <c r="T13" s="1"/>
  <c r="M13"/>
  <c r="N13" s="1"/>
  <c r="O13" s="1"/>
  <c r="P13" s="1"/>
  <c r="M12"/>
  <c r="N12" s="1"/>
  <c r="O12" s="1"/>
  <c r="P12" s="1"/>
  <c r="Q12"/>
  <c r="R12" s="1"/>
  <c r="S12" s="1"/>
  <c r="T12" s="1"/>
  <c r="M9"/>
  <c r="N9" s="1"/>
  <c r="Q9"/>
  <c r="R9" s="1"/>
  <c r="S9" s="1"/>
  <c r="T9" s="1"/>
  <c r="B8" i="53"/>
  <c r="L9" i="37"/>
  <c r="E10"/>
  <c r="K8"/>
  <c r="D8"/>
  <c r="I8"/>
  <c r="F8"/>
  <c r="J8"/>
  <c r="G8"/>
  <c r="B8"/>
  <c r="L11"/>
  <c r="L13"/>
  <c r="E9"/>
  <c r="L12"/>
  <c r="E11"/>
  <c r="L10"/>
  <c r="F30" i="40"/>
  <c r="W12" i="36"/>
  <c r="Y12" s="1"/>
  <c r="W11"/>
  <c r="AH13"/>
  <c r="AI13" s="1"/>
  <c r="AG12"/>
  <c r="AI12" s="1"/>
  <c r="AB11"/>
  <c r="AH11"/>
  <c r="AC13"/>
  <c r="AD13" s="1"/>
  <c r="X11"/>
  <c r="AC12"/>
  <c r="AI11"/>
  <c r="AC11"/>
  <c r="AB12"/>
  <c r="Y13"/>
  <c r="W9"/>
  <c r="X9"/>
  <c r="AI37"/>
  <c r="F33" i="21"/>
  <c r="F20" i="40"/>
  <c r="D33" i="39"/>
  <c r="E33"/>
  <c r="X8" i="36"/>
  <c r="Y8" s="1"/>
  <c r="H8" i="37" s="1"/>
  <c r="AB8" i="36"/>
  <c r="AC8"/>
  <c r="AD16"/>
  <c r="AD17"/>
  <c r="AD21"/>
  <c r="AD22"/>
  <c r="AD24"/>
  <c r="AI16"/>
  <c r="AD18"/>
  <c r="AD20"/>
  <c r="AD23"/>
  <c r="AI31"/>
  <c r="AD19"/>
  <c r="AB32"/>
  <c r="AC32"/>
  <c r="X34"/>
  <c r="AB34"/>
  <c r="AD34" s="1"/>
  <c r="X38"/>
  <c r="AB38"/>
  <c r="AD38" s="1"/>
  <c r="U14"/>
  <c r="W14" s="1"/>
  <c r="Z14"/>
  <c r="AB14" s="1"/>
  <c r="AA14"/>
  <c r="Y16"/>
  <c r="AI24"/>
  <c r="AI32"/>
  <c r="AI17"/>
  <c r="Y18"/>
  <c r="AI21"/>
  <c r="AI22"/>
  <c r="B29"/>
  <c r="AI27"/>
  <c r="N34"/>
  <c r="AI38"/>
  <c r="AI30"/>
  <c r="W34"/>
  <c r="Y20"/>
  <c r="AI20"/>
  <c r="AI29"/>
  <c r="R33"/>
  <c r="AI19"/>
  <c r="D33"/>
  <c r="G33" s="1"/>
  <c r="H33" s="1"/>
  <c r="Y19"/>
  <c r="A29" i="37"/>
  <c r="B29" s="1"/>
  <c r="AI18" i="36"/>
  <c r="AI26"/>
  <c r="B33"/>
  <c r="E31"/>
  <c r="N38"/>
  <c r="O19"/>
  <c r="AI23"/>
  <c r="Y24"/>
  <c r="V14"/>
  <c r="AI35"/>
  <c r="AI39"/>
  <c r="E30" i="40"/>
  <c r="C30"/>
  <c r="H30" s="1"/>
  <c r="O22" i="36"/>
  <c r="Y21"/>
  <c r="D16" i="40"/>
  <c r="E28"/>
  <c r="N14" i="36"/>
  <c r="H38"/>
  <c r="C28" i="40"/>
  <c r="H28" s="1"/>
  <c r="F28"/>
  <c r="E24"/>
  <c r="Q29" i="36"/>
  <c r="T29" s="1"/>
  <c r="F18" i="40"/>
  <c r="C24"/>
  <c r="H24" s="1"/>
  <c r="F25"/>
  <c r="F32" i="21"/>
  <c r="E33" i="36"/>
  <c r="C18" i="40"/>
  <c r="H18" s="1"/>
  <c r="C25"/>
  <c r="H25" s="1"/>
  <c r="E29"/>
  <c r="F36"/>
  <c r="R31" i="36"/>
  <c r="D18" i="40"/>
  <c r="F24"/>
  <c r="E36"/>
  <c r="D36"/>
  <c r="C27"/>
  <c r="H27" s="1"/>
  <c r="D31" i="36"/>
  <c r="G31" s="1"/>
  <c r="H31" s="1"/>
  <c r="Q31"/>
  <c r="T31" s="1"/>
  <c r="F12" i="21"/>
  <c r="G12"/>
  <c r="C12"/>
  <c r="D17" i="40"/>
  <c r="C29"/>
  <c r="H29" s="1"/>
  <c r="G33" i="21"/>
  <c r="Y17" i="36"/>
  <c r="E33" i="21"/>
  <c r="C33"/>
  <c r="H39" i="39"/>
  <c r="I39" s="1"/>
  <c r="H28"/>
  <c r="I28" s="1"/>
  <c r="G13" i="21"/>
  <c r="D13"/>
  <c r="D10"/>
  <c r="H13" i="39"/>
  <c r="H14"/>
  <c r="H27"/>
  <c r="I27" s="1"/>
  <c r="F10" i="21"/>
  <c r="H12" i="39"/>
  <c r="G10" i="21"/>
  <c r="H11" i="39"/>
  <c r="H19"/>
  <c r="I19" s="1"/>
  <c r="H34"/>
  <c r="I34" s="1"/>
  <c r="H22"/>
  <c r="I22" s="1"/>
  <c r="H17"/>
  <c r="I17" s="1"/>
  <c r="H30"/>
  <c r="I30" s="1"/>
  <c r="F9" i="21"/>
  <c r="D9"/>
  <c r="C9"/>
  <c r="G9"/>
  <c r="C15"/>
  <c r="D24"/>
  <c r="C24"/>
  <c r="E24"/>
  <c r="G24"/>
  <c r="A28" i="36"/>
  <c r="G28" i="39"/>
  <c r="D28"/>
  <c r="E28"/>
  <c r="C28"/>
  <c r="A18" i="36"/>
  <c r="C18" i="39"/>
  <c r="D18"/>
  <c r="E18"/>
  <c r="G18"/>
  <c r="D36" i="21"/>
  <c r="E36"/>
  <c r="C36"/>
  <c r="A39" i="36"/>
  <c r="F39" i="39"/>
  <c r="D39"/>
  <c r="G39"/>
  <c r="E39"/>
  <c r="C39"/>
  <c r="D20" i="40"/>
  <c r="H23" i="39"/>
  <c r="I23" s="1"/>
  <c r="H21"/>
  <c r="F18"/>
  <c r="O23" i="36"/>
  <c r="AE14"/>
  <c r="C20" i="40"/>
  <c r="H20" s="1"/>
  <c r="H33" i="39"/>
  <c r="I33" s="1"/>
  <c r="H15"/>
  <c r="H18"/>
  <c r="I18" s="1"/>
  <c r="X32" i="36"/>
  <c r="Y32" s="1"/>
  <c r="C17" i="40"/>
  <c r="H17" s="1"/>
  <c r="D15" i="21"/>
  <c r="E15"/>
  <c r="F15"/>
  <c r="C38" i="40"/>
  <c r="H38" s="1"/>
  <c r="F38"/>
  <c r="G21" i="21"/>
  <c r="C21"/>
  <c r="D21"/>
  <c r="E21"/>
  <c r="A14" i="37"/>
  <c r="B14" s="1"/>
  <c r="AM14" i="36"/>
  <c r="R14"/>
  <c r="AL14"/>
  <c r="B14"/>
  <c r="Q14"/>
  <c r="E39" i="21"/>
  <c r="C39"/>
  <c r="G39"/>
  <c r="A15" i="36"/>
  <c r="E15" i="39"/>
  <c r="F15"/>
  <c r="G15"/>
  <c r="C15"/>
  <c r="D15"/>
  <c r="E16" i="21"/>
  <c r="C16"/>
  <c r="G16"/>
  <c r="C32"/>
  <c r="E32"/>
  <c r="D32"/>
  <c r="G25"/>
  <c r="C25"/>
  <c r="D25"/>
  <c r="C28"/>
  <c r="E28"/>
  <c r="D28"/>
  <c r="A36" i="36"/>
  <c r="E36" i="39"/>
  <c r="G36"/>
  <c r="D36"/>
  <c r="C36"/>
  <c r="D29" i="36"/>
  <c r="G29" s="1"/>
  <c r="R29"/>
  <c r="E29"/>
  <c r="A25"/>
  <c r="E25" i="39"/>
  <c r="G25"/>
  <c r="C25"/>
  <c r="D25"/>
  <c r="F25"/>
  <c r="A30" i="36"/>
  <c r="D30" i="39"/>
  <c r="E30"/>
  <c r="C30"/>
  <c r="G30"/>
  <c r="D21"/>
  <c r="E21"/>
  <c r="C21"/>
  <c r="G21"/>
  <c r="A21" i="36"/>
  <c r="E29" i="21"/>
  <c r="D29"/>
  <c r="C29"/>
  <c r="G29"/>
  <c r="B31" i="36"/>
  <c r="A27" i="37"/>
  <c r="B27" s="1"/>
  <c r="D27" i="36"/>
  <c r="G27" s="1"/>
  <c r="Q27"/>
  <c r="T27" s="1"/>
  <c r="R27"/>
  <c r="E27"/>
  <c r="Q33"/>
  <c r="T33" s="1"/>
  <c r="H16" i="39"/>
  <c r="I16" s="1"/>
  <c r="G36" i="21"/>
  <c r="H37" i="39"/>
  <c r="I37" s="1"/>
  <c r="F24" i="21"/>
  <c r="D37" i="40"/>
  <c r="H25" i="39"/>
  <c r="I25" s="1"/>
  <c r="H32"/>
  <c r="I32" s="1"/>
  <c r="F28"/>
  <c r="Y23" i="36"/>
  <c r="E38" i="40"/>
  <c r="D38"/>
  <c r="H26" i="39"/>
  <c r="I26" s="1"/>
  <c r="D39" i="21"/>
  <c r="N32" i="36"/>
  <c r="F17" i="40"/>
  <c r="F16"/>
  <c r="AF14" i="36"/>
  <c r="G15" i="21"/>
  <c r="H29" i="39"/>
  <c r="I29" s="1"/>
  <c r="H38"/>
  <c r="I38" s="1"/>
  <c r="H31"/>
  <c r="I31" s="1"/>
  <c r="D27" i="40"/>
  <c r="H36" i="39"/>
  <c r="I36" s="1"/>
  <c r="E25" i="21"/>
  <c r="Y22" i="36"/>
  <c r="F36" i="21"/>
  <c r="F27" i="40"/>
  <c r="D16" i="21"/>
  <c r="A17" i="36"/>
  <c r="G17" i="39"/>
  <c r="C17"/>
  <c r="D17"/>
  <c r="F17"/>
  <c r="E17"/>
  <c r="H20"/>
  <c r="E10" i="21"/>
  <c r="A20" i="36"/>
  <c r="D20" i="39"/>
  <c r="E20"/>
  <c r="F20"/>
  <c r="G20"/>
  <c r="C20"/>
  <c r="B31" i="37"/>
  <c r="AI25" i="36"/>
  <c r="AI34"/>
  <c r="A26"/>
  <c r="C26" i="39"/>
  <c r="F26"/>
  <c r="D26"/>
  <c r="G26"/>
  <c r="E26"/>
  <c r="E17" i="21"/>
  <c r="F17"/>
  <c r="G17"/>
  <c r="C17"/>
  <c r="D17"/>
  <c r="A37" i="36"/>
  <c r="C37" i="39"/>
  <c r="F37"/>
  <c r="D37"/>
  <c r="E37"/>
  <c r="G37"/>
  <c r="F26" i="40"/>
  <c r="E26"/>
  <c r="C26"/>
  <c r="H26" s="1"/>
  <c r="D26"/>
  <c r="C35"/>
  <c r="H35" s="1"/>
  <c r="D35"/>
  <c r="F35"/>
  <c r="E35"/>
  <c r="AI28" i="36"/>
  <c r="A35"/>
  <c r="C35" i="39"/>
  <c r="F35"/>
  <c r="D35"/>
  <c r="E35"/>
  <c r="G35"/>
  <c r="B33" i="37"/>
  <c r="A10" i="36"/>
  <c r="C14"/>
  <c r="C12"/>
  <c r="C13"/>
  <c r="C11"/>
  <c r="F10" i="39"/>
  <c r="E10"/>
  <c r="G10"/>
  <c r="C10"/>
  <c r="D10"/>
  <c r="C37" i="40"/>
  <c r="H37" s="1"/>
  <c r="E37"/>
  <c r="W38" i="36"/>
  <c r="B38" i="37"/>
  <c r="O16" i="36"/>
  <c r="AI33"/>
  <c r="H35" i="39"/>
  <c r="I35" s="1"/>
  <c r="AI36" i="36"/>
  <c r="B34" i="37"/>
  <c r="A24" i="36"/>
  <c r="H24" i="39"/>
  <c r="I24" s="1"/>
  <c r="D24"/>
  <c r="E24"/>
  <c r="F24"/>
  <c r="G24"/>
  <c r="C24"/>
  <c r="F8" i="40"/>
  <c r="D8"/>
  <c r="C8"/>
  <c r="E8"/>
  <c r="B19" i="37"/>
  <c r="H34" i="36"/>
  <c r="C8" i="37"/>
  <c r="E8" s="1"/>
  <c r="B23"/>
  <c r="B32"/>
  <c r="H32" i="36"/>
  <c r="E8" i="53" l="1"/>
  <c r="N13" i="37"/>
  <c r="P13" s="1"/>
  <c r="L8" i="53"/>
  <c r="N9" i="37"/>
  <c r="P9" s="1"/>
  <c r="N11"/>
  <c r="P11" s="1"/>
  <c r="N10"/>
  <c r="P10" s="1"/>
  <c r="N12"/>
  <c r="P12" s="1"/>
  <c r="AV13" i="36"/>
  <c r="AD12"/>
  <c r="AV12"/>
  <c r="AD11"/>
  <c r="Y11"/>
  <c r="Y9"/>
  <c r="O34"/>
  <c r="AM10"/>
  <c r="AB10"/>
  <c r="W10"/>
  <c r="AL10"/>
  <c r="AO10" s="1"/>
  <c r="T10"/>
  <c r="AI8"/>
  <c r="AD8"/>
  <c r="X14"/>
  <c r="Y14" s="1"/>
  <c r="AC14"/>
  <c r="AD14" s="1"/>
  <c r="Y34"/>
  <c r="Y38"/>
  <c r="AV16"/>
  <c r="AD32"/>
  <c r="AB27"/>
  <c r="AC27"/>
  <c r="C15"/>
  <c r="AA15"/>
  <c r="Z15"/>
  <c r="AB15" s="1"/>
  <c r="AB33"/>
  <c r="AC33"/>
  <c r="AB31"/>
  <c r="AC31"/>
  <c r="W29"/>
  <c r="AB29"/>
  <c r="AC29"/>
  <c r="N31"/>
  <c r="N33"/>
  <c r="W31"/>
  <c r="AV22"/>
  <c r="O38"/>
  <c r="X31"/>
  <c r="O14"/>
  <c r="X29"/>
  <c r="AV19"/>
  <c r="O32"/>
  <c r="AH14"/>
  <c r="AG14"/>
  <c r="R36"/>
  <c r="B36"/>
  <c r="Q36"/>
  <c r="T36" s="1"/>
  <c r="D36"/>
  <c r="G36" s="1"/>
  <c r="E36"/>
  <c r="A36" i="37"/>
  <c r="H27" i="36"/>
  <c r="E30"/>
  <c r="R30"/>
  <c r="Q30"/>
  <c r="T30" s="1"/>
  <c r="D30"/>
  <c r="G30" s="1"/>
  <c r="B30"/>
  <c r="A30" i="37"/>
  <c r="Q28" i="36"/>
  <c r="T28" s="1"/>
  <c r="B28"/>
  <c r="E28"/>
  <c r="R28"/>
  <c r="D28"/>
  <c r="G28" s="1"/>
  <c r="A28" i="37"/>
  <c r="W33" i="36"/>
  <c r="X33"/>
  <c r="R21"/>
  <c r="N21"/>
  <c r="A21" i="37"/>
  <c r="Q21" i="36"/>
  <c r="B21"/>
  <c r="B15"/>
  <c r="Q15"/>
  <c r="R15"/>
  <c r="A15" i="37"/>
  <c r="U15" i="36"/>
  <c r="W15" s="1"/>
  <c r="V15"/>
  <c r="AM15"/>
  <c r="N15"/>
  <c r="AE15"/>
  <c r="AL15"/>
  <c r="AF15"/>
  <c r="D39"/>
  <c r="G39" s="1"/>
  <c r="R39"/>
  <c r="B39"/>
  <c r="Q39"/>
  <c r="T39" s="1"/>
  <c r="E39"/>
  <c r="N18"/>
  <c r="A18" i="37"/>
  <c r="Q18" i="36"/>
  <c r="B18"/>
  <c r="R18"/>
  <c r="N29"/>
  <c r="X27"/>
  <c r="W27"/>
  <c r="B25"/>
  <c r="A25" i="37"/>
  <c r="D25" i="36"/>
  <c r="G25" s="1"/>
  <c r="E25"/>
  <c r="R25"/>
  <c r="Q25"/>
  <c r="T25" s="1"/>
  <c r="H29"/>
  <c r="N27"/>
  <c r="A17" i="37"/>
  <c r="N17" i="36"/>
  <c r="Q17"/>
  <c r="R17"/>
  <c r="B17"/>
  <c r="A35" i="37"/>
  <c r="R35" i="36"/>
  <c r="E35"/>
  <c r="Q35"/>
  <c r="T35" s="1"/>
  <c r="B35"/>
  <c r="D35"/>
  <c r="G35" s="1"/>
  <c r="C10"/>
  <c r="B10"/>
  <c r="A37" i="37"/>
  <c r="R37" i="36"/>
  <c r="D37"/>
  <c r="G37" s="1"/>
  <c r="E37"/>
  <c r="Q37"/>
  <c r="T37" s="1"/>
  <c r="B37"/>
  <c r="A20" i="37"/>
  <c r="N20" i="36"/>
  <c r="R20"/>
  <c r="B20"/>
  <c r="Q20"/>
  <c r="B26"/>
  <c r="R26"/>
  <c r="Q26"/>
  <c r="T26" s="1"/>
  <c r="E26"/>
  <c r="D26"/>
  <c r="G26" s="1"/>
  <c r="A26" i="37"/>
  <c r="A24"/>
  <c r="N24" i="36"/>
  <c r="Q24"/>
  <c r="B24"/>
  <c r="R24"/>
  <c r="N8" i="53" l="1"/>
  <c r="P8" s="1"/>
  <c r="AV11" i="36"/>
  <c r="X10"/>
  <c r="Y10" s="1"/>
  <c r="AG10"/>
  <c r="AI10" s="1"/>
  <c r="AH10"/>
  <c r="AC10"/>
  <c r="AD10" s="1"/>
  <c r="AV8"/>
  <c r="Y31"/>
  <c r="X15"/>
  <c r="Y15" s="1"/>
  <c r="AC15"/>
  <c r="AD15" s="1"/>
  <c r="AD29"/>
  <c r="O33"/>
  <c r="Y29"/>
  <c r="AD31"/>
  <c r="AB25"/>
  <c r="AC25"/>
  <c r="AB37"/>
  <c r="AC37"/>
  <c r="AC28"/>
  <c r="AB28"/>
  <c r="AB30"/>
  <c r="AC30"/>
  <c r="AC39"/>
  <c r="AB39"/>
  <c r="AC36"/>
  <c r="AB36"/>
  <c r="AB26"/>
  <c r="AC26"/>
  <c r="AC35"/>
  <c r="AB35"/>
  <c r="AD33"/>
  <c r="AD27"/>
  <c r="O31"/>
  <c r="N28"/>
  <c r="N25"/>
  <c r="P19" i="37"/>
  <c r="O15" i="36"/>
  <c r="AI14"/>
  <c r="O24"/>
  <c r="N35"/>
  <c r="Y27"/>
  <c r="AH15"/>
  <c r="O18"/>
  <c r="O21"/>
  <c r="Y33"/>
  <c r="N36"/>
  <c r="P16" i="37"/>
  <c r="G15" i="40"/>
  <c r="I15" s="1"/>
  <c r="G14"/>
  <c r="I14" s="1"/>
  <c r="J14" s="1"/>
  <c r="M14" s="1"/>
  <c r="N14" s="1"/>
  <c r="B28" i="37"/>
  <c r="X28" i="36"/>
  <c r="W28"/>
  <c r="H39"/>
  <c r="B21" i="37"/>
  <c r="H28" i="36"/>
  <c r="B36" i="37"/>
  <c r="H36" i="36"/>
  <c r="AV38"/>
  <c r="N30"/>
  <c r="H25"/>
  <c r="W30"/>
  <c r="X30"/>
  <c r="B25" i="37"/>
  <c r="B15"/>
  <c r="B30"/>
  <c r="X25" i="36"/>
  <c r="W25"/>
  <c r="B18" i="37"/>
  <c r="W39" i="36"/>
  <c r="X39"/>
  <c r="H30"/>
  <c r="X36"/>
  <c r="W36"/>
  <c r="O29"/>
  <c r="AG15"/>
  <c r="N37"/>
  <c r="P22" i="37"/>
  <c r="O17" i="36"/>
  <c r="O27"/>
  <c r="N39"/>
  <c r="W26"/>
  <c r="X26"/>
  <c r="W37"/>
  <c r="X37"/>
  <c r="B37" i="37"/>
  <c r="AV34" i="36"/>
  <c r="N26"/>
  <c r="B26" i="37"/>
  <c r="W35" i="36"/>
  <c r="X35"/>
  <c r="B17" i="37"/>
  <c r="O20" i="36"/>
  <c r="H26"/>
  <c r="B20" i="37"/>
  <c r="H37" i="36"/>
  <c r="H35"/>
  <c r="B35" i="37"/>
  <c r="B24"/>
  <c r="AV32" i="36"/>
  <c r="P38" i="53" l="1"/>
  <c r="P34"/>
  <c r="P32"/>
  <c r="AV10" i="36"/>
  <c r="O26"/>
  <c r="AD30"/>
  <c r="AD37"/>
  <c r="AV33"/>
  <c r="AD25"/>
  <c r="AD35"/>
  <c r="AD26"/>
  <c r="AD39"/>
  <c r="AD28"/>
  <c r="AD36"/>
  <c r="AI15"/>
  <c r="G18" i="40"/>
  <c r="I18" s="1"/>
  <c r="J18" s="1"/>
  <c r="O28" i="36"/>
  <c r="L8" i="37"/>
  <c r="N8" s="1"/>
  <c r="O30" i="36"/>
  <c r="O25"/>
  <c r="AV21"/>
  <c r="P21" i="37" s="1"/>
  <c r="G22" i="40"/>
  <c r="I22" s="1"/>
  <c r="J22" s="1"/>
  <c r="G21"/>
  <c r="I21" s="1"/>
  <c r="J21" s="1"/>
  <c r="G23"/>
  <c r="I23" s="1"/>
  <c r="P34" i="37"/>
  <c r="P32"/>
  <c r="Y36" i="36"/>
  <c r="AV29"/>
  <c r="G20" i="40"/>
  <c r="I20" s="1"/>
  <c r="J20" s="1"/>
  <c r="AV31" i="36"/>
  <c r="G17" i="40"/>
  <c r="I17" s="1"/>
  <c r="J17" s="1"/>
  <c r="O35" i="36"/>
  <c r="Y30"/>
  <c r="G16" i="40"/>
  <c r="I16" s="1"/>
  <c r="O37" i="36"/>
  <c r="P38" i="37"/>
  <c r="G24" i="40"/>
  <c r="I24" s="1"/>
  <c r="J24" s="1"/>
  <c r="G19"/>
  <c r="I19" s="1"/>
  <c r="J19" s="1"/>
  <c r="AV20" i="36"/>
  <c r="O36"/>
  <c r="AV27"/>
  <c r="O39"/>
  <c r="Q14" i="40"/>
  <c r="R14" s="1"/>
  <c r="S14" s="1"/>
  <c r="T14" s="1"/>
  <c r="J15"/>
  <c r="AV18" i="36"/>
  <c r="P18" i="37" s="1"/>
  <c r="Y25" i="36"/>
  <c r="Y39"/>
  <c r="Y28"/>
  <c r="AV17"/>
  <c r="Y37"/>
  <c r="Y35"/>
  <c r="Y26"/>
  <c r="AV24"/>
  <c r="P29" i="37" l="1"/>
  <c r="P29" i="53"/>
  <c r="P27" i="37"/>
  <c r="P27" i="53"/>
  <c r="P33" i="37"/>
  <c r="P33" i="53"/>
  <c r="P31" i="37"/>
  <c r="P31" i="53"/>
  <c r="J8" i="40"/>
  <c r="Q8" s="1"/>
  <c r="AV36" i="36"/>
  <c r="J23" i="40"/>
  <c r="M23" s="1"/>
  <c r="N23" s="1"/>
  <c r="O23" s="1"/>
  <c r="P23" s="1"/>
  <c r="AV37" i="36"/>
  <c r="P20" i="37"/>
  <c r="AV39" i="36"/>
  <c r="AV30"/>
  <c r="J16" i="40"/>
  <c r="Q16" s="1"/>
  <c r="R16" s="1"/>
  <c r="S16" s="1"/>
  <c r="T16" s="1"/>
  <c r="AV25" i="36"/>
  <c r="M15" i="40"/>
  <c r="N15" s="1"/>
  <c r="O15" s="1"/>
  <c r="P15" s="1"/>
  <c r="Q15"/>
  <c r="R15" s="1"/>
  <c r="S15" s="1"/>
  <c r="T15" s="1"/>
  <c r="AV28" i="36"/>
  <c r="AV26"/>
  <c r="AV35"/>
  <c r="P17" i="37"/>
  <c r="Q17" i="40"/>
  <c r="R17" s="1"/>
  <c r="S17" s="1"/>
  <c r="T17" s="1"/>
  <c r="M17"/>
  <c r="N17" s="1"/>
  <c r="O17" s="1"/>
  <c r="P17" s="1"/>
  <c r="M20"/>
  <c r="N20" s="1"/>
  <c r="O20" s="1"/>
  <c r="P20" s="1"/>
  <c r="Q20"/>
  <c r="R20" s="1"/>
  <c r="S20" s="1"/>
  <c r="T20" s="1"/>
  <c r="Q24"/>
  <c r="R24" s="1"/>
  <c r="S24" s="1"/>
  <c r="T24" s="1"/>
  <c r="M24"/>
  <c r="N24" s="1"/>
  <c r="O24" s="1"/>
  <c r="P24" s="1"/>
  <c r="Q21"/>
  <c r="R21" s="1"/>
  <c r="S21" s="1"/>
  <c r="T21" s="1"/>
  <c r="M21"/>
  <c r="N21" s="1"/>
  <c r="O21" s="1"/>
  <c r="P21" s="1"/>
  <c r="Q18"/>
  <c r="R18" s="1"/>
  <c r="S18" s="1"/>
  <c r="T18" s="1"/>
  <c r="M18"/>
  <c r="N18" s="1"/>
  <c r="O18" s="1"/>
  <c r="P18" s="1"/>
  <c r="M22"/>
  <c r="N22" s="1"/>
  <c r="O22" s="1"/>
  <c r="P22" s="1"/>
  <c r="Q22"/>
  <c r="R22" s="1"/>
  <c r="S22" s="1"/>
  <c r="T22" s="1"/>
  <c r="Q19"/>
  <c r="R19" s="1"/>
  <c r="S19" s="1"/>
  <c r="T19" s="1"/>
  <c r="M19"/>
  <c r="N19" s="1"/>
  <c r="O19" s="1"/>
  <c r="P19" s="1"/>
  <c r="P24" i="37"/>
  <c r="P30" l="1"/>
  <c r="P30" i="53"/>
  <c r="P28" i="37"/>
  <c r="P28" i="53"/>
  <c r="P26" i="37"/>
  <c r="P26" i="53"/>
  <c r="P25" i="37"/>
  <c r="P25" i="53"/>
  <c r="P37" i="37"/>
  <c r="P37" i="53"/>
  <c r="P35" i="37"/>
  <c r="P35" i="53"/>
  <c r="P36" i="37"/>
  <c r="P36" i="53"/>
  <c r="AV14" i="36"/>
  <c r="M8" i="40"/>
  <c r="N8" s="1"/>
  <c r="Q23"/>
  <c r="R23" s="1"/>
  <c r="S23" s="1"/>
  <c r="T23" s="1"/>
  <c r="M16"/>
  <c r="N16" s="1"/>
  <c r="O16" s="1"/>
  <c r="P16" s="1"/>
  <c r="R8"/>
  <c r="S8" s="1"/>
  <c r="T8" s="1"/>
  <c r="P14" i="53" l="1"/>
  <c r="P8" i="37"/>
  <c r="G38" i="40"/>
  <c r="I38" s="1"/>
  <c r="J38" s="1"/>
  <c r="G31"/>
  <c r="I31" s="1"/>
  <c r="J31" s="1"/>
  <c r="G36"/>
  <c r="I36" s="1"/>
  <c r="J36" s="1"/>
  <c r="G29"/>
  <c r="I29" s="1"/>
  <c r="J29" s="1"/>
  <c r="G33"/>
  <c r="I33" s="1"/>
  <c r="J33" s="1"/>
  <c r="G28"/>
  <c r="I28" s="1"/>
  <c r="J28" s="1"/>
  <c r="G37"/>
  <c r="I37" s="1"/>
  <c r="J37" s="1"/>
  <c r="G34"/>
  <c r="I34" s="1"/>
  <c r="J34" s="1"/>
  <c r="G25"/>
  <c r="I25" s="1"/>
  <c r="J25" s="1"/>
  <c r="G30"/>
  <c r="I30" s="1"/>
  <c r="J30" s="1"/>
  <c r="G35"/>
  <c r="I35" s="1"/>
  <c r="J35" s="1"/>
  <c r="G32"/>
  <c r="I32" s="1"/>
  <c r="J32" s="1"/>
  <c r="G26"/>
  <c r="I26" s="1"/>
  <c r="J26" s="1"/>
  <c r="G27"/>
  <c r="I27" s="1"/>
  <c r="J27" s="1"/>
  <c r="AV15" i="36"/>
  <c r="P14" i="37"/>
  <c r="O8" i="40"/>
  <c r="P8" s="1"/>
  <c r="O14"/>
  <c r="P15" i="53" l="1"/>
  <c r="M27" i="40"/>
  <c r="N27" s="1"/>
  <c r="O27" s="1"/>
  <c r="P27" s="1"/>
  <c r="Q27"/>
  <c r="R27" s="1"/>
  <c r="S27" s="1"/>
  <c r="T27" s="1"/>
  <c r="Q28"/>
  <c r="R28" s="1"/>
  <c r="S28" s="1"/>
  <c r="T28" s="1"/>
  <c r="M28"/>
  <c r="N28" s="1"/>
  <c r="O28" s="1"/>
  <c r="P28" s="1"/>
  <c r="Q37"/>
  <c r="R37" s="1"/>
  <c r="S37" s="1"/>
  <c r="T37" s="1"/>
  <c r="M37"/>
  <c r="N37" s="1"/>
  <c r="O37" s="1"/>
  <c r="P37" s="1"/>
  <c r="Q26"/>
  <c r="R26" s="1"/>
  <c r="S26" s="1"/>
  <c r="T26" s="1"/>
  <c r="M26"/>
  <c r="N26" s="1"/>
  <c r="O26" s="1"/>
  <c r="P26" s="1"/>
  <c r="Q25"/>
  <c r="R25" s="1"/>
  <c r="S25" s="1"/>
  <c r="T25" s="1"/>
  <c r="M25"/>
  <c r="N25" s="1"/>
  <c r="O25" s="1"/>
  <c r="P25" s="1"/>
  <c r="M33"/>
  <c r="N33" s="1"/>
  <c r="O33" s="1"/>
  <c r="P33" s="1"/>
  <c r="Q33"/>
  <c r="R33" s="1"/>
  <c r="S33" s="1"/>
  <c r="T33" s="1"/>
  <c r="Q38"/>
  <c r="R38" s="1"/>
  <c r="S38" s="1"/>
  <c r="T38" s="1"/>
  <c r="M38"/>
  <c r="N38" s="1"/>
  <c r="O38" s="1"/>
  <c r="P38" s="1"/>
  <c r="Q30"/>
  <c r="R30" s="1"/>
  <c r="S30" s="1"/>
  <c r="T30" s="1"/>
  <c r="M30"/>
  <c r="N30" s="1"/>
  <c r="O30" s="1"/>
  <c r="P30" s="1"/>
  <c r="Q31"/>
  <c r="R31" s="1"/>
  <c r="S31" s="1"/>
  <c r="T31" s="1"/>
  <c r="M31"/>
  <c r="N31" s="1"/>
  <c r="O31" s="1"/>
  <c r="P31" s="1"/>
  <c r="M35"/>
  <c r="N35" s="1"/>
  <c r="O35" s="1"/>
  <c r="P35" s="1"/>
  <c r="Q35"/>
  <c r="R35" s="1"/>
  <c r="S35" s="1"/>
  <c r="T35" s="1"/>
  <c r="M36"/>
  <c r="N36" s="1"/>
  <c r="O36" s="1"/>
  <c r="P36" s="1"/>
  <c r="Q36"/>
  <c r="R36" s="1"/>
  <c r="S36" s="1"/>
  <c r="T36" s="1"/>
  <c r="M32"/>
  <c r="N32" s="1"/>
  <c r="O32" s="1"/>
  <c r="P32" s="1"/>
  <c r="Q32"/>
  <c r="R32" s="1"/>
  <c r="S32" s="1"/>
  <c r="T32" s="1"/>
  <c r="Q34"/>
  <c r="R34" s="1"/>
  <c r="S34" s="1"/>
  <c r="T34" s="1"/>
  <c r="M34"/>
  <c r="N34" s="1"/>
  <c r="O34" s="1"/>
  <c r="P34" s="1"/>
  <c r="M29"/>
  <c r="N29" s="1"/>
  <c r="O29" s="1"/>
  <c r="P29" s="1"/>
  <c r="Q29"/>
  <c r="R29" s="1"/>
  <c r="S29" s="1"/>
  <c r="T29" s="1"/>
  <c r="K34"/>
  <c r="L34" s="1"/>
  <c r="P15" i="37"/>
  <c r="P14" i="40"/>
  <c r="K29" l="1"/>
  <c r="L29" s="1"/>
  <c r="K25"/>
  <c r="L25" s="1"/>
  <c r="K17"/>
  <c r="L17" s="1"/>
  <c r="K24"/>
  <c r="L24" s="1"/>
  <c r="K19"/>
  <c r="L19" s="1"/>
  <c r="K20"/>
  <c r="L20" s="1"/>
  <c r="K32"/>
  <c r="L32" s="1"/>
  <c r="K22"/>
  <c r="L22" s="1"/>
  <c r="K23"/>
  <c r="L23" s="1"/>
  <c r="K36"/>
  <c r="L36" s="1"/>
  <c r="K15"/>
  <c r="L15" s="1"/>
  <c r="K16"/>
  <c r="L16" s="1"/>
  <c r="K35"/>
  <c r="L35" s="1"/>
  <c r="K31"/>
  <c r="L31" s="1"/>
  <c r="K33"/>
  <c r="L33" s="1"/>
  <c r="K26"/>
  <c r="L26" s="1"/>
  <c r="L8"/>
  <c r="K14"/>
  <c r="L14" s="1"/>
  <c r="K38"/>
  <c r="L38" s="1"/>
  <c r="K28"/>
  <c r="L28" s="1"/>
  <c r="K18"/>
  <c r="L18" s="1"/>
  <c r="K21"/>
  <c r="L21" s="1"/>
  <c r="K30"/>
  <c r="L30" s="1"/>
  <c r="K37"/>
  <c r="L37" s="1"/>
  <c r="K27"/>
  <c r="L27" s="1"/>
  <c r="M39" l="1"/>
  <c r="Q39"/>
  <c r="R39" s="1"/>
  <c r="N39" l="1"/>
  <c r="P9" l="1"/>
  <c r="P10"/>
  <c r="P11"/>
</calcChain>
</file>

<file path=xl/comments1.xml><?xml version="1.0" encoding="utf-8"?>
<comments xmlns="http://schemas.openxmlformats.org/spreadsheetml/2006/main">
  <authors>
    <author>Mikhail</author>
  </authors>
  <commentList>
    <comment ref="K10" authorId="0">
      <text>
        <r>
          <rPr>
            <b/>
            <sz val="9"/>
            <color indexed="81"/>
            <rFont val="Tahoma"/>
            <charset val="1"/>
          </rPr>
          <t>нет базы</t>
        </r>
      </text>
    </comment>
    <comment ref="K12" authorId="0">
      <text>
        <r>
          <rPr>
            <b/>
            <sz val="9"/>
            <color indexed="81"/>
            <rFont val="Tahoma"/>
            <charset val="1"/>
          </rPr>
          <t>нет базы</t>
        </r>
      </text>
    </comment>
    <comment ref="K13" authorId="0">
      <text>
        <r>
          <rPr>
            <b/>
            <sz val="9"/>
            <color indexed="81"/>
            <rFont val="Tahoma"/>
            <charset val="1"/>
          </rPr>
          <t>нет базы</t>
        </r>
      </text>
    </comment>
  </commentList>
</comments>
</file>

<file path=xl/comments2.xml><?xml version="1.0" encoding="utf-8"?>
<comments xmlns="http://schemas.openxmlformats.org/spreadsheetml/2006/main">
  <authors>
    <author>Mikhail</author>
  </authors>
  <commentList>
    <comment ref="R9" authorId="0">
      <text>
        <r>
          <rPr>
            <b/>
            <sz val="9"/>
            <color indexed="81"/>
            <rFont val="Tahoma"/>
            <family val="2"/>
            <charset val="204"/>
          </rPr>
          <t>Пропуск СП</t>
        </r>
      </text>
    </comment>
    <comment ref="W9" authorId="0">
      <text>
        <r>
          <rPr>
            <b/>
            <sz val="9"/>
            <color indexed="81"/>
            <rFont val="Tahoma"/>
            <family val="2"/>
            <charset val="204"/>
          </rPr>
          <t>Пропуск СП</t>
        </r>
      </text>
    </comment>
    <comment ref="AB9" authorId="0">
      <text>
        <r>
          <rPr>
            <b/>
            <sz val="9"/>
            <color indexed="81"/>
            <rFont val="Tahoma"/>
            <family val="2"/>
            <charset val="204"/>
          </rPr>
          <t>Пропуск СП</t>
        </r>
      </text>
    </comment>
  </commentList>
</comments>
</file>

<file path=xl/sharedStrings.xml><?xml version="1.0" encoding="utf-8"?>
<sst xmlns="http://schemas.openxmlformats.org/spreadsheetml/2006/main" count="350" uniqueCount="158">
  <si>
    <t>Город</t>
  </si>
  <si>
    <t>1-й Водитель</t>
  </si>
  <si>
    <t>2-й Водитель</t>
  </si>
  <si>
    <t>Фамилия, Имя</t>
  </si>
  <si>
    <t>Зачет</t>
  </si>
  <si>
    <t>Автомобиль</t>
  </si>
  <si>
    <t>№ п/п</t>
  </si>
  <si>
    <t>Дата и время опубликования</t>
  </si>
  <si>
    <t>Первая секция</t>
  </si>
  <si>
    <t>ИТОГО</t>
  </si>
  <si>
    <t>ФАКТ</t>
  </si>
  <si>
    <t>Пенал</t>
  </si>
  <si>
    <t>Штраф</t>
  </si>
  <si>
    <t>Результат</t>
  </si>
  <si>
    <t>Фамилия, имя</t>
  </si>
  <si>
    <t>Сумма</t>
  </si>
  <si>
    <t>Гл.секретарь</t>
  </si>
  <si>
    <t>Первый водитель Фамилия имя</t>
  </si>
  <si>
    <t>Кор. ####</t>
  </si>
  <si>
    <t>Назн.</t>
  </si>
  <si>
    <t>Старт ФАКТ</t>
  </si>
  <si>
    <t>Итого по секции</t>
  </si>
  <si>
    <t>ИТОГО по 1-ой секции</t>
  </si>
  <si>
    <t>проверка на ошибку</t>
  </si>
  <si>
    <t>Итоговая классификация</t>
  </si>
  <si>
    <t xml:space="preserve">Город                                  1й Водитель                         2й Водитель                </t>
  </si>
  <si>
    <t>Секция 1</t>
  </si>
  <si>
    <t>N п/п</t>
  </si>
  <si>
    <t>Место</t>
  </si>
  <si>
    <t>Очки</t>
  </si>
  <si>
    <t>Спортивный комиссар</t>
  </si>
  <si>
    <t>Время, с</t>
  </si>
  <si>
    <t>Стартовая ведомость</t>
  </si>
  <si>
    <t>Абсолют</t>
  </si>
  <si>
    <t>Итого</t>
  </si>
  <si>
    <t>Ст. №</t>
  </si>
  <si>
    <t>Фамилия</t>
  </si>
  <si>
    <t>Имя</t>
  </si>
  <si>
    <t>Спорт. звание</t>
  </si>
  <si>
    <t>Список Участников полный</t>
  </si>
  <si>
    <t>Начало работы ТИ</t>
  </si>
  <si>
    <t>Ведомость явки на ТИ</t>
  </si>
  <si>
    <t>Назначенное время явки на ТИ</t>
  </si>
  <si>
    <t>Явка на ТИ</t>
  </si>
  <si>
    <t>место и дата проведения</t>
  </si>
  <si>
    <t>Список Участников прошедших Административную проверку</t>
  </si>
  <si>
    <t>уч-тие</t>
  </si>
  <si>
    <t>Фин.</t>
  </si>
  <si>
    <t>ГАСУ</t>
  </si>
  <si>
    <t>Данные GPS-1</t>
  </si>
  <si>
    <t>Данные GPS-2</t>
  </si>
  <si>
    <t>Пенал.</t>
  </si>
  <si>
    <t xml:space="preserve">Стартовало: </t>
  </si>
  <si>
    <t xml:space="preserve">Фамилия имя                                      1й Водитель                                       2й Водитель                    </t>
  </si>
  <si>
    <t>1239</t>
  </si>
  <si>
    <t>1235</t>
  </si>
  <si>
    <t>1241</t>
  </si>
  <si>
    <t>КВ-1</t>
  </si>
  <si>
    <t>Ф/С-1</t>
  </si>
  <si>
    <t>н/с</t>
  </si>
  <si>
    <t>ДС-1</t>
  </si>
  <si>
    <t>ДС-2</t>
  </si>
  <si>
    <t>ДС-3</t>
  </si>
  <si>
    <t>КВ-2</t>
  </si>
  <si>
    <t>Старт</t>
  </si>
  <si>
    <t>Финиш</t>
  </si>
  <si>
    <t>Официально предварительно</t>
  </si>
  <si>
    <t>Финиш Результат (прот.2)</t>
  </si>
  <si>
    <t>Пенал. Финиш</t>
  </si>
  <si>
    <t>Финищ Результат (прот.1)</t>
  </si>
  <si>
    <t>1157</t>
  </si>
  <si>
    <t>1250</t>
  </si>
  <si>
    <t>1236</t>
  </si>
  <si>
    <t>1234</t>
  </si>
  <si>
    <t>1237</t>
  </si>
  <si>
    <t>1249</t>
  </si>
  <si>
    <t>1247</t>
  </si>
  <si>
    <t>1329</t>
  </si>
  <si>
    <t>сход</t>
  </si>
  <si>
    <t>1248</t>
  </si>
  <si>
    <t>ВУЗ</t>
  </si>
  <si>
    <t>1203</t>
  </si>
  <si>
    <t>1254</t>
  </si>
  <si>
    <t>1324</t>
  </si>
  <si>
    <t>ДС-3 (РДС)</t>
  </si>
  <si>
    <t>Прочая пен.</t>
  </si>
  <si>
    <t>УТС "Старая Ладога - 2023"</t>
  </si>
  <si>
    <t>Руководитель гонки</t>
  </si>
  <si>
    <t>Орехов М.Ю.</t>
  </si>
  <si>
    <t>Время КВ-0</t>
  </si>
  <si>
    <t>КВ-0</t>
  </si>
  <si>
    <t>ДС-0 (ССЛ-1)</t>
  </si>
  <si>
    <t>1009</t>
  </si>
  <si>
    <t>1011</t>
  </si>
  <si>
    <t>1013</t>
  </si>
  <si>
    <t>1015</t>
  </si>
  <si>
    <t>1017</t>
  </si>
  <si>
    <t>1019</t>
  </si>
  <si>
    <t>Ф/С-2</t>
  </si>
  <si>
    <t>КВ-1А</t>
  </si>
  <si>
    <t>ДС-2а (ССЛ-2)</t>
  </si>
  <si>
    <t>Ф/С-1 Результат (прот.1)</t>
  </si>
  <si>
    <t>Ф/С-1 Результат (прот.2)</t>
  </si>
  <si>
    <t>Ф/С-2 Результат (прот.1)</t>
  </si>
  <si>
    <t>Ф/С-2 Результат (прот.2)</t>
  </si>
  <si>
    <t>Пенал. Ф/С-1</t>
  </si>
  <si>
    <t>Пенал. Ф/С-2</t>
  </si>
  <si>
    <t>1219</t>
  </si>
  <si>
    <t>1221</t>
  </si>
  <si>
    <t>1222</t>
  </si>
  <si>
    <t>1220</t>
  </si>
  <si>
    <t>1223</t>
  </si>
  <si>
    <t>Расчет</t>
  </si>
  <si>
    <t>Вторая секция</t>
  </si>
  <si>
    <t>КВ-0 Старт</t>
  </si>
  <si>
    <t>ДС-2 (РДС)</t>
  </si>
  <si>
    <t>ФКП-1</t>
  </si>
  <si>
    <t>ФКП-2</t>
  </si>
  <si>
    <t>ДС-4 (ССЛ-3)</t>
  </si>
  <si>
    <t>1403</t>
  </si>
  <si>
    <t>1447</t>
  </si>
  <si>
    <t>1436</t>
  </si>
  <si>
    <t>1530</t>
  </si>
  <si>
    <t>1441</t>
  </si>
  <si>
    <t>1414</t>
  </si>
  <si>
    <t>Секция 2</t>
  </si>
  <si>
    <t>Новичок</t>
  </si>
  <si>
    <t>КВ-1а</t>
  </si>
  <si>
    <t>Дмитрий</t>
  </si>
  <si>
    <t>Виктория</t>
  </si>
  <si>
    <t>С-Петербург</t>
  </si>
  <si>
    <t>Лада Калина</t>
  </si>
  <si>
    <t>Петров</t>
  </si>
  <si>
    <t>Георгий</t>
  </si>
  <si>
    <t>Мазда</t>
  </si>
  <si>
    <t>Юрахно</t>
  </si>
  <si>
    <t>Евгений</t>
  </si>
  <si>
    <t>Анна</t>
  </si>
  <si>
    <t>Королева</t>
  </si>
  <si>
    <t>Любовь</t>
  </si>
  <si>
    <t>Ксения</t>
  </si>
  <si>
    <t>ЛО, Тосно</t>
  </si>
  <si>
    <t>Рено Дастер</t>
  </si>
  <si>
    <t>Хапонен</t>
  </si>
  <si>
    <t>Татьяна</t>
  </si>
  <si>
    <t>Комарова</t>
  </si>
  <si>
    <t>Светлана</t>
  </si>
  <si>
    <t>Витвицкий</t>
  </si>
  <si>
    <t>Денис</t>
  </si>
  <si>
    <t>Егор</t>
  </si>
  <si>
    <t>VW</t>
  </si>
  <si>
    <t>Лебедько</t>
  </si>
  <si>
    <t>Ольга</t>
  </si>
  <si>
    <t>Прокофьева</t>
  </si>
  <si>
    <t>Рено</t>
  </si>
  <si>
    <t>Абс</t>
  </si>
  <si>
    <t>Абс, Новичок</t>
  </si>
  <si>
    <t>ЛО, Волховский р-н, д.Трусово, 07 января 2023г.</t>
  </si>
</sst>
</file>

<file path=xl/styles.xml><?xml version="1.0" encoding="utf-8"?>
<styleSheet xmlns="http://schemas.openxmlformats.org/spreadsheetml/2006/main">
  <numFmts count="4">
    <numFmt numFmtId="164" formatCode="0.0"/>
    <numFmt numFmtId="165" formatCode="h:mm;@"/>
    <numFmt numFmtId="166" formatCode="h:mm:ss;@"/>
    <numFmt numFmtId="167" formatCode="dd/mm/yy\ h:mm;@"/>
  </numFmts>
  <fonts count="2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1"/>
      <name val="Arial Cyr"/>
      <charset val="204"/>
    </font>
    <font>
      <sz val="20"/>
      <name val="Arial Cyr"/>
      <charset val="204"/>
    </font>
    <font>
      <sz val="10"/>
      <name val="Arial Cyr"/>
      <charset val="204"/>
    </font>
    <font>
      <b/>
      <sz val="22"/>
      <name val="Arial Cyr"/>
      <charset val="204"/>
    </font>
    <font>
      <sz val="10"/>
      <name val="Arial Cyr"/>
      <family val="2"/>
      <charset val="204"/>
    </font>
    <font>
      <b/>
      <sz val="16"/>
      <name val="Arial Cyr"/>
      <family val="2"/>
      <charset val="204"/>
    </font>
    <font>
      <sz val="14"/>
      <name val="Arial Cyr"/>
      <family val="2"/>
      <charset val="204"/>
    </font>
    <font>
      <b/>
      <sz val="10"/>
      <name val="Arial Cyr"/>
      <charset val="204"/>
    </font>
    <font>
      <sz val="16"/>
      <name val="Arial Cyr"/>
      <family val="2"/>
      <charset val="204"/>
    </font>
    <font>
      <b/>
      <sz val="14"/>
      <name val="Arial Cyr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color indexed="10"/>
      <name val="Arial Cyr"/>
      <family val="2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i/>
      <sz val="11"/>
      <name val="Arial Cyr"/>
      <charset val="204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0" xfId="0" applyBorder="1"/>
    <xf numFmtId="20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4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20" fontId="5" fillId="0" borderId="0" xfId="0" applyNumberFormat="1" applyFont="1" applyFill="1" applyAlignment="1">
      <alignment horizontal="left"/>
    </xf>
    <xf numFmtId="0" fontId="5" fillId="0" borderId="0" xfId="0" applyFont="1"/>
    <xf numFmtId="0" fontId="0" fillId="0" borderId="0" xfId="0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20" fontId="11" fillId="0" borderId="0" xfId="0" applyNumberFormat="1" applyFont="1" applyFill="1" applyAlignment="1">
      <alignment horizontal="left"/>
    </xf>
    <xf numFmtId="0" fontId="14" fillId="0" borderId="0" xfId="0" applyFont="1"/>
    <xf numFmtId="0" fontId="5" fillId="0" borderId="0" xfId="0" applyFont="1" applyAlignment="1">
      <alignment horizontal="left"/>
    </xf>
    <xf numFmtId="0" fontId="0" fillId="0" borderId="0" xfId="0" applyFill="1"/>
    <xf numFmtId="0" fontId="15" fillId="0" borderId="0" xfId="0" applyFont="1"/>
    <xf numFmtId="0" fontId="0" fillId="0" borderId="1" xfId="0" applyBorder="1"/>
    <xf numFmtId="1" fontId="0" fillId="2" borderId="2" xfId="0" applyNumberFormat="1" applyFill="1" applyBorder="1" applyProtection="1"/>
    <xf numFmtId="1" fontId="0" fillId="3" borderId="3" xfId="0" applyNumberFormat="1" applyFill="1" applyBorder="1"/>
    <xf numFmtId="1" fontId="0" fillId="3" borderId="4" xfId="0" applyNumberFormat="1" applyFill="1" applyBorder="1"/>
    <xf numFmtId="166" fontId="0" fillId="2" borderId="5" xfId="0" applyNumberFormat="1" applyFill="1" applyBorder="1"/>
    <xf numFmtId="0" fontId="6" fillId="0" borderId="0" xfId="0" applyFont="1"/>
    <xf numFmtId="1" fontId="0" fillId="0" borderId="6" xfId="0" applyNumberFormat="1" applyBorder="1"/>
    <xf numFmtId="164" fontId="0" fillId="0" borderId="6" xfId="0" applyNumberFormat="1" applyBorder="1"/>
    <xf numFmtId="0" fontId="13" fillId="0" borderId="0" xfId="0" applyFont="1"/>
    <xf numFmtId="0" fontId="14" fillId="0" borderId="5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1" fontId="14" fillId="0" borderId="5" xfId="0" applyNumberFormat="1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20" fontId="0" fillId="2" borderId="7" xfId="0" applyNumberFormat="1" applyFill="1" applyBorder="1"/>
    <xf numFmtId="49" fontId="0" fillId="3" borderId="5" xfId="0" applyNumberFormat="1" applyFill="1" applyBorder="1" applyAlignment="1">
      <alignment horizontal="right"/>
    </xf>
    <xf numFmtId="20" fontId="0" fillId="4" borderId="5" xfId="0" applyNumberFormat="1" applyFill="1" applyBorder="1"/>
    <xf numFmtId="1" fontId="0" fillId="2" borderId="5" xfId="0" applyNumberFormat="1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164" fontId="0" fillId="3" borderId="5" xfId="0" applyNumberFormat="1" applyFill="1" applyBorder="1" applyProtection="1"/>
    <xf numFmtId="164" fontId="0" fillId="2" borderId="5" xfId="0" applyNumberFormat="1" applyFill="1" applyBorder="1" applyProtection="1"/>
    <xf numFmtId="1" fontId="0" fillId="3" borderId="5" xfId="0" applyNumberFormat="1" applyFill="1" applyBorder="1" applyProtection="1"/>
    <xf numFmtId="0" fontId="0" fillId="0" borderId="0" xfId="0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20" fontId="13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20" fontId="0" fillId="0" borderId="0" xfId="0" applyNumberForma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164" fontId="18" fillId="0" borderId="5" xfId="0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horizontal="center"/>
    </xf>
    <xf numFmtId="0" fontId="13" fillId="0" borderId="5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22" fillId="0" borderId="0" xfId="0" applyFont="1" applyFill="1"/>
    <xf numFmtId="0" fontId="1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23" fillId="0" borderId="5" xfId="0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23" fillId="0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20" fontId="11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20" fontId="5" fillId="0" borderId="0" xfId="0" applyNumberFormat="1" applyFont="1" applyFill="1" applyAlignment="1">
      <alignment horizontal="center"/>
    </xf>
    <xf numFmtId="165" fontId="11" fillId="0" borderId="5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1" fontId="18" fillId="0" borderId="8" xfId="0" applyNumberFormat="1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/>
    </xf>
    <xf numFmtId="0" fontId="0" fillId="0" borderId="13" xfId="0" applyNumberFormat="1" applyBorder="1" applyAlignment="1">
      <alignment vertical="center" wrapText="1"/>
    </xf>
    <xf numFmtId="0" fontId="18" fillId="5" borderId="14" xfId="0" applyFont="1" applyFill="1" applyBorder="1" applyAlignment="1">
      <alignment horizontal="center"/>
    </xf>
    <xf numFmtId="0" fontId="18" fillId="5" borderId="15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8" fillId="0" borderId="16" xfId="0" applyFont="1" applyBorder="1" applyAlignment="1">
      <alignment horizontal="center" vertical="center"/>
    </xf>
    <xf numFmtId="1" fontId="18" fillId="0" borderId="16" xfId="0" applyNumberFormat="1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1" fontId="0" fillId="0" borderId="13" xfId="0" applyNumberFormat="1" applyBorder="1"/>
    <xf numFmtId="0" fontId="0" fillId="0" borderId="9" xfId="0" applyBorder="1"/>
    <xf numFmtId="1" fontId="0" fillId="0" borderId="8" xfId="0" applyNumberFormat="1" applyBorder="1"/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Border="1" applyAlignment="1">
      <alignment vertical="center"/>
    </xf>
    <xf numFmtId="166" fontId="0" fillId="4" borderId="5" xfId="0" applyNumberFormat="1" applyFill="1" applyBorder="1" applyAlignment="1">
      <alignment horizontal="right"/>
    </xf>
    <xf numFmtId="0" fontId="7" fillId="0" borderId="0" xfId="0" applyFont="1" applyAlignment="1">
      <alignment horizontal="center"/>
    </xf>
    <xf numFmtId="164" fontId="0" fillId="0" borderId="16" xfId="0" applyNumberFormat="1" applyBorder="1"/>
    <xf numFmtId="166" fontId="0" fillId="0" borderId="0" xfId="0" applyNumberForma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25" fillId="0" borderId="5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right"/>
    </xf>
    <xf numFmtId="0" fontId="26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67" fontId="0" fillId="0" borderId="0" xfId="0" applyNumberFormat="1" applyAlignment="1">
      <alignment horizontal="center"/>
    </xf>
    <xf numFmtId="0" fontId="24" fillId="0" borderId="5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5" fillId="6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20" fontId="11" fillId="0" borderId="0" xfId="0" applyNumberFormat="1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0" fillId="7" borderId="5" xfId="0" applyNumberFormat="1" applyFill="1" applyBorder="1" applyAlignment="1">
      <alignment horizontal="right"/>
    </xf>
    <xf numFmtId="0" fontId="2" fillId="0" borderId="25" xfId="0" applyFont="1" applyFill="1" applyBorder="1" applyAlignment="1">
      <alignment horizontal="center" wrapText="1"/>
    </xf>
    <xf numFmtId="0" fontId="1" fillId="0" borderId="0" xfId="0" applyFont="1"/>
    <xf numFmtId="0" fontId="0" fillId="0" borderId="26" xfId="0" applyBorder="1" applyAlignment="1">
      <alignment horizontal="center" vertical="center" wrapText="1"/>
    </xf>
    <xf numFmtId="1" fontId="0" fillId="0" borderId="7" xfId="0" applyNumberFormat="1" applyBorder="1"/>
    <xf numFmtId="164" fontId="0" fillId="0" borderId="3" xfId="0" applyNumberFormat="1" applyBorder="1"/>
    <xf numFmtId="1" fontId="0" fillId="0" borderId="5" xfId="0" applyNumberFormat="1" applyBorder="1"/>
    <xf numFmtId="164" fontId="0" fillId="0" borderId="11" xfId="0" applyNumberFormat="1" applyBorder="1"/>
    <xf numFmtId="0" fontId="2" fillId="0" borderId="8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21" fontId="0" fillId="0" borderId="0" xfId="0" applyNumberFormat="1" applyFill="1" applyBorder="1"/>
    <xf numFmtId="0" fontId="0" fillId="0" borderId="2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9" xfId="0" applyBorder="1" applyAlignment="1">
      <alignment horizontal="center"/>
    </xf>
    <xf numFmtId="165" fontId="0" fillId="0" borderId="30" xfId="0" applyNumberFormat="1" applyFill="1" applyBorder="1" applyAlignment="1">
      <alignment horizontal="center"/>
    </xf>
    <xf numFmtId="165" fontId="0" fillId="0" borderId="25" xfId="0" applyNumberForma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21" fontId="0" fillId="0" borderId="10" xfId="0" applyNumberFormat="1" applyFill="1" applyBorder="1"/>
    <xf numFmtId="166" fontId="0" fillId="0" borderId="10" xfId="0" applyNumberFormat="1" applyBorder="1" applyAlignment="1">
      <alignment horizontal="center"/>
    </xf>
    <xf numFmtId="21" fontId="1" fillId="0" borderId="10" xfId="0" applyNumberFormat="1" applyFont="1" applyFill="1" applyBorder="1"/>
    <xf numFmtId="165" fontId="0" fillId="0" borderId="30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0" fontId="18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right"/>
    </xf>
    <xf numFmtId="1" fontId="14" fillId="0" borderId="1" xfId="0" applyNumberFormat="1" applyFont="1" applyBorder="1" applyAlignment="1">
      <alignment horizontal="right" vertical="center" wrapText="1"/>
    </xf>
    <xf numFmtId="1" fontId="18" fillId="0" borderId="14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21" fontId="1" fillId="0" borderId="5" xfId="0" applyNumberFormat="1" applyFont="1" applyFill="1" applyBorder="1"/>
    <xf numFmtId="0" fontId="2" fillId="0" borderId="29" xfId="0" applyFont="1" applyFill="1" applyBorder="1" applyAlignment="1">
      <alignment horizontal="center" wrapText="1"/>
    </xf>
    <xf numFmtId="164" fontId="0" fillId="0" borderId="5" xfId="0" applyNumberFormat="1" applyBorder="1"/>
    <xf numFmtId="1" fontId="0" fillId="0" borderId="8" xfId="0" applyNumberFormat="1" applyBorder="1" applyAlignment="1">
      <alignment horizontal="right"/>
    </xf>
    <xf numFmtId="164" fontId="0" fillId="0" borderId="13" xfId="0" applyNumberFormat="1" applyBorder="1"/>
    <xf numFmtId="164" fontId="0" fillId="0" borderId="8" xfId="0" applyNumberFormat="1" applyBorder="1"/>
    <xf numFmtId="164" fontId="0" fillId="0" borderId="4" xfId="0" applyNumberFormat="1" applyBorder="1"/>
    <xf numFmtId="21" fontId="0" fillId="0" borderId="5" xfId="0" applyNumberFormat="1" applyFill="1" applyBorder="1"/>
    <xf numFmtId="0" fontId="0" fillId="0" borderId="24" xfId="0" applyBorder="1" applyAlignment="1">
      <alignment horizontal="center" vertical="center"/>
    </xf>
    <xf numFmtId="167" fontId="0" fillId="0" borderId="0" xfId="0" applyNumberFormat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35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3" xfId="0" applyBorder="1" applyAlignment="1">
      <alignment horizontal="right"/>
    </xf>
    <xf numFmtId="0" fontId="0" fillId="0" borderId="37" xfId="0" applyBorder="1" applyAlignment="1">
      <alignment horizontal="right"/>
    </xf>
    <xf numFmtId="0" fontId="18" fillId="0" borderId="3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wrapText="1"/>
    </xf>
    <xf numFmtId="1" fontId="0" fillId="3" borderId="10" xfId="0" applyNumberFormat="1" applyFill="1" applyBorder="1"/>
    <xf numFmtId="0" fontId="2" fillId="0" borderId="5" xfId="0" applyFont="1" applyBorder="1" applyAlignment="1">
      <alignment horizontal="center" wrapText="1"/>
    </xf>
    <xf numFmtId="1" fontId="0" fillId="3" borderId="5" xfId="0" applyNumberFormat="1" applyFill="1" applyBorder="1"/>
    <xf numFmtId="164" fontId="0" fillId="3" borderId="35" xfId="0" applyNumberFormat="1" applyFill="1" applyBorder="1" applyProtection="1"/>
    <xf numFmtId="0" fontId="0" fillId="0" borderId="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8" borderId="5" xfId="0" applyNumberFormat="1" applyFill="1" applyBorder="1" applyAlignment="1">
      <alignment horizontal="right"/>
    </xf>
    <xf numFmtId="164" fontId="0" fillId="0" borderId="9" xfId="0" applyNumberFormat="1" applyBorder="1"/>
    <xf numFmtId="164" fontId="0" fillId="0" borderId="10" xfId="0" applyNumberFormat="1" applyBorder="1"/>
    <xf numFmtId="0" fontId="0" fillId="0" borderId="41" xfId="0" applyBorder="1" applyAlignment="1">
      <alignment horizontal="center" vertical="center" wrapText="1"/>
    </xf>
    <xf numFmtId="1" fontId="0" fillId="0" borderId="25" xfId="0" applyNumberFormat="1" applyBorder="1"/>
    <xf numFmtId="1" fontId="0" fillId="0" borderId="29" xfId="0" applyNumberFormat="1" applyBorder="1"/>
    <xf numFmtId="0" fontId="0" fillId="0" borderId="20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9"/>
  <sheetViews>
    <sheetView view="pageBreakPreview" zoomScale="75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13" sqref="N13"/>
    </sheetView>
  </sheetViews>
  <sheetFormatPr defaultColWidth="8.85546875" defaultRowHeight="20.25"/>
  <cols>
    <col min="1" max="1" width="4.7109375" style="82" customWidth="1"/>
    <col min="2" max="2" width="6.42578125" style="65" customWidth="1"/>
    <col min="3" max="3" width="15.5703125" style="66" customWidth="1"/>
    <col min="4" max="4" width="13.7109375" style="66" customWidth="1"/>
    <col min="5" max="5" width="9.7109375" style="67" hidden="1" customWidth="1"/>
    <col min="6" max="6" width="16.7109375" style="67" customWidth="1"/>
    <col min="7" max="7" width="18.7109375" style="75" customWidth="1"/>
    <col min="8" max="8" width="14.85546875" style="66" customWidth="1"/>
    <col min="9" max="9" width="19.85546875" style="66" customWidth="1"/>
    <col min="10" max="10" width="9.7109375" style="67" hidden="1" customWidth="1"/>
    <col min="11" max="11" width="19.28515625" style="67" customWidth="1"/>
    <col min="12" max="12" width="18.7109375" style="75" customWidth="1"/>
    <col min="13" max="13" width="20.7109375" style="67" customWidth="1"/>
    <col min="14" max="14" width="21.7109375" style="83" customWidth="1"/>
    <col min="15" max="16384" width="8.85546875" style="84"/>
  </cols>
  <sheetData>
    <row r="1" spans="1:15" s="76" customFormat="1" ht="27.75">
      <c r="A1" s="202" t="s">
        <v>86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s="76" customFormat="1" ht="5.45" customHeight="1">
      <c r="A2" s="77"/>
      <c r="B2" s="9"/>
      <c r="C2" s="9"/>
      <c r="D2" s="9"/>
      <c r="E2" s="9"/>
      <c r="F2" s="9"/>
      <c r="G2" s="9"/>
      <c r="I2" s="77"/>
      <c r="J2" s="77"/>
      <c r="K2" s="77"/>
      <c r="L2" s="77"/>
      <c r="M2" s="77"/>
      <c r="N2" s="77"/>
    </row>
    <row r="3" spans="1:15" s="13" customFormat="1" ht="4.9000000000000004" customHeight="1">
      <c r="A3" s="77"/>
      <c r="B3" s="4"/>
      <c r="C3" s="7"/>
      <c r="D3" s="8"/>
      <c r="E3" s="72"/>
      <c r="F3" s="72"/>
      <c r="G3" s="78"/>
      <c r="I3" s="78"/>
      <c r="J3" s="78"/>
      <c r="K3" s="78"/>
      <c r="L3" s="78"/>
      <c r="M3" s="78"/>
      <c r="N3" s="78"/>
    </row>
    <row r="4" spans="1:15" s="13" customFormat="1" ht="25.5">
      <c r="A4" s="203" t="s">
        <v>39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</row>
    <row r="5" spans="1:15" s="13" customFormat="1" ht="8.4499999999999993" customHeight="1">
      <c r="A5" s="78"/>
      <c r="B5" s="4"/>
      <c r="C5" s="5"/>
      <c r="D5" s="8"/>
      <c r="E5" s="72"/>
      <c r="F5" s="72"/>
      <c r="G5" s="78"/>
      <c r="I5" s="78"/>
      <c r="J5" s="78"/>
      <c r="K5" s="78"/>
      <c r="L5" s="78"/>
      <c r="M5" s="78"/>
      <c r="N5" s="78"/>
    </row>
    <row r="6" spans="1:15" s="70" customFormat="1" ht="17.45" customHeight="1">
      <c r="A6" s="204" t="s">
        <v>6</v>
      </c>
      <c r="B6" s="205" t="s">
        <v>35</v>
      </c>
      <c r="C6" s="207" t="s">
        <v>1</v>
      </c>
      <c r="D6" s="207"/>
      <c r="E6" s="207"/>
      <c r="F6" s="207"/>
      <c r="G6" s="207"/>
      <c r="H6" s="208" t="s">
        <v>2</v>
      </c>
      <c r="I6" s="208"/>
      <c r="J6" s="208"/>
      <c r="K6" s="208"/>
      <c r="L6" s="208"/>
      <c r="M6" s="205" t="s">
        <v>5</v>
      </c>
      <c r="N6" s="209" t="s">
        <v>4</v>
      </c>
    </row>
    <row r="7" spans="1:15" s="64" customFormat="1" ht="34.15" customHeight="1">
      <c r="A7" s="204"/>
      <c r="B7" s="206"/>
      <c r="C7" s="63" t="s">
        <v>36</v>
      </c>
      <c r="D7" s="63" t="s">
        <v>37</v>
      </c>
      <c r="E7" s="63" t="s">
        <v>38</v>
      </c>
      <c r="F7" s="63" t="s">
        <v>80</v>
      </c>
      <c r="G7" s="63" t="s">
        <v>0</v>
      </c>
      <c r="H7" s="63" t="s">
        <v>36</v>
      </c>
      <c r="I7" s="63" t="s">
        <v>37</v>
      </c>
      <c r="J7" s="63" t="s">
        <v>38</v>
      </c>
      <c r="K7" s="63" t="s">
        <v>80</v>
      </c>
      <c r="L7" s="63" t="s">
        <v>0</v>
      </c>
      <c r="M7" s="206"/>
      <c r="N7" s="209"/>
    </row>
    <row r="8" spans="1:15" s="73" customFormat="1" ht="19.149999999999999" customHeight="1">
      <c r="A8" s="79">
        <v>1</v>
      </c>
      <c r="B8" s="74">
        <v>1</v>
      </c>
      <c r="C8" s="146" t="s">
        <v>151</v>
      </c>
      <c r="D8" s="262" t="s">
        <v>128</v>
      </c>
      <c r="E8" s="81"/>
      <c r="F8" s="81"/>
      <c r="G8" s="147" t="s">
        <v>130</v>
      </c>
      <c r="H8" s="146" t="s">
        <v>151</v>
      </c>
      <c r="I8" s="262" t="s">
        <v>129</v>
      </c>
      <c r="J8" s="81"/>
      <c r="K8" s="81"/>
      <c r="L8" s="147" t="s">
        <v>130</v>
      </c>
      <c r="M8" s="147" t="s">
        <v>131</v>
      </c>
      <c r="N8" s="263" t="s">
        <v>155</v>
      </c>
    </row>
    <row r="9" spans="1:15" s="73" customFormat="1" ht="19.149999999999999" customHeight="1">
      <c r="A9" s="79">
        <f t="shared" ref="A9:A13" si="0">A8+1</f>
        <v>2</v>
      </c>
      <c r="B9" s="74">
        <v>2</v>
      </c>
      <c r="C9" s="146" t="s">
        <v>132</v>
      </c>
      <c r="D9" s="262" t="s">
        <v>133</v>
      </c>
      <c r="E9" s="81"/>
      <c r="F9" s="81"/>
      <c r="G9" s="147" t="s">
        <v>130</v>
      </c>
      <c r="H9" s="149" t="s">
        <v>153</v>
      </c>
      <c r="I9" s="262" t="s">
        <v>152</v>
      </c>
      <c r="J9" s="81"/>
      <c r="K9" s="81"/>
      <c r="L9" s="147" t="s">
        <v>130</v>
      </c>
      <c r="M9" s="263" t="s">
        <v>134</v>
      </c>
      <c r="N9" s="263" t="s">
        <v>155</v>
      </c>
    </row>
    <row r="10" spans="1:15" s="73" customFormat="1" ht="19.149999999999999" customHeight="1">
      <c r="A10" s="79">
        <f t="shared" si="0"/>
        <v>3</v>
      </c>
      <c r="B10" s="85">
        <v>3</v>
      </c>
      <c r="C10" s="146" t="s">
        <v>135</v>
      </c>
      <c r="D10" s="262" t="s">
        <v>136</v>
      </c>
      <c r="E10" s="81"/>
      <c r="F10" s="81"/>
      <c r="G10" s="147" t="s">
        <v>130</v>
      </c>
      <c r="H10" s="146" t="s">
        <v>135</v>
      </c>
      <c r="I10" s="262" t="s">
        <v>137</v>
      </c>
      <c r="J10" s="81"/>
      <c r="K10" s="81"/>
      <c r="L10" s="147" t="s">
        <v>130</v>
      </c>
      <c r="M10" s="263" t="s">
        <v>134</v>
      </c>
      <c r="N10" s="263" t="s">
        <v>155</v>
      </c>
    </row>
    <row r="11" spans="1:15" s="73" customFormat="1" ht="19.149999999999999" customHeight="1">
      <c r="A11" s="79">
        <f t="shared" si="0"/>
        <v>4</v>
      </c>
      <c r="B11" s="74">
        <v>4</v>
      </c>
      <c r="C11" s="146" t="s">
        <v>138</v>
      </c>
      <c r="D11" s="262" t="s">
        <v>139</v>
      </c>
      <c r="E11" s="81"/>
      <c r="F11" s="81"/>
      <c r="G11" s="147" t="s">
        <v>141</v>
      </c>
      <c r="H11" s="146" t="s">
        <v>138</v>
      </c>
      <c r="I11" s="262" t="s">
        <v>140</v>
      </c>
      <c r="J11" s="81"/>
      <c r="K11" s="81"/>
      <c r="L11" s="147" t="s">
        <v>141</v>
      </c>
      <c r="M11" s="263" t="s">
        <v>142</v>
      </c>
      <c r="N11" s="263" t="s">
        <v>156</v>
      </c>
      <c r="O11" s="80"/>
    </row>
    <row r="12" spans="1:15" s="73" customFormat="1" ht="19.149999999999999" customHeight="1">
      <c r="A12" s="79">
        <f t="shared" si="0"/>
        <v>5</v>
      </c>
      <c r="B12" s="85">
        <v>5</v>
      </c>
      <c r="C12" s="146" t="s">
        <v>143</v>
      </c>
      <c r="D12" s="262" t="s">
        <v>144</v>
      </c>
      <c r="E12" s="81"/>
      <c r="F12" s="81"/>
      <c r="G12" s="147" t="s">
        <v>130</v>
      </c>
      <c r="H12" s="146" t="s">
        <v>145</v>
      </c>
      <c r="I12" s="262" t="s">
        <v>146</v>
      </c>
      <c r="J12" s="81"/>
      <c r="K12" s="81"/>
      <c r="L12" s="147" t="s">
        <v>130</v>
      </c>
      <c r="M12" s="263" t="s">
        <v>154</v>
      </c>
      <c r="N12" s="263" t="s">
        <v>156</v>
      </c>
      <c r="O12" s="80"/>
    </row>
    <row r="13" spans="1:15" s="80" customFormat="1" ht="19.149999999999999" customHeight="1">
      <c r="A13" s="79">
        <f t="shared" si="0"/>
        <v>6</v>
      </c>
      <c r="B13" s="85">
        <v>13</v>
      </c>
      <c r="C13" s="146" t="s">
        <v>147</v>
      </c>
      <c r="D13" s="262" t="s">
        <v>148</v>
      </c>
      <c r="E13" s="81"/>
      <c r="F13" s="81"/>
      <c r="G13" s="147" t="s">
        <v>130</v>
      </c>
      <c r="H13" s="146" t="s">
        <v>147</v>
      </c>
      <c r="I13" s="262" t="s">
        <v>149</v>
      </c>
      <c r="J13" s="81"/>
      <c r="K13" s="81"/>
      <c r="L13" s="147" t="s">
        <v>130</v>
      </c>
      <c r="M13" s="147" t="s">
        <v>150</v>
      </c>
      <c r="N13" s="263" t="s">
        <v>156</v>
      </c>
    </row>
    <row r="14" spans="1:15" s="80" customFormat="1" ht="29.45" hidden="1" customHeight="1">
      <c r="A14" s="79"/>
      <c r="B14" s="85"/>
      <c r="C14" s="146"/>
      <c r="D14" s="137"/>
      <c r="E14" s="81"/>
      <c r="F14" s="81"/>
      <c r="G14" s="147"/>
      <c r="H14" s="137"/>
      <c r="I14" s="137"/>
      <c r="J14" s="81"/>
      <c r="K14" s="81"/>
      <c r="L14" s="147"/>
      <c r="M14" s="81"/>
      <c r="N14" s="81"/>
    </row>
    <row r="15" spans="1:15" s="80" customFormat="1" ht="19.149999999999999" hidden="1" customHeight="1">
      <c r="A15" s="79"/>
      <c r="B15" s="74"/>
      <c r="C15" s="146"/>
      <c r="D15" s="137"/>
      <c r="E15" s="81"/>
      <c r="F15" s="81"/>
      <c r="G15" s="147"/>
      <c r="H15" s="149"/>
      <c r="I15" s="137"/>
      <c r="J15" s="81"/>
      <c r="K15" s="81"/>
      <c r="L15" s="147"/>
      <c r="M15" s="147"/>
      <c r="N15" s="81"/>
    </row>
    <row r="16" spans="1:15" s="80" customFormat="1" ht="19.149999999999999" hidden="1" customHeight="1">
      <c r="A16" s="79"/>
      <c r="B16" s="74"/>
      <c r="C16" s="146"/>
      <c r="D16" s="137"/>
      <c r="E16" s="81"/>
      <c r="F16" s="81"/>
      <c r="G16" s="147"/>
      <c r="H16" s="146"/>
      <c r="I16" s="137"/>
      <c r="J16" s="81"/>
      <c r="K16" s="81"/>
      <c r="L16" s="147"/>
      <c r="M16" s="147"/>
      <c r="N16" s="81"/>
    </row>
    <row r="17" spans="1:14" s="80" customFormat="1" ht="19.149999999999999" hidden="1" customHeight="1">
      <c r="A17" s="79"/>
      <c r="B17" s="85"/>
      <c r="C17" s="146"/>
      <c r="D17" s="137"/>
      <c r="E17" s="81"/>
      <c r="F17" s="81"/>
      <c r="G17" s="147"/>
      <c r="H17" s="137"/>
      <c r="I17" s="137"/>
      <c r="J17" s="81"/>
      <c r="K17" s="81"/>
      <c r="L17" s="147"/>
      <c r="M17" s="81"/>
      <c r="N17" s="81"/>
    </row>
    <row r="18" spans="1:14" s="80" customFormat="1" ht="27" hidden="1" customHeight="1">
      <c r="A18" s="79"/>
      <c r="B18" s="85"/>
      <c r="C18" s="146"/>
      <c r="D18" s="137"/>
      <c r="E18" s="81"/>
      <c r="F18" s="81"/>
      <c r="G18" s="147"/>
      <c r="H18" s="146"/>
      <c r="I18" s="137"/>
      <c r="J18" s="81"/>
      <c r="K18" s="81"/>
      <c r="L18" s="147"/>
      <c r="M18" s="147"/>
      <c r="N18" s="81"/>
    </row>
    <row r="19" spans="1:14" s="80" customFormat="1" ht="19.149999999999999" hidden="1" customHeight="1">
      <c r="A19" s="79"/>
      <c r="B19" s="85"/>
      <c r="C19" s="146"/>
      <c r="D19" s="137"/>
      <c r="E19" s="81"/>
      <c r="F19" s="81"/>
      <c r="G19" s="147"/>
      <c r="H19" s="149"/>
      <c r="I19" s="137"/>
      <c r="J19" s="81"/>
      <c r="K19" s="81"/>
      <c r="L19" s="147"/>
      <c r="M19" s="81"/>
      <c r="N19" s="81"/>
    </row>
    <row r="20" spans="1:14" s="80" customFormat="1" ht="19.149999999999999" hidden="1" customHeight="1">
      <c r="A20" s="79"/>
      <c r="B20" s="85"/>
      <c r="C20" s="146"/>
      <c r="D20" s="137"/>
      <c r="E20" s="81"/>
      <c r="F20" s="81"/>
      <c r="G20" s="147"/>
      <c r="H20" s="137"/>
      <c r="I20" s="137"/>
      <c r="J20" s="81"/>
      <c r="K20" s="81"/>
      <c r="L20" s="147"/>
      <c r="M20" s="81"/>
      <c r="N20" s="81"/>
    </row>
    <row r="21" spans="1:14" s="80" customFormat="1" ht="30" hidden="1" customHeight="1">
      <c r="A21" s="79"/>
      <c r="B21" s="85"/>
      <c r="C21" s="146"/>
      <c r="D21" s="137"/>
      <c r="E21" s="81"/>
      <c r="F21" s="81"/>
      <c r="G21" s="147"/>
      <c r="H21" s="146"/>
      <c r="I21" s="137"/>
      <c r="J21" s="81"/>
      <c r="K21" s="81"/>
      <c r="L21" s="147"/>
      <c r="M21" s="147"/>
      <c r="N21" s="81"/>
    </row>
    <row r="22" spans="1:14" s="80" customFormat="1" ht="19.149999999999999" hidden="1" customHeight="1">
      <c r="A22" s="79"/>
      <c r="B22" s="85"/>
      <c r="C22" s="146"/>
      <c r="D22" s="137"/>
      <c r="E22" s="81"/>
      <c r="F22" s="81"/>
      <c r="G22" s="147"/>
      <c r="H22" s="146"/>
      <c r="I22" s="137"/>
      <c r="J22" s="81"/>
      <c r="K22" s="81"/>
      <c r="L22" s="147"/>
      <c r="M22" s="147"/>
      <c r="N22" s="81"/>
    </row>
    <row r="23" spans="1:14" s="80" customFormat="1" ht="19.149999999999999" hidden="1" customHeight="1">
      <c r="A23" s="79"/>
      <c r="B23" s="74"/>
      <c r="C23" s="146"/>
      <c r="D23" s="137"/>
      <c r="E23" s="81"/>
      <c r="F23" s="81"/>
      <c r="G23" s="147"/>
      <c r="H23" s="146"/>
      <c r="I23" s="137"/>
      <c r="J23" s="81"/>
      <c r="K23" s="81"/>
      <c r="L23" s="147"/>
      <c r="M23" s="147"/>
      <c r="N23" s="81"/>
    </row>
    <row r="24" spans="1:14" s="80" customFormat="1" ht="19.149999999999999" hidden="1" customHeight="1">
      <c r="A24" s="79"/>
      <c r="B24" s="74"/>
      <c r="C24" s="146"/>
      <c r="D24" s="137"/>
      <c r="E24" s="81"/>
      <c r="F24" s="81"/>
      <c r="G24" s="147"/>
      <c r="H24" s="146"/>
      <c r="I24" s="137"/>
      <c r="J24" s="81"/>
      <c r="K24" s="81"/>
      <c r="L24" s="147"/>
      <c r="M24" s="147"/>
      <c r="N24" s="81"/>
    </row>
    <row r="25" spans="1:14" s="80" customFormat="1" ht="27" hidden="1" customHeight="1">
      <c r="A25" s="79"/>
      <c r="B25" s="85"/>
      <c r="C25" s="146"/>
      <c r="D25" s="137"/>
      <c r="E25" s="81"/>
      <c r="F25" s="81"/>
      <c r="G25" s="147"/>
      <c r="H25" s="146"/>
      <c r="I25" s="137"/>
      <c r="J25" s="81"/>
      <c r="K25" s="81"/>
      <c r="L25" s="147"/>
      <c r="M25" s="81"/>
      <c r="N25" s="81"/>
    </row>
    <row r="26" spans="1:14" s="80" customFormat="1" ht="19.149999999999999" hidden="1" customHeight="1">
      <c r="A26" s="79"/>
      <c r="B26" s="85"/>
      <c r="C26" s="146"/>
      <c r="D26" s="137"/>
      <c r="E26" s="81"/>
      <c r="F26" s="81"/>
      <c r="G26" s="147"/>
      <c r="H26" s="137"/>
      <c r="I26" s="137"/>
      <c r="J26" s="81"/>
      <c r="K26" s="81"/>
      <c r="L26" s="147"/>
      <c r="M26" s="81"/>
      <c r="N26" s="81"/>
    </row>
    <row r="27" spans="1:14" s="80" customFormat="1" ht="28.15" hidden="1" customHeight="1">
      <c r="A27" s="79"/>
      <c r="B27" s="74"/>
      <c r="C27" s="146"/>
      <c r="D27" s="137"/>
      <c r="E27" s="81"/>
      <c r="F27" s="81"/>
      <c r="G27" s="147"/>
      <c r="H27" s="149"/>
      <c r="I27" s="137"/>
      <c r="J27" s="81"/>
      <c r="K27" s="81"/>
      <c r="L27" s="147"/>
      <c r="M27" s="147"/>
      <c r="N27" s="81"/>
    </row>
    <row r="28" spans="1:14" s="80" customFormat="1" ht="27.6" hidden="1" customHeight="1">
      <c r="A28" s="79"/>
      <c r="B28" s="74"/>
      <c r="C28" s="146"/>
      <c r="D28" s="137"/>
      <c r="E28" s="81"/>
      <c r="F28" s="81"/>
      <c r="G28" s="147"/>
      <c r="H28" s="137"/>
      <c r="I28" s="137"/>
      <c r="J28" s="81"/>
      <c r="K28" s="81"/>
      <c r="L28" s="147"/>
      <c r="M28" s="147"/>
      <c r="N28" s="81"/>
    </row>
    <row r="29" spans="1:14" s="80" customFormat="1" ht="19.149999999999999" hidden="1" customHeight="1">
      <c r="A29" s="79"/>
      <c r="B29" s="85"/>
      <c r="C29" s="146"/>
      <c r="D29" s="137"/>
      <c r="E29" s="81"/>
      <c r="F29" s="81"/>
      <c r="G29" s="147"/>
      <c r="H29" s="149"/>
      <c r="I29" s="137"/>
      <c r="J29" s="81"/>
      <c r="K29" s="81"/>
      <c r="L29" s="147"/>
      <c r="M29" s="81"/>
      <c r="N29" s="81"/>
    </row>
    <row r="30" spans="1:14" s="80" customFormat="1" ht="29.45" hidden="1" customHeight="1">
      <c r="A30" s="79"/>
      <c r="B30" s="85"/>
      <c r="C30" s="146"/>
      <c r="D30" s="137"/>
      <c r="E30" s="81"/>
      <c r="F30" s="81"/>
      <c r="G30" s="147"/>
      <c r="H30" s="137"/>
      <c r="I30" s="137"/>
      <c r="J30" s="81"/>
      <c r="K30" s="81"/>
      <c r="L30" s="147"/>
      <c r="M30" s="81"/>
      <c r="N30" s="81"/>
    </row>
    <row r="31" spans="1:14" s="80" customFormat="1" ht="19.149999999999999" hidden="1" customHeight="1">
      <c r="A31" s="79"/>
      <c r="B31" s="74"/>
      <c r="C31" s="146"/>
      <c r="D31" s="137"/>
      <c r="E31" s="81"/>
      <c r="F31" s="81"/>
      <c r="G31" s="147"/>
      <c r="H31" s="146"/>
      <c r="I31" s="137"/>
      <c r="J31" s="81"/>
      <c r="K31" s="81"/>
      <c r="L31" s="147"/>
      <c r="M31" s="147"/>
      <c r="N31" s="81"/>
    </row>
    <row r="32" spans="1:14" s="80" customFormat="1" ht="19.149999999999999" hidden="1" customHeight="1">
      <c r="A32" s="79"/>
      <c r="B32" s="74"/>
      <c r="C32" s="146"/>
      <c r="D32" s="137"/>
      <c r="E32" s="81"/>
      <c r="F32" s="81"/>
      <c r="G32" s="147"/>
      <c r="H32" s="150"/>
      <c r="I32" s="137"/>
      <c r="J32" s="81"/>
      <c r="K32" s="148"/>
      <c r="L32" s="147"/>
      <c r="M32" s="147"/>
      <c r="N32" s="81"/>
    </row>
    <row r="33" spans="1:14" s="80" customFormat="1" ht="19.149999999999999" hidden="1" customHeight="1">
      <c r="A33" s="79"/>
      <c r="B33" s="74"/>
      <c r="C33" s="146"/>
      <c r="D33" s="137"/>
      <c r="E33" s="81"/>
      <c r="F33" s="81"/>
      <c r="G33" s="147"/>
      <c r="H33" s="146"/>
      <c r="I33" s="137"/>
      <c r="J33" s="81"/>
      <c r="K33" s="81"/>
      <c r="L33" s="147"/>
      <c r="M33" s="147"/>
      <c r="N33" s="81"/>
    </row>
    <row r="34" spans="1:14" s="80" customFormat="1" ht="19.149999999999999" hidden="1" customHeight="1">
      <c r="A34" s="79"/>
      <c r="B34" s="85"/>
      <c r="C34" s="146"/>
      <c r="D34" s="137"/>
      <c r="E34" s="81"/>
      <c r="F34" s="151"/>
      <c r="G34" s="147"/>
      <c r="H34" s="137"/>
      <c r="I34" s="137"/>
      <c r="J34" s="81"/>
      <c r="K34" s="151"/>
      <c r="L34" s="147"/>
      <c r="M34" s="81"/>
      <c r="N34" s="81"/>
    </row>
    <row r="35" spans="1:14" s="80" customFormat="1" ht="19.149999999999999" hidden="1" customHeight="1">
      <c r="A35" s="79"/>
      <c r="B35" s="74"/>
      <c r="C35" s="146"/>
      <c r="D35" s="137"/>
      <c r="E35" s="81"/>
      <c r="F35" s="81"/>
      <c r="G35" s="147"/>
      <c r="H35" s="146"/>
      <c r="I35" s="137"/>
      <c r="J35" s="81"/>
      <c r="K35" s="81"/>
      <c r="L35" s="147"/>
      <c r="M35" s="147"/>
      <c r="N35" s="81"/>
    </row>
    <row r="36" spans="1:14" s="80" customFormat="1" ht="19.149999999999999" hidden="1" customHeight="1">
      <c r="A36" s="79"/>
      <c r="B36" s="74"/>
      <c r="C36" s="146"/>
      <c r="D36" s="137"/>
      <c r="E36" s="81"/>
      <c r="F36" s="81"/>
      <c r="G36" s="147"/>
      <c r="H36" s="149"/>
      <c r="I36" s="137"/>
      <c r="J36" s="81"/>
      <c r="K36" s="81"/>
      <c r="L36" s="147"/>
      <c r="M36" s="147"/>
      <c r="N36" s="81"/>
    </row>
    <row r="37" spans="1:14" s="80" customFormat="1" ht="19.149999999999999" hidden="1" customHeight="1">
      <c r="A37" s="79"/>
      <c r="B37" s="74"/>
      <c r="C37" s="146"/>
      <c r="D37" s="137"/>
      <c r="E37" s="81"/>
      <c r="F37" s="81"/>
      <c r="G37" s="147"/>
      <c r="H37" s="146"/>
      <c r="I37" s="137"/>
      <c r="J37" s="81"/>
      <c r="K37" s="81"/>
      <c r="L37" s="147"/>
      <c r="M37" s="147"/>
      <c r="N37" s="81"/>
    </row>
    <row r="38" spans="1:14" s="80" customFormat="1" ht="19.149999999999999" hidden="1" customHeight="1">
      <c r="A38" s="79"/>
      <c r="B38" s="74"/>
      <c r="C38" s="146"/>
      <c r="D38" s="137"/>
      <c r="E38" s="81"/>
      <c r="F38" s="81"/>
      <c r="G38" s="147"/>
      <c r="H38" s="146"/>
      <c r="I38" s="137"/>
      <c r="J38" s="81"/>
      <c r="K38" s="81"/>
      <c r="L38" s="147"/>
      <c r="M38" s="147"/>
      <c r="N38" s="81"/>
    </row>
    <row r="39" spans="1:14" ht="39" hidden="1" customHeight="1">
      <c r="A39" s="79"/>
      <c r="B39" s="74"/>
      <c r="C39" s="146"/>
      <c r="D39" s="137"/>
      <c r="E39" s="81"/>
      <c r="F39" s="81"/>
      <c r="G39" s="147"/>
      <c r="H39" s="146"/>
      <c r="I39" s="137"/>
      <c r="J39" s="81"/>
      <c r="K39" s="81"/>
      <c r="L39" s="147"/>
      <c r="M39" s="147"/>
      <c r="N39" s="81"/>
    </row>
  </sheetData>
  <mergeCells count="8">
    <mergeCell ref="A1:N1"/>
    <mergeCell ref="A4:N4"/>
    <mergeCell ref="A6:A7"/>
    <mergeCell ref="B6:B7"/>
    <mergeCell ref="C6:G6"/>
    <mergeCell ref="H6:L6"/>
    <mergeCell ref="M6:M7"/>
    <mergeCell ref="N6:N7"/>
  </mergeCells>
  <phoneticPr fontId="2" type="noConversion"/>
  <pageMargins left="0.19685039370078741" right="0.19685039370078741" top="0.19685039370078741" bottom="0.19685039370078741" header="0.51181102362204722" footer="0.51181102362204722"/>
  <pageSetup paperSize="9" scale="76" fitToHeight="2" orientation="landscape" r:id="rId1"/>
  <headerFooter alignWithMargins="0"/>
  <webPublishItems count="1">
    <webPublishItem id="31105" divId="Fox-Rally_10_31105" sourceType="sheet" destinationFile="ftp://ftp.narod.ru/fox/2011/SpisFox1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view="pageBreakPreview" zoomScale="75" zoomScaleNormal="53" zoomScaleSheetLayoutView="69" workbookViewId="0">
      <pane ySplit="7" topLeftCell="A8" activePane="bottomLeft" state="frozen"/>
      <selection pane="bottomLeft" sqref="A1:H1"/>
    </sheetView>
  </sheetViews>
  <sheetFormatPr defaultColWidth="8.85546875" defaultRowHeight="18"/>
  <cols>
    <col min="1" max="1" width="4.7109375" style="140" customWidth="1"/>
    <col min="2" max="2" width="5.7109375" style="4" customWidth="1"/>
    <col min="3" max="3" width="23.7109375" style="5" customWidth="1"/>
    <col min="4" max="4" width="19.42578125" style="86" customWidth="1"/>
    <col min="5" max="5" width="23.7109375" style="5" customWidth="1"/>
    <col min="6" max="6" width="19.140625" style="86" customWidth="1"/>
    <col min="7" max="7" width="20.7109375" style="72" customWidth="1"/>
    <col min="8" max="8" width="19.7109375" style="78" customWidth="1"/>
    <col min="9" max="16384" width="8.85546875" style="13"/>
  </cols>
  <sheetData>
    <row r="1" spans="1:8" s="76" customFormat="1" ht="27.75">
      <c r="A1" s="202" t="s">
        <v>86</v>
      </c>
      <c r="B1" s="202"/>
      <c r="C1" s="202"/>
      <c r="D1" s="202"/>
      <c r="E1" s="202"/>
      <c r="F1" s="202"/>
      <c r="G1" s="202"/>
      <c r="H1" s="202"/>
    </row>
    <row r="2" spans="1:8" s="76" customFormat="1" ht="5.45" hidden="1" customHeight="1">
      <c r="A2" s="138"/>
      <c r="B2" s="9"/>
      <c r="C2" s="9"/>
      <c r="D2" s="68"/>
      <c r="E2" s="9"/>
      <c r="F2" s="68"/>
      <c r="G2" s="9"/>
      <c r="H2" s="9"/>
    </row>
    <row r="3" spans="1:8" ht="4.9000000000000004" hidden="1" customHeight="1">
      <c r="A3" s="138"/>
      <c r="C3" s="7"/>
      <c r="F3" s="139"/>
    </row>
    <row r="4" spans="1:8" ht="25.5">
      <c r="A4" s="203" t="s">
        <v>45</v>
      </c>
      <c r="B4" s="203"/>
      <c r="C4" s="203"/>
      <c r="D4" s="203"/>
      <c r="E4" s="203"/>
      <c r="F4" s="203"/>
      <c r="G4" s="203"/>
      <c r="H4" s="203"/>
    </row>
    <row r="5" spans="1:8" ht="3" customHeight="1">
      <c r="F5" s="139"/>
    </row>
    <row r="6" spans="1:8">
      <c r="A6" s="212" t="s">
        <v>6</v>
      </c>
      <c r="B6" s="213" t="s">
        <v>35</v>
      </c>
      <c r="C6" s="213" t="s">
        <v>1</v>
      </c>
      <c r="D6" s="213"/>
      <c r="E6" s="214" t="s">
        <v>2</v>
      </c>
      <c r="F6" s="214"/>
      <c r="G6" s="210" t="s">
        <v>5</v>
      </c>
      <c r="H6" s="215" t="s">
        <v>4</v>
      </c>
    </row>
    <row r="7" spans="1:8" s="4" customFormat="1">
      <c r="A7" s="212"/>
      <c r="B7" s="213"/>
      <c r="C7" s="136" t="s">
        <v>3</v>
      </c>
      <c r="D7" s="136" t="s">
        <v>0</v>
      </c>
      <c r="E7" s="136" t="s">
        <v>3</v>
      </c>
      <c r="F7" s="136" t="s">
        <v>0</v>
      </c>
      <c r="G7" s="211"/>
      <c r="H7" s="215"/>
    </row>
    <row r="8" spans="1:8" s="144" customFormat="1" ht="23.1" customHeight="1">
      <c r="A8" s="141">
        <v>1</v>
      </c>
      <c r="B8" s="142">
        <f>'Полный список'!B8</f>
        <v>1</v>
      </c>
      <c r="C8" s="143" t="str">
        <f>UPPER('Полный список'!C8)&amp;" "&amp;'Полный список'!D8</f>
        <v>ЛЕБЕДЬКО Дмитрий</v>
      </c>
      <c r="D8" s="142" t="str">
        <f>'Полный список'!G8</f>
        <v>С-Петербург</v>
      </c>
      <c r="E8" s="143" t="str">
        <f>UPPER('Полный список'!H8)&amp;" "&amp;'Полный список'!I8</f>
        <v>ЛЕБЕДЬКО Виктория</v>
      </c>
      <c r="F8" s="142" t="str">
        <f>'Полный список'!L8</f>
        <v>С-Петербург</v>
      </c>
      <c r="G8" s="142" t="str">
        <f>'Полный список'!M8</f>
        <v>Лада Калина</v>
      </c>
      <c r="H8" s="142" t="str">
        <f>'Полный список'!N8</f>
        <v>Абс</v>
      </c>
    </row>
    <row r="9" spans="1:8" s="144" customFormat="1" ht="23.1" customHeight="1">
      <c r="A9" s="141">
        <f>1+A8</f>
        <v>2</v>
      </c>
      <c r="B9" s="142">
        <f>'Полный список'!B9</f>
        <v>2</v>
      </c>
      <c r="C9" s="143" t="str">
        <f>UPPER('Полный список'!C9)&amp;" "&amp;'Полный список'!D9</f>
        <v>ПЕТРОВ Георгий</v>
      </c>
      <c r="D9" s="142" t="str">
        <f>'Полный список'!G9</f>
        <v>С-Петербург</v>
      </c>
      <c r="E9" s="143" t="str">
        <f>UPPER('Полный список'!H9)&amp;" "&amp;'Полный список'!I9</f>
        <v>ПРОКОФЬЕВА Ольга</v>
      </c>
      <c r="F9" s="142" t="str">
        <f>'Полный список'!L9</f>
        <v>С-Петербург</v>
      </c>
      <c r="G9" s="142" t="str">
        <f>'Полный список'!M9</f>
        <v>Мазда</v>
      </c>
      <c r="H9" s="142" t="str">
        <f>'Полный список'!N9</f>
        <v>Абс</v>
      </c>
    </row>
    <row r="10" spans="1:8" s="144" customFormat="1" ht="23.1" customHeight="1">
      <c r="A10" s="141">
        <f t="shared" ref="A10:A36" si="0">1+A9</f>
        <v>3</v>
      </c>
      <c r="B10" s="142">
        <f>'Полный список'!B10</f>
        <v>3</v>
      </c>
      <c r="C10" s="143" t="str">
        <f>UPPER('Полный список'!C10)&amp;" "&amp;'Полный список'!D10</f>
        <v>ЮРАХНО Евгений</v>
      </c>
      <c r="D10" s="142" t="str">
        <f>'Полный список'!G10</f>
        <v>С-Петербург</v>
      </c>
      <c r="E10" s="143" t="str">
        <f>UPPER('Полный список'!H10)&amp;" "&amp;'Полный список'!I10</f>
        <v>ЮРАХНО Анна</v>
      </c>
      <c r="F10" s="142" t="str">
        <f>'Полный список'!L10</f>
        <v>С-Петербург</v>
      </c>
      <c r="G10" s="142" t="str">
        <f>'Полный список'!M10</f>
        <v>Мазда</v>
      </c>
      <c r="H10" s="142" t="str">
        <f>'Полный список'!N10</f>
        <v>Абс</v>
      </c>
    </row>
    <row r="11" spans="1:8" s="144" customFormat="1" ht="23.1" customHeight="1">
      <c r="A11" s="141">
        <f t="shared" si="0"/>
        <v>4</v>
      </c>
      <c r="B11" s="142">
        <f>'Полный список'!B11</f>
        <v>4</v>
      </c>
      <c r="C11" s="143" t="str">
        <f>UPPER('Полный список'!C11)&amp;" "&amp;'Полный список'!D11</f>
        <v>КОРОЛЕВА Любовь</v>
      </c>
      <c r="D11" s="142" t="str">
        <f>'Полный список'!G11</f>
        <v>ЛО, Тосно</v>
      </c>
      <c r="E11" s="143" t="str">
        <f>UPPER('Полный список'!H11)&amp;" "&amp;'Полный список'!I11</f>
        <v>КОРОЛЕВА Ксения</v>
      </c>
      <c r="F11" s="142" t="str">
        <f>'Полный список'!L11</f>
        <v>ЛО, Тосно</v>
      </c>
      <c r="G11" s="142" t="str">
        <f>'Полный список'!M11</f>
        <v>Рено Дастер</v>
      </c>
      <c r="H11" s="142" t="str">
        <f>'Полный список'!N11</f>
        <v>Абс, Новичок</v>
      </c>
    </row>
    <row r="12" spans="1:8" s="144" customFormat="1" ht="23.1" customHeight="1">
      <c r="A12" s="141">
        <f t="shared" si="0"/>
        <v>5</v>
      </c>
      <c r="B12" s="142">
        <f>'Полный список'!B12</f>
        <v>5</v>
      </c>
      <c r="C12" s="143" t="str">
        <f>UPPER('Полный список'!C12)&amp;" "&amp;'Полный список'!D12</f>
        <v>ХАПОНЕН Татьяна</v>
      </c>
      <c r="D12" s="142" t="str">
        <f>'Полный список'!G12</f>
        <v>С-Петербург</v>
      </c>
      <c r="E12" s="143" t="str">
        <f>UPPER('Полный список'!H12)&amp;" "&amp;'Полный список'!I12</f>
        <v>КОМАРОВА Светлана</v>
      </c>
      <c r="F12" s="142" t="str">
        <f>'Полный список'!L12</f>
        <v>С-Петербург</v>
      </c>
      <c r="G12" s="142" t="str">
        <f>'Полный список'!M12</f>
        <v>Рено</v>
      </c>
      <c r="H12" s="142" t="str">
        <f>'Полный список'!N12</f>
        <v>Абс, Новичок</v>
      </c>
    </row>
    <row r="13" spans="1:8" s="144" customFormat="1" ht="23.1" customHeight="1">
      <c r="A13" s="141">
        <f t="shared" si="0"/>
        <v>6</v>
      </c>
      <c r="B13" s="142">
        <f>'Полный список'!B13</f>
        <v>13</v>
      </c>
      <c r="C13" s="143" t="str">
        <f>UPPER('Полный список'!C13)&amp;" "&amp;'Полный список'!D13</f>
        <v>ВИТВИЦКИЙ Денис</v>
      </c>
      <c r="D13" s="142" t="str">
        <f>'Полный список'!G13</f>
        <v>С-Петербург</v>
      </c>
      <c r="E13" s="143" t="str">
        <f>UPPER('Полный список'!H13)&amp;" "&amp;'Полный список'!I13</f>
        <v>ВИТВИЦКИЙ Егор</v>
      </c>
      <c r="F13" s="142" t="str">
        <f>'Полный список'!L13</f>
        <v>С-Петербург</v>
      </c>
      <c r="G13" s="142" t="str">
        <f>'Полный список'!M13</f>
        <v>VW</v>
      </c>
      <c r="H13" s="142" t="str">
        <f>'Полный список'!N13</f>
        <v>Абс, Новичок</v>
      </c>
    </row>
    <row r="14" spans="1:8" s="144" customFormat="1" ht="23.1" hidden="1" customHeight="1">
      <c r="A14" s="141">
        <f t="shared" si="0"/>
        <v>7</v>
      </c>
      <c r="B14" s="142">
        <f>'Полный список'!B14</f>
        <v>0</v>
      </c>
      <c r="C14" s="143" t="str">
        <f>UPPER('Полный список'!C14)&amp;" "&amp;'Полный список'!D14</f>
        <v xml:space="preserve"> </v>
      </c>
      <c r="D14" s="142">
        <f>'Полный список'!G14</f>
        <v>0</v>
      </c>
      <c r="E14" s="143" t="str">
        <f>UPPER('Полный список'!H14)&amp;" "&amp;'Полный список'!I14</f>
        <v xml:space="preserve"> </v>
      </c>
      <c r="F14" s="142">
        <f>'Полный список'!L14</f>
        <v>0</v>
      </c>
      <c r="G14" s="142">
        <f>'Полный список'!M14</f>
        <v>0</v>
      </c>
      <c r="H14" s="142">
        <f>'Полный список'!N14</f>
        <v>0</v>
      </c>
    </row>
    <row r="15" spans="1:8" s="144" customFormat="1" ht="23.1" hidden="1" customHeight="1">
      <c r="A15" s="141">
        <f t="shared" si="0"/>
        <v>8</v>
      </c>
      <c r="B15" s="142">
        <f>'Полный список'!B15</f>
        <v>0</v>
      </c>
      <c r="C15" s="143" t="str">
        <f>UPPER('Полный список'!C15)&amp;" "&amp;'Полный список'!D15</f>
        <v xml:space="preserve"> </v>
      </c>
      <c r="D15" s="142">
        <f>'Полный список'!G15</f>
        <v>0</v>
      </c>
      <c r="E15" s="143" t="str">
        <f>UPPER('Полный список'!H15)&amp;" "&amp;'Полный список'!I15</f>
        <v xml:space="preserve"> </v>
      </c>
      <c r="F15" s="142">
        <f>'Полный список'!L15</f>
        <v>0</v>
      </c>
      <c r="G15" s="142">
        <f>'Полный список'!M15</f>
        <v>0</v>
      </c>
      <c r="H15" s="142">
        <f>'Полный список'!N15</f>
        <v>0</v>
      </c>
    </row>
    <row r="16" spans="1:8" s="144" customFormat="1" ht="16.899999999999999" hidden="1" customHeight="1">
      <c r="A16" s="141">
        <f t="shared" si="0"/>
        <v>9</v>
      </c>
      <c r="B16" s="142">
        <f>'Полный список'!B16</f>
        <v>0</v>
      </c>
      <c r="C16" s="143" t="str">
        <f>UPPER('Полный список'!C16)&amp;" "&amp;'Полный список'!D16</f>
        <v xml:space="preserve"> </v>
      </c>
      <c r="D16" s="142">
        <f>'Полный список'!G16</f>
        <v>0</v>
      </c>
      <c r="E16" s="143" t="str">
        <f>UPPER('Полный список'!H16)&amp;" "&amp;'Полный список'!I16</f>
        <v xml:space="preserve"> </v>
      </c>
      <c r="F16" s="142">
        <f>'Полный список'!L16</f>
        <v>0</v>
      </c>
      <c r="G16" s="142">
        <f>'Полный список'!M16</f>
        <v>0</v>
      </c>
      <c r="H16" s="142">
        <f>'Полный список'!N16</f>
        <v>0</v>
      </c>
    </row>
    <row r="17" spans="1:8" s="144" customFormat="1" ht="16.899999999999999" hidden="1" customHeight="1">
      <c r="A17" s="141">
        <f t="shared" si="0"/>
        <v>10</v>
      </c>
      <c r="B17" s="142">
        <f>'Полный список'!B17</f>
        <v>0</v>
      </c>
      <c r="C17" s="143" t="str">
        <f>UPPER('Полный список'!C17)&amp;" "&amp;'Полный список'!D17</f>
        <v xml:space="preserve"> </v>
      </c>
      <c r="D17" s="142">
        <f>'Полный список'!G17</f>
        <v>0</v>
      </c>
      <c r="E17" s="143" t="str">
        <f>UPPER('Полный список'!H17)&amp;" "&amp;'Полный список'!I17</f>
        <v xml:space="preserve"> </v>
      </c>
      <c r="F17" s="142">
        <f>'Полный список'!L17</f>
        <v>0</v>
      </c>
      <c r="G17" s="142">
        <f>'Полный список'!M17</f>
        <v>0</v>
      </c>
      <c r="H17" s="142">
        <f>'Полный список'!N17</f>
        <v>0</v>
      </c>
    </row>
    <row r="18" spans="1:8" s="144" customFormat="1" ht="26.45" hidden="1" customHeight="1">
      <c r="A18" s="141">
        <f t="shared" si="0"/>
        <v>11</v>
      </c>
      <c r="B18" s="142">
        <f>'Полный список'!B18</f>
        <v>0</v>
      </c>
      <c r="C18" s="143" t="str">
        <f>UPPER('Полный список'!C18)&amp;" "&amp;'Полный список'!D18</f>
        <v xml:space="preserve"> </v>
      </c>
      <c r="D18" s="142">
        <f>'Полный список'!G18</f>
        <v>0</v>
      </c>
      <c r="E18" s="143" t="str">
        <f>UPPER('Полный список'!H18)&amp;" "&amp;'Полный список'!I18</f>
        <v xml:space="preserve"> </v>
      </c>
      <c r="F18" s="142">
        <f>'Полный список'!L18</f>
        <v>0</v>
      </c>
      <c r="G18" s="142">
        <f>'Полный список'!M18</f>
        <v>0</v>
      </c>
      <c r="H18" s="142">
        <f>'Полный список'!N18</f>
        <v>0</v>
      </c>
    </row>
    <row r="19" spans="1:8" s="144" customFormat="1" ht="16.899999999999999" hidden="1" customHeight="1">
      <c r="A19" s="141">
        <f t="shared" si="0"/>
        <v>12</v>
      </c>
      <c r="B19" s="142">
        <f>'Полный список'!B19</f>
        <v>0</v>
      </c>
      <c r="C19" s="143" t="str">
        <f>UPPER('Полный список'!C19)&amp;" "&amp;'Полный список'!D19</f>
        <v xml:space="preserve"> </v>
      </c>
      <c r="D19" s="142">
        <f>'Полный список'!G19</f>
        <v>0</v>
      </c>
      <c r="E19" s="143" t="str">
        <f>UPPER('Полный список'!H19)&amp;" "&amp;'Полный список'!I19</f>
        <v xml:space="preserve"> </v>
      </c>
      <c r="F19" s="142">
        <f>'Полный список'!L19</f>
        <v>0</v>
      </c>
      <c r="G19" s="142">
        <f>'Полный список'!M19</f>
        <v>0</v>
      </c>
      <c r="H19" s="142">
        <f>'Полный список'!N19</f>
        <v>0</v>
      </c>
    </row>
    <row r="20" spans="1:8" s="144" customFormat="1" ht="16.899999999999999" hidden="1" customHeight="1">
      <c r="A20" s="141">
        <f t="shared" si="0"/>
        <v>13</v>
      </c>
      <c r="B20" s="142">
        <f>'Полный список'!B20</f>
        <v>0</v>
      </c>
      <c r="C20" s="143" t="str">
        <f>UPPER('Полный список'!C20)&amp;" "&amp;'Полный список'!D20</f>
        <v xml:space="preserve"> </v>
      </c>
      <c r="D20" s="142">
        <f>'Полный список'!G20</f>
        <v>0</v>
      </c>
      <c r="E20" s="143" t="str">
        <f>UPPER('Полный список'!H20)&amp;" "&amp;'Полный список'!I20</f>
        <v xml:space="preserve"> </v>
      </c>
      <c r="F20" s="142">
        <f>'Полный список'!L20</f>
        <v>0</v>
      </c>
      <c r="G20" s="142">
        <f>'Полный список'!M20</f>
        <v>0</v>
      </c>
      <c r="H20" s="142">
        <f>'Полный список'!N20</f>
        <v>0</v>
      </c>
    </row>
    <row r="21" spans="1:8" s="144" customFormat="1" ht="28.9" hidden="1" customHeight="1">
      <c r="A21" s="141">
        <f t="shared" si="0"/>
        <v>14</v>
      </c>
      <c r="B21" s="142">
        <f>'Полный список'!B21</f>
        <v>0</v>
      </c>
      <c r="C21" s="143" t="str">
        <f>UPPER('Полный список'!C21)&amp;" "&amp;'Полный список'!D21</f>
        <v xml:space="preserve"> </v>
      </c>
      <c r="D21" s="142">
        <f>'Полный список'!G21</f>
        <v>0</v>
      </c>
      <c r="E21" s="143" t="str">
        <f>UPPER('Полный список'!H21)&amp;" "&amp;'Полный список'!I21</f>
        <v xml:space="preserve"> </v>
      </c>
      <c r="F21" s="142">
        <f>'Полный список'!L21</f>
        <v>0</v>
      </c>
      <c r="G21" s="142">
        <f>'Полный список'!M21</f>
        <v>0</v>
      </c>
      <c r="H21" s="142">
        <f>'Полный список'!N21</f>
        <v>0</v>
      </c>
    </row>
    <row r="22" spans="1:8" s="144" customFormat="1" ht="16.899999999999999" hidden="1" customHeight="1">
      <c r="A22" s="141">
        <f t="shared" si="0"/>
        <v>15</v>
      </c>
      <c r="B22" s="142">
        <f>'Полный список'!B22</f>
        <v>0</v>
      </c>
      <c r="C22" s="143" t="str">
        <f>UPPER('Полный список'!C22)&amp;" "&amp;'Полный список'!D22</f>
        <v xml:space="preserve"> </v>
      </c>
      <c r="D22" s="142">
        <f>'Полный список'!G22</f>
        <v>0</v>
      </c>
      <c r="E22" s="143" t="str">
        <f>UPPER('Полный список'!H22)&amp;" "&amp;'Полный список'!I22</f>
        <v xml:space="preserve"> </v>
      </c>
      <c r="F22" s="142">
        <f>'Полный список'!L22</f>
        <v>0</v>
      </c>
      <c r="G22" s="142">
        <f>'Полный список'!M22</f>
        <v>0</v>
      </c>
      <c r="H22" s="142">
        <f>'Полный список'!N22</f>
        <v>0</v>
      </c>
    </row>
    <row r="23" spans="1:8" s="144" customFormat="1" ht="16.899999999999999" hidden="1" customHeight="1">
      <c r="A23" s="141">
        <f t="shared" si="0"/>
        <v>16</v>
      </c>
      <c r="B23" s="142">
        <f>'Полный список'!B23</f>
        <v>0</v>
      </c>
      <c r="C23" s="143" t="str">
        <f>UPPER('Полный список'!C23)&amp;" "&amp;'Полный список'!D23</f>
        <v xml:space="preserve"> </v>
      </c>
      <c r="D23" s="142">
        <f>'Полный список'!G23</f>
        <v>0</v>
      </c>
      <c r="E23" s="143" t="str">
        <f>UPPER('Полный список'!H23)&amp;" "&amp;'Полный список'!I23</f>
        <v xml:space="preserve"> </v>
      </c>
      <c r="F23" s="142">
        <f>'Полный список'!L23</f>
        <v>0</v>
      </c>
      <c r="G23" s="142">
        <f>'Полный список'!M23</f>
        <v>0</v>
      </c>
      <c r="H23" s="142">
        <f>'Полный список'!N23</f>
        <v>0</v>
      </c>
    </row>
    <row r="24" spans="1:8" s="144" customFormat="1" ht="16.899999999999999" hidden="1" customHeight="1">
      <c r="A24" s="141">
        <f t="shared" si="0"/>
        <v>17</v>
      </c>
      <c r="B24" s="142">
        <f>'Полный список'!B24</f>
        <v>0</v>
      </c>
      <c r="C24" s="143" t="str">
        <f>UPPER('Полный список'!C24)&amp;" "&amp;'Полный список'!D24</f>
        <v xml:space="preserve"> </v>
      </c>
      <c r="D24" s="142">
        <f>'Полный список'!G24</f>
        <v>0</v>
      </c>
      <c r="E24" s="143" t="str">
        <f>UPPER('Полный список'!H24)&amp;" "&amp;'Полный список'!I24</f>
        <v xml:space="preserve"> </v>
      </c>
      <c r="F24" s="142">
        <f>'Полный список'!L24</f>
        <v>0</v>
      </c>
      <c r="G24" s="142">
        <f>'Полный список'!M24</f>
        <v>0</v>
      </c>
      <c r="H24" s="142">
        <f>'Полный список'!N24</f>
        <v>0</v>
      </c>
    </row>
    <row r="25" spans="1:8" s="144" customFormat="1" ht="26.45" hidden="1" customHeight="1">
      <c r="A25" s="141">
        <f t="shared" si="0"/>
        <v>18</v>
      </c>
      <c r="B25" s="142">
        <f>'Полный список'!B25</f>
        <v>0</v>
      </c>
      <c r="C25" s="143" t="str">
        <f>UPPER('Полный список'!C25)&amp;" "&amp;'Полный список'!D25</f>
        <v xml:space="preserve"> </v>
      </c>
      <c r="D25" s="142">
        <f>'Полный список'!G25</f>
        <v>0</v>
      </c>
      <c r="E25" s="143" t="str">
        <f>UPPER('Полный список'!H25)&amp;" "&amp;'Полный список'!I25</f>
        <v xml:space="preserve"> </v>
      </c>
      <c r="F25" s="142">
        <f>'Полный список'!L25</f>
        <v>0</v>
      </c>
      <c r="G25" s="142">
        <f>'Полный список'!M25</f>
        <v>0</v>
      </c>
      <c r="H25" s="142">
        <f>'Полный список'!N25</f>
        <v>0</v>
      </c>
    </row>
    <row r="26" spans="1:8" s="144" customFormat="1" ht="27" hidden="1" customHeight="1">
      <c r="A26" s="141">
        <f t="shared" si="0"/>
        <v>19</v>
      </c>
      <c r="B26" s="142">
        <f>'Полный список'!B26</f>
        <v>0</v>
      </c>
      <c r="C26" s="143" t="str">
        <f>UPPER('Полный список'!C26)&amp;" "&amp;'Полный список'!D26</f>
        <v xml:space="preserve"> </v>
      </c>
      <c r="D26" s="142">
        <f>'Полный список'!G26</f>
        <v>0</v>
      </c>
      <c r="E26" s="143" t="str">
        <f>UPPER('Полный список'!H26)&amp;" "&amp;'Полный список'!I26</f>
        <v xml:space="preserve"> </v>
      </c>
      <c r="F26" s="142">
        <f>'Полный список'!L26</f>
        <v>0</v>
      </c>
      <c r="G26" s="142">
        <f>'Полный список'!M26</f>
        <v>0</v>
      </c>
      <c r="H26" s="142">
        <f>'Полный список'!N26</f>
        <v>0</v>
      </c>
    </row>
    <row r="27" spans="1:8" s="144" customFormat="1" ht="16.899999999999999" hidden="1" customHeight="1">
      <c r="A27" s="141">
        <f t="shared" si="0"/>
        <v>20</v>
      </c>
      <c r="B27" s="142">
        <f>'Полный список'!B27</f>
        <v>0</v>
      </c>
      <c r="C27" s="143" t="str">
        <f>UPPER('Полный список'!C27)&amp;" "&amp;'Полный список'!D27</f>
        <v xml:space="preserve"> </v>
      </c>
      <c r="D27" s="142">
        <f>'Полный список'!G27</f>
        <v>0</v>
      </c>
      <c r="E27" s="143" t="str">
        <f>UPPER('Полный список'!H27)&amp;" "&amp;'Полный список'!I27</f>
        <v xml:space="preserve"> </v>
      </c>
      <c r="F27" s="142">
        <f>'Полный список'!L27</f>
        <v>0</v>
      </c>
      <c r="G27" s="142">
        <f>'Полный список'!M27</f>
        <v>0</v>
      </c>
      <c r="H27" s="142">
        <f>'Полный список'!N27</f>
        <v>0</v>
      </c>
    </row>
    <row r="28" spans="1:8" s="144" customFormat="1" ht="28.15" hidden="1" customHeight="1">
      <c r="A28" s="141">
        <f t="shared" si="0"/>
        <v>21</v>
      </c>
      <c r="B28" s="142">
        <f>'Полный список'!B28</f>
        <v>0</v>
      </c>
      <c r="C28" s="143" t="str">
        <f>UPPER('Полный список'!C28)&amp;" "&amp;'Полный список'!D28</f>
        <v xml:space="preserve"> </v>
      </c>
      <c r="D28" s="142">
        <f>'Полный список'!G28</f>
        <v>0</v>
      </c>
      <c r="E28" s="143" t="str">
        <f>UPPER('Полный список'!H28)&amp;" "&amp;'Полный список'!I28</f>
        <v xml:space="preserve"> </v>
      </c>
      <c r="F28" s="142">
        <f>'Полный список'!L28</f>
        <v>0</v>
      </c>
      <c r="G28" s="142">
        <f>'Полный список'!M28</f>
        <v>0</v>
      </c>
      <c r="H28" s="142">
        <f>'Полный список'!N28</f>
        <v>0</v>
      </c>
    </row>
    <row r="29" spans="1:8" s="144" customFormat="1" ht="23.45" hidden="1" customHeight="1">
      <c r="A29" s="141">
        <f t="shared" si="0"/>
        <v>22</v>
      </c>
      <c r="B29" s="142">
        <f>'Полный список'!B29</f>
        <v>0</v>
      </c>
      <c r="C29" s="143" t="str">
        <f>UPPER('Полный список'!C29)&amp;" "&amp;'Полный список'!D29</f>
        <v xml:space="preserve"> </v>
      </c>
      <c r="D29" s="142">
        <f>'Полный список'!G29</f>
        <v>0</v>
      </c>
      <c r="E29" s="143" t="str">
        <f>UPPER('Полный список'!H29)&amp;" "&amp;'Полный список'!I29</f>
        <v xml:space="preserve"> </v>
      </c>
      <c r="F29" s="142">
        <f>'Полный список'!L29</f>
        <v>0</v>
      </c>
      <c r="G29" s="142">
        <f>'Полный список'!M29</f>
        <v>0</v>
      </c>
      <c r="H29" s="142">
        <f>'Полный список'!N29</f>
        <v>0</v>
      </c>
    </row>
    <row r="30" spans="1:8" s="144" customFormat="1" ht="28.9" hidden="1" customHeight="1">
      <c r="A30" s="141">
        <f t="shared" si="0"/>
        <v>23</v>
      </c>
      <c r="B30" s="142">
        <f>'Полный список'!B30</f>
        <v>0</v>
      </c>
      <c r="C30" s="143" t="str">
        <f>UPPER('Полный список'!C30)&amp;" "&amp;'Полный список'!D30</f>
        <v xml:space="preserve"> </v>
      </c>
      <c r="D30" s="142">
        <f>'Полный список'!G30</f>
        <v>0</v>
      </c>
      <c r="E30" s="143" t="str">
        <f>UPPER('Полный список'!H30)&amp;" "&amp;'Полный список'!I30</f>
        <v xml:space="preserve"> </v>
      </c>
      <c r="F30" s="142">
        <f>'Полный список'!L30</f>
        <v>0</v>
      </c>
      <c r="G30" s="142">
        <f>'Полный список'!M30</f>
        <v>0</v>
      </c>
      <c r="H30" s="142">
        <f>'Полный список'!N30</f>
        <v>0</v>
      </c>
    </row>
    <row r="31" spans="1:8" s="144" customFormat="1" ht="26.45" hidden="1" customHeight="1">
      <c r="A31" s="141">
        <f t="shared" si="0"/>
        <v>24</v>
      </c>
      <c r="B31" s="142">
        <f>'Полный список'!B31</f>
        <v>0</v>
      </c>
      <c r="C31" s="143" t="str">
        <f>UPPER('Полный список'!C31)&amp;" "&amp;'Полный список'!D31</f>
        <v xml:space="preserve"> </v>
      </c>
      <c r="D31" s="142">
        <f>'Полный список'!G31</f>
        <v>0</v>
      </c>
      <c r="E31" s="143" t="str">
        <f>UPPER('Полный список'!H31)&amp;" "&amp;'Полный список'!I31</f>
        <v xml:space="preserve"> </v>
      </c>
      <c r="F31" s="142">
        <f>'Полный список'!L31</f>
        <v>0</v>
      </c>
      <c r="G31" s="142">
        <f>'Полный список'!M31</f>
        <v>0</v>
      </c>
      <c r="H31" s="142">
        <f>'Полный список'!N31</f>
        <v>0</v>
      </c>
    </row>
    <row r="32" spans="1:8" s="144" customFormat="1" ht="31.15" hidden="1" customHeight="1">
      <c r="A32" s="141">
        <f t="shared" si="0"/>
        <v>25</v>
      </c>
      <c r="B32" s="142">
        <f>'Полный список'!B32</f>
        <v>0</v>
      </c>
      <c r="C32" s="143" t="str">
        <f>UPPER('Полный список'!C32)&amp;" "&amp;'Полный список'!D32</f>
        <v xml:space="preserve"> </v>
      </c>
      <c r="D32" s="142">
        <f>'Полный список'!G32</f>
        <v>0</v>
      </c>
      <c r="E32" s="143" t="str">
        <f>UPPER('Полный список'!H32)&amp;" "&amp;'Полный список'!I32</f>
        <v xml:space="preserve"> </v>
      </c>
      <c r="F32" s="142">
        <f>'Полный список'!L32</f>
        <v>0</v>
      </c>
      <c r="G32" s="142">
        <f>'Полный список'!M32</f>
        <v>0</v>
      </c>
      <c r="H32" s="142">
        <f>'Полный список'!N32</f>
        <v>0</v>
      </c>
    </row>
    <row r="33" spans="1:8" s="144" customFormat="1" ht="16.899999999999999" hidden="1" customHeight="1">
      <c r="A33" s="141">
        <f t="shared" si="0"/>
        <v>26</v>
      </c>
      <c r="B33" s="142">
        <f>'Полный список'!B33</f>
        <v>0</v>
      </c>
      <c r="C33" s="143" t="str">
        <f>UPPER('Полный список'!C33)&amp;" "&amp;'Полный список'!D33</f>
        <v xml:space="preserve"> </v>
      </c>
      <c r="D33" s="142">
        <f>'Полный список'!G33</f>
        <v>0</v>
      </c>
      <c r="E33" s="143" t="str">
        <f>UPPER('Полный список'!H33)&amp;" "&amp;'Полный список'!I33</f>
        <v xml:space="preserve"> </v>
      </c>
      <c r="F33" s="142">
        <f>'Полный список'!L33</f>
        <v>0</v>
      </c>
      <c r="G33" s="142">
        <f>'Полный список'!M33</f>
        <v>0</v>
      </c>
      <c r="H33" s="142">
        <f>'Полный список'!N33</f>
        <v>0</v>
      </c>
    </row>
    <row r="34" spans="1:8" s="144" customFormat="1" ht="16.899999999999999" hidden="1" customHeight="1">
      <c r="A34" s="141">
        <f t="shared" si="0"/>
        <v>27</v>
      </c>
      <c r="B34" s="142">
        <f>'Полный список'!B34</f>
        <v>0</v>
      </c>
      <c r="C34" s="143" t="str">
        <f>UPPER('Полный список'!C34)&amp;" "&amp;'Полный список'!D34</f>
        <v xml:space="preserve"> </v>
      </c>
      <c r="D34" s="142">
        <f>'Полный список'!G34</f>
        <v>0</v>
      </c>
      <c r="E34" s="143" t="str">
        <f>UPPER('Полный список'!H34)&amp;" "&amp;'Полный список'!I34</f>
        <v xml:space="preserve"> </v>
      </c>
      <c r="F34" s="142">
        <f>'Полный список'!L34</f>
        <v>0</v>
      </c>
      <c r="G34" s="142">
        <f>'Полный список'!M34</f>
        <v>0</v>
      </c>
      <c r="H34" s="142">
        <f>'Полный список'!N34</f>
        <v>0</v>
      </c>
    </row>
    <row r="35" spans="1:8" s="144" customFormat="1" ht="29.45" hidden="1" customHeight="1">
      <c r="A35" s="141">
        <f t="shared" si="0"/>
        <v>28</v>
      </c>
      <c r="B35" s="142">
        <f>'Полный список'!B35</f>
        <v>0</v>
      </c>
      <c r="C35" s="143" t="str">
        <f>UPPER('Полный список'!C35)&amp;" "&amp;'Полный список'!D35</f>
        <v xml:space="preserve"> </v>
      </c>
      <c r="D35" s="142">
        <f>'Полный список'!G35</f>
        <v>0</v>
      </c>
      <c r="E35" s="143" t="str">
        <f>UPPER('Полный список'!H35)&amp;" "&amp;'Полный список'!I35</f>
        <v xml:space="preserve"> </v>
      </c>
      <c r="F35" s="142">
        <f>'Полный список'!L35</f>
        <v>0</v>
      </c>
      <c r="G35" s="142">
        <f>'Полный список'!M35</f>
        <v>0</v>
      </c>
      <c r="H35" s="142">
        <f>'Полный список'!N35</f>
        <v>0</v>
      </c>
    </row>
    <row r="36" spans="1:8" s="144" customFormat="1" ht="29.45" hidden="1" customHeight="1">
      <c r="A36" s="141">
        <f t="shared" si="0"/>
        <v>29</v>
      </c>
      <c r="B36" s="142">
        <f>'Полный список'!B36</f>
        <v>0</v>
      </c>
      <c r="C36" s="143" t="str">
        <f>UPPER('Полный список'!C36)&amp;" "&amp;'Полный список'!D36</f>
        <v xml:space="preserve"> </v>
      </c>
      <c r="D36" s="142">
        <f>'Полный список'!G36</f>
        <v>0</v>
      </c>
      <c r="E36" s="143" t="str">
        <f>UPPER('Полный список'!H36)&amp;" "&amp;'Полный список'!I36</f>
        <v xml:space="preserve"> </v>
      </c>
      <c r="F36" s="142">
        <f>'Полный список'!L36</f>
        <v>0</v>
      </c>
      <c r="G36" s="142">
        <f>'Полный список'!M36</f>
        <v>0</v>
      </c>
      <c r="H36" s="142">
        <f>'Полный список'!N36</f>
        <v>0</v>
      </c>
    </row>
    <row r="37" spans="1:8" s="144" customFormat="1" ht="16.899999999999999" hidden="1" customHeight="1">
      <c r="A37" s="141">
        <f>1+A36</f>
        <v>30</v>
      </c>
      <c r="B37" s="142">
        <f>'Полный список'!B37</f>
        <v>0</v>
      </c>
      <c r="C37" s="143" t="str">
        <f>UPPER('Полный список'!C37)&amp;" "&amp;'Полный список'!D37</f>
        <v xml:space="preserve"> </v>
      </c>
      <c r="D37" s="142">
        <f>'Полный список'!G37</f>
        <v>0</v>
      </c>
      <c r="E37" s="143" t="str">
        <f>UPPER('Полный список'!H37)&amp;" "&amp;'Полный список'!I37</f>
        <v xml:space="preserve"> </v>
      </c>
      <c r="F37" s="142">
        <f>'Полный список'!L37</f>
        <v>0</v>
      </c>
      <c r="G37" s="142">
        <f>'Полный список'!M37</f>
        <v>0</v>
      </c>
      <c r="H37" s="142">
        <f>'Полный список'!N37</f>
        <v>0</v>
      </c>
    </row>
    <row r="38" spans="1:8" s="144" customFormat="1" ht="33.6" hidden="1" customHeight="1">
      <c r="A38" s="141">
        <f>1+A37</f>
        <v>31</v>
      </c>
      <c r="B38" s="142">
        <f>'Полный список'!B38</f>
        <v>0</v>
      </c>
      <c r="C38" s="143" t="str">
        <f>UPPER('Полный список'!C38)&amp;" "&amp;'Полный список'!D38</f>
        <v xml:space="preserve"> </v>
      </c>
      <c r="D38" s="142">
        <f>'Полный список'!G38</f>
        <v>0</v>
      </c>
      <c r="E38" s="143" t="str">
        <f>UPPER('Полный список'!H38)&amp;" "&amp;'Полный список'!I38</f>
        <v xml:space="preserve"> </v>
      </c>
      <c r="F38" s="142">
        <f>'Полный список'!L38</f>
        <v>0</v>
      </c>
      <c r="G38" s="142">
        <f>'Полный список'!M38</f>
        <v>0</v>
      </c>
      <c r="H38" s="142">
        <f>'Полный список'!N38</f>
        <v>0</v>
      </c>
    </row>
    <row r="39" spans="1:8" s="144" customFormat="1" ht="40.5" hidden="1" customHeight="1">
      <c r="A39" s="141">
        <f>1+A38</f>
        <v>32</v>
      </c>
      <c r="B39" s="142">
        <f>'Полный список'!B39</f>
        <v>0</v>
      </c>
      <c r="C39" s="143" t="str">
        <f>UPPER('Полный список'!C39)&amp;" "&amp;'Полный список'!D39</f>
        <v xml:space="preserve"> </v>
      </c>
      <c r="D39" s="142">
        <f>'Полный список'!G39</f>
        <v>0</v>
      </c>
      <c r="E39" s="143" t="str">
        <f>UPPER('Полный список'!H39)&amp;" "&amp;'Полный список'!I39</f>
        <v xml:space="preserve"> </v>
      </c>
      <c r="F39" s="142">
        <f>'Полный список'!L39</f>
        <v>0</v>
      </c>
      <c r="G39" s="142">
        <f>'Полный список'!M39</f>
        <v>0</v>
      </c>
      <c r="H39" s="142">
        <f>'Полный список'!N39</f>
        <v>0</v>
      </c>
    </row>
    <row r="40" spans="1:8" ht="8.4499999999999993" customHeight="1"/>
    <row r="41" spans="1:8">
      <c r="C41" s="11" t="s">
        <v>87</v>
      </c>
      <c r="D41" s="5"/>
      <c r="E41" s="8"/>
      <c r="F41" s="11" t="s">
        <v>88</v>
      </c>
    </row>
    <row r="42" spans="1:8" ht="7.15" customHeight="1">
      <c r="C42" s="4"/>
      <c r="D42" s="5"/>
      <c r="E42" s="8"/>
      <c r="F42" s="5"/>
    </row>
    <row r="43" spans="1:8">
      <c r="C43" s="17" t="s">
        <v>7</v>
      </c>
      <c r="D43" s="5"/>
      <c r="E43" s="8"/>
      <c r="F43" s="5"/>
    </row>
  </sheetData>
  <mergeCells count="8">
    <mergeCell ref="A1:H1"/>
    <mergeCell ref="A4:H4"/>
    <mergeCell ref="G6:G7"/>
    <mergeCell ref="A6:A7"/>
    <mergeCell ref="B6:B7"/>
    <mergeCell ref="C6:D6"/>
    <mergeCell ref="E6:F6"/>
    <mergeCell ref="H6:H7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73" fitToHeight="2" orientation="portrait" horizontalDpi="7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3"/>
  <sheetViews>
    <sheetView view="pageBreakPreview" zoomScale="75" zoomScaleNormal="85" workbookViewId="0">
      <pane ySplit="7" topLeftCell="A8" activePane="bottomLeft" state="frozen"/>
      <selection pane="bottomLeft" activeCell="A14" sqref="A14:IV39"/>
    </sheetView>
  </sheetViews>
  <sheetFormatPr defaultRowHeight="12.75"/>
  <cols>
    <col min="1" max="1" width="4.7109375" customWidth="1"/>
    <col min="2" max="2" width="5.7109375" style="3" customWidth="1"/>
    <col min="3" max="4" width="23.7109375" customWidth="1"/>
    <col min="5" max="5" width="16.7109375" style="3" customWidth="1"/>
    <col min="6" max="6" width="19.7109375" style="3" customWidth="1"/>
    <col min="7" max="7" width="17.7109375" style="3" customWidth="1"/>
    <col min="8" max="8" width="17.7109375" customWidth="1"/>
    <col min="9" max="9" width="9.7109375" style="1" customWidth="1"/>
    <col min="10" max="28" width="9.140625" style="1" customWidth="1"/>
  </cols>
  <sheetData>
    <row r="1" spans="1:28" ht="6.6" hidden="1" customHeight="1"/>
    <row r="2" spans="1:28" ht="25.9" customHeight="1">
      <c r="A2" s="216" t="s">
        <v>86</v>
      </c>
      <c r="B2" s="216"/>
      <c r="C2" s="216"/>
      <c r="D2" s="216"/>
      <c r="E2" s="216"/>
      <c r="F2" s="216"/>
      <c r="G2" s="216"/>
      <c r="H2" s="216"/>
    </row>
    <row r="3" spans="1:28" ht="3" hidden="1" customHeight="1"/>
    <row r="4" spans="1:28" ht="19.899999999999999" customHeight="1">
      <c r="A4" s="216" t="s">
        <v>41</v>
      </c>
      <c r="B4" s="216"/>
      <c r="C4" s="216"/>
      <c r="D4" s="216"/>
      <c r="E4" s="216"/>
      <c r="F4" s="216"/>
      <c r="G4" s="216"/>
      <c r="H4" s="216"/>
    </row>
    <row r="5" spans="1:28" ht="6.6" hidden="1" customHeight="1">
      <c r="E5" s="94"/>
      <c r="F5" s="94"/>
      <c r="G5" s="94"/>
      <c r="H5" s="2"/>
    </row>
    <row r="6" spans="1:28" s="1" customFormat="1" ht="18.600000000000001" customHeight="1">
      <c r="A6" s="48"/>
      <c r="B6" s="49"/>
      <c r="C6" s="51" t="s">
        <v>40</v>
      </c>
      <c r="D6" s="52">
        <v>0.41666666666666669</v>
      </c>
      <c r="E6" s="49"/>
      <c r="F6" s="49"/>
      <c r="G6" s="49"/>
      <c r="H6" s="49"/>
    </row>
    <row r="7" spans="1:28" ht="54.6" customHeight="1">
      <c r="A7" s="50" t="s">
        <v>6</v>
      </c>
      <c r="B7" s="50" t="s">
        <v>35</v>
      </c>
      <c r="C7" s="50" t="s">
        <v>1</v>
      </c>
      <c r="D7" s="50" t="s">
        <v>2</v>
      </c>
      <c r="E7" s="50" t="s">
        <v>5</v>
      </c>
      <c r="F7" s="50" t="s">
        <v>4</v>
      </c>
      <c r="G7" s="50" t="s">
        <v>0</v>
      </c>
      <c r="H7" s="50" t="s">
        <v>42</v>
      </c>
    </row>
    <row r="8" spans="1:28" s="93" customFormat="1" ht="18" customHeight="1">
      <c r="A8" s="88">
        <v>1</v>
      </c>
      <c r="B8" s="89">
        <f>'Уч-ки'!B8</f>
        <v>1</v>
      </c>
      <c r="C8" s="90" t="str">
        <f>VLOOKUP(B8,'Уч-ки'!$B$8:$H$39,2,FALSE)</f>
        <v>ЛЕБЕДЬКО Дмитрий</v>
      </c>
      <c r="D8" s="90" t="str">
        <f>VLOOKUP(B8,'Уч-ки'!$B$8:$H$39,4,FALSE)</f>
        <v>ЛЕБЕДЬКО Виктория</v>
      </c>
      <c r="E8" s="89" t="str">
        <f>VLOOKUP(B8,'Уч-ки'!$B$8:$H$39,6,FALSE)</f>
        <v>Лада Калина</v>
      </c>
      <c r="F8" s="89" t="str">
        <f>VLOOKUP(B8,'Уч-ки'!$B$8:$H$39,7,FALSE)</f>
        <v>Абс</v>
      </c>
      <c r="G8" s="89" t="str">
        <f>VLOOKUP(B8,'Уч-ки'!$B$8:$H$39,3,FALSE)</f>
        <v>С-Петербург</v>
      </c>
      <c r="H8" s="91">
        <v>0.41736111111111113</v>
      </c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</row>
    <row r="9" spans="1:28" s="87" customFormat="1" ht="18" customHeight="1">
      <c r="A9" s="88">
        <f>1+A8</f>
        <v>2</v>
      </c>
      <c r="B9" s="89">
        <f>'Уч-ки'!B9</f>
        <v>2</v>
      </c>
      <c r="C9" s="90" t="str">
        <f>VLOOKUP(B9,'Уч-ки'!$B$8:$H$39,2,FALSE)</f>
        <v>ПЕТРОВ Георгий</v>
      </c>
      <c r="D9" s="90" t="str">
        <f>VLOOKUP(B9,'Уч-ки'!$B$8:$H$39,4,FALSE)</f>
        <v>ПРОКОФЬЕВА Ольга</v>
      </c>
      <c r="E9" s="89" t="str">
        <f>VLOOKUP(B9,'Уч-ки'!$B$8:$H$39,6,FALSE)</f>
        <v>Мазда</v>
      </c>
      <c r="F9" s="89" t="str">
        <f>VLOOKUP(B9,'Уч-ки'!$B$8:$H$39,7,FALSE)</f>
        <v>Абс</v>
      </c>
      <c r="G9" s="89" t="str">
        <f>VLOOKUP(B9,'Уч-ки'!$B$8:$H$39,3,FALSE)</f>
        <v>С-Петербург</v>
      </c>
      <c r="H9" s="91">
        <f>H8+TIME(,2,)</f>
        <v>0.41875000000000001</v>
      </c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</row>
    <row r="10" spans="1:28" s="93" customFormat="1" ht="18" customHeight="1">
      <c r="A10" s="88">
        <f t="shared" ref="A10:A36" si="0">1+A9</f>
        <v>3</v>
      </c>
      <c r="B10" s="89">
        <f>'Уч-ки'!B10</f>
        <v>3</v>
      </c>
      <c r="C10" s="90" t="str">
        <f>VLOOKUP(B10,'Уч-ки'!$B$8:$H$39,2,FALSE)</f>
        <v>ЮРАХНО Евгений</v>
      </c>
      <c r="D10" s="90" t="str">
        <f>VLOOKUP(B10,'Уч-ки'!$B$8:$H$39,4,FALSE)</f>
        <v>ЮРАХНО Анна</v>
      </c>
      <c r="E10" s="89" t="str">
        <f>VLOOKUP(B10,'Уч-ки'!$B$8:$H$39,6,FALSE)</f>
        <v>Мазда</v>
      </c>
      <c r="F10" s="89" t="str">
        <f>VLOOKUP(B10,'Уч-ки'!$B$8:$H$39,7,FALSE)</f>
        <v>Абс</v>
      </c>
      <c r="G10" s="89" t="str">
        <f>VLOOKUP(B10,'Уч-ки'!$B$8:$H$39,3,FALSE)</f>
        <v>С-Петербург</v>
      </c>
      <c r="H10" s="91">
        <f t="shared" ref="H10:H39" si="1">H9+TIME(,2,)</f>
        <v>0.4201388888888889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</row>
    <row r="11" spans="1:28" s="87" customFormat="1" ht="18" customHeight="1">
      <c r="A11" s="88">
        <f t="shared" si="0"/>
        <v>4</v>
      </c>
      <c r="B11" s="89">
        <f>'Уч-ки'!B11</f>
        <v>4</v>
      </c>
      <c r="C11" s="90" t="str">
        <f>VLOOKUP(B11,'Уч-ки'!$B$8:$H$39,2,FALSE)</f>
        <v>КОРОЛЕВА Любовь</v>
      </c>
      <c r="D11" s="90" t="str">
        <f>VLOOKUP(B11,'Уч-ки'!$B$8:$H$39,4,FALSE)</f>
        <v>КОРОЛЕВА Ксения</v>
      </c>
      <c r="E11" s="89" t="str">
        <f>VLOOKUP(B11,'Уч-ки'!$B$8:$H$39,6,FALSE)</f>
        <v>Рено Дастер</v>
      </c>
      <c r="F11" s="89" t="str">
        <f>VLOOKUP(B11,'Уч-ки'!$B$8:$H$39,7,FALSE)</f>
        <v>Абс, Новичок</v>
      </c>
      <c r="G11" s="89" t="str">
        <f>VLOOKUP(B11,'Уч-ки'!$B$8:$H$39,3,FALSE)</f>
        <v>ЛО, Тосно</v>
      </c>
      <c r="H11" s="91">
        <f t="shared" si="1"/>
        <v>0.42152777777777778</v>
      </c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</row>
    <row r="12" spans="1:28" s="93" customFormat="1" ht="18" customHeight="1">
      <c r="A12" s="88">
        <f t="shared" si="0"/>
        <v>5</v>
      </c>
      <c r="B12" s="89">
        <f>'Уч-ки'!B12</f>
        <v>5</v>
      </c>
      <c r="C12" s="90" t="str">
        <f>VLOOKUP(B12,'Уч-ки'!$B$8:$H$39,2,FALSE)</f>
        <v>ХАПОНЕН Татьяна</v>
      </c>
      <c r="D12" s="90" t="str">
        <f>VLOOKUP(B12,'Уч-ки'!$B$8:$H$39,4,FALSE)</f>
        <v>КОМАРОВА Светлана</v>
      </c>
      <c r="E12" s="89" t="str">
        <f>VLOOKUP(B12,'Уч-ки'!$B$8:$H$39,6,FALSE)</f>
        <v>Рено</v>
      </c>
      <c r="F12" s="89" t="str">
        <f>VLOOKUP(B12,'Уч-ки'!$B$8:$H$39,7,FALSE)</f>
        <v>Абс, Новичок</v>
      </c>
      <c r="G12" s="89" t="str">
        <f>VLOOKUP(B12,'Уч-ки'!$B$8:$H$39,3,FALSE)</f>
        <v>С-Петербург</v>
      </c>
      <c r="H12" s="91">
        <f t="shared" si="1"/>
        <v>0.42291666666666666</v>
      </c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</row>
    <row r="13" spans="1:28" s="87" customFormat="1" ht="18" customHeight="1">
      <c r="A13" s="88">
        <f t="shared" si="0"/>
        <v>6</v>
      </c>
      <c r="B13" s="89">
        <f>'Уч-ки'!B13</f>
        <v>13</v>
      </c>
      <c r="C13" s="90" t="str">
        <f>VLOOKUP(B13,'Уч-ки'!$B$8:$H$39,2,FALSE)</f>
        <v>ВИТВИЦКИЙ Денис</v>
      </c>
      <c r="D13" s="90" t="str">
        <f>VLOOKUP(B13,'Уч-ки'!$B$8:$H$39,4,FALSE)</f>
        <v>ВИТВИЦКИЙ Егор</v>
      </c>
      <c r="E13" s="89" t="str">
        <f>VLOOKUP(B13,'Уч-ки'!$B$8:$H$39,6,FALSE)</f>
        <v>VW</v>
      </c>
      <c r="F13" s="89" t="str">
        <f>VLOOKUP(B13,'Уч-ки'!$B$8:$H$39,7,FALSE)</f>
        <v>Абс, Новичок</v>
      </c>
      <c r="G13" s="89" t="str">
        <f>VLOOKUP(B13,'Уч-ки'!$B$8:$H$39,3,FALSE)</f>
        <v>С-Петербург</v>
      </c>
      <c r="H13" s="91">
        <f t="shared" si="1"/>
        <v>0.42430555555555555</v>
      </c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</row>
    <row r="14" spans="1:28" s="93" customFormat="1" ht="18" hidden="1" customHeight="1">
      <c r="A14" s="88">
        <f t="shared" si="0"/>
        <v>7</v>
      </c>
      <c r="B14" s="89">
        <f>'Уч-ки'!B14</f>
        <v>0</v>
      </c>
      <c r="C14" s="90" t="str">
        <f>VLOOKUP(B14,'Уч-ки'!$B$8:$H$39,2,FALSE)</f>
        <v xml:space="preserve"> </v>
      </c>
      <c r="D14" s="90" t="str">
        <f>VLOOKUP(B14,'Уч-ки'!$B$8:$H$39,4,FALSE)</f>
        <v xml:space="preserve"> </v>
      </c>
      <c r="E14" s="89">
        <f>VLOOKUP(B14,'Уч-ки'!$B$8:$H$39,6,FALSE)</f>
        <v>0</v>
      </c>
      <c r="F14" s="89">
        <f>VLOOKUP(B14,'Уч-ки'!$B$8:$H$39,7,FALSE)</f>
        <v>0</v>
      </c>
      <c r="G14" s="89">
        <f>VLOOKUP(B14,'Уч-ки'!$B$8:$H$39,3,FALSE)</f>
        <v>0</v>
      </c>
      <c r="H14" s="91">
        <f t="shared" si="1"/>
        <v>0.42569444444444443</v>
      </c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</row>
    <row r="15" spans="1:28" s="87" customFormat="1" ht="18" hidden="1" customHeight="1">
      <c r="A15" s="88">
        <f t="shared" si="0"/>
        <v>8</v>
      </c>
      <c r="B15" s="89">
        <f>'Уч-ки'!B15</f>
        <v>0</v>
      </c>
      <c r="C15" s="90" t="str">
        <f>VLOOKUP(B15,'Уч-ки'!$B$8:$H$39,2,FALSE)</f>
        <v xml:space="preserve"> </v>
      </c>
      <c r="D15" s="90" t="str">
        <f>VLOOKUP(B15,'Уч-ки'!$B$8:$H$39,4,FALSE)</f>
        <v xml:space="preserve"> </v>
      </c>
      <c r="E15" s="89">
        <f>VLOOKUP(B15,'Уч-ки'!$B$8:$H$39,6,FALSE)</f>
        <v>0</v>
      </c>
      <c r="F15" s="89">
        <f>VLOOKUP(B15,'Уч-ки'!$B$8:$H$39,7,FALSE)</f>
        <v>0</v>
      </c>
      <c r="G15" s="89">
        <f>VLOOKUP(B15,'Уч-ки'!$B$8:$H$39,3,FALSE)</f>
        <v>0</v>
      </c>
      <c r="H15" s="91">
        <f t="shared" si="1"/>
        <v>0.42708333333333331</v>
      </c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</row>
    <row r="16" spans="1:28" s="93" customFormat="1" ht="18" hidden="1" customHeight="1">
      <c r="A16" s="88">
        <f t="shared" si="0"/>
        <v>9</v>
      </c>
      <c r="B16" s="89">
        <f>'Уч-ки'!B16</f>
        <v>0</v>
      </c>
      <c r="C16" s="90" t="str">
        <f>VLOOKUP(B16,'Уч-ки'!$B$8:$H$39,2,FALSE)</f>
        <v xml:space="preserve"> </v>
      </c>
      <c r="D16" s="90" t="str">
        <f>VLOOKUP(B16,'Уч-ки'!$B$8:$H$39,4,FALSE)</f>
        <v xml:space="preserve"> </v>
      </c>
      <c r="E16" s="89">
        <f>VLOOKUP(B16,'Уч-ки'!$B$8:$H$39,6,FALSE)</f>
        <v>0</v>
      </c>
      <c r="F16" s="89">
        <f>VLOOKUP(B16,'Уч-ки'!$B$8:$H$39,7,FALSE)</f>
        <v>0</v>
      </c>
      <c r="G16" s="89">
        <f>VLOOKUP(B16,'Уч-ки'!$B$8:$H$39,3,FALSE)</f>
        <v>0</v>
      </c>
      <c r="H16" s="91">
        <f t="shared" si="1"/>
        <v>0.4284722222222222</v>
      </c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</row>
    <row r="17" spans="1:28" s="87" customFormat="1" ht="18" hidden="1" customHeight="1">
      <c r="A17" s="88">
        <f t="shared" si="0"/>
        <v>10</v>
      </c>
      <c r="B17" s="89">
        <f>'Уч-ки'!B17</f>
        <v>0</v>
      </c>
      <c r="C17" s="90" t="str">
        <f>VLOOKUP(B17,'Уч-ки'!$B$8:$H$39,2,FALSE)</f>
        <v xml:space="preserve"> </v>
      </c>
      <c r="D17" s="90" t="str">
        <f>VLOOKUP(B17,'Уч-ки'!$B$8:$H$39,4,FALSE)</f>
        <v xml:space="preserve"> </v>
      </c>
      <c r="E17" s="89">
        <f>VLOOKUP(B17,'Уч-ки'!$B$8:$H$39,6,FALSE)</f>
        <v>0</v>
      </c>
      <c r="F17" s="89">
        <f>VLOOKUP(B17,'Уч-ки'!$B$8:$H$39,7,FALSE)</f>
        <v>0</v>
      </c>
      <c r="G17" s="89">
        <f>VLOOKUP(B17,'Уч-ки'!$B$8:$H$39,3,FALSE)</f>
        <v>0</v>
      </c>
      <c r="H17" s="91">
        <f t="shared" si="1"/>
        <v>0.42986111111111108</v>
      </c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</row>
    <row r="18" spans="1:28" s="93" customFormat="1" ht="18" hidden="1" customHeight="1">
      <c r="A18" s="88">
        <f t="shared" si="0"/>
        <v>11</v>
      </c>
      <c r="B18" s="89">
        <f>'Уч-ки'!B18</f>
        <v>0</v>
      </c>
      <c r="C18" s="90" t="str">
        <f>VLOOKUP(B18,'Уч-ки'!$B$8:$H$39,2,FALSE)</f>
        <v xml:space="preserve"> </v>
      </c>
      <c r="D18" s="90" t="str">
        <f>VLOOKUP(B18,'Уч-ки'!$B$8:$H$39,4,FALSE)</f>
        <v xml:space="preserve"> </v>
      </c>
      <c r="E18" s="89">
        <f>VLOOKUP(B18,'Уч-ки'!$B$8:$H$39,6,FALSE)</f>
        <v>0</v>
      </c>
      <c r="F18" s="89">
        <f>VLOOKUP(B18,'Уч-ки'!$B$8:$H$39,7,FALSE)</f>
        <v>0</v>
      </c>
      <c r="G18" s="89">
        <f>VLOOKUP(B18,'Уч-ки'!$B$8:$H$39,3,FALSE)</f>
        <v>0</v>
      </c>
      <c r="H18" s="91">
        <f t="shared" si="1"/>
        <v>0.43124999999999997</v>
      </c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</row>
    <row r="19" spans="1:28" s="87" customFormat="1" ht="18" hidden="1" customHeight="1">
      <c r="A19" s="88">
        <f t="shared" si="0"/>
        <v>12</v>
      </c>
      <c r="B19" s="89">
        <f>'Уч-ки'!B19</f>
        <v>0</v>
      </c>
      <c r="C19" s="90" t="str">
        <f>VLOOKUP(B19,'Уч-ки'!$B$8:$H$39,2,FALSE)</f>
        <v xml:space="preserve"> </v>
      </c>
      <c r="D19" s="90" t="str">
        <f>VLOOKUP(B19,'Уч-ки'!$B$8:$H$39,4,FALSE)</f>
        <v xml:space="preserve"> </v>
      </c>
      <c r="E19" s="89">
        <f>VLOOKUP(B19,'Уч-ки'!$B$8:$H$39,6,FALSE)</f>
        <v>0</v>
      </c>
      <c r="F19" s="89">
        <f>VLOOKUP(B19,'Уч-ки'!$B$8:$H$39,7,FALSE)</f>
        <v>0</v>
      </c>
      <c r="G19" s="89">
        <f>VLOOKUP(B19,'Уч-ки'!$B$8:$H$39,3,FALSE)</f>
        <v>0</v>
      </c>
      <c r="H19" s="91">
        <f t="shared" si="1"/>
        <v>0.43263888888888885</v>
      </c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</row>
    <row r="20" spans="1:28" s="87" customFormat="1" ht="18" hidden="1" customHeight="1">
      <c r="A20" s="88">
        <f t="shared" si="0"/>
        <v>13</v>
      </c>
      <c r="B20" s="89">
        <f>'Уч-ки'!B20</f>
        <v>0</v>
      </c>
      <c r="C20" s="90" t="str">
        <f>VLOOKUP(B20,'Уч-ки'!$B$8:$H$39,2,FALSE)</f>
        <v xml:space="preserve"> </v>
      </c>
      <c r="D20" s="90" t="str">
        <f>VLOOKUP(B20,'Уч-ки'!$B$8:$H$39,4,FALSE)</f>
        <v xml:space="preserve"> </v>
      </c>
      <c r="E20" s="89">
        <f>VLOOKUP(B20,'Уч-ки'!$B$8:$H$39,6,FALSE)</f>
        <v>0</v>
      </c>
      <c r="F20" s="89">
        <f>VLOOKUP(B20,'Уч-ки'!$B$8:$H$39,7,FALSE)</f>
        <v>0</v>
      </c>
      <c r="G20" s="89">
        <f>VLOOKUP(B20,'Уч-ки'!$B$8:$H$39,3,FALSE)</f>
        <v>0</v>
      </c>
      <c r="H20" s="91">
        <f t="shared" si="1"/>
        <v>0.43402777777777773</v>
      </c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</row>
    <row r="21" spans="1:28" s="93" customFormat="1" ht="18" hidden="1" customHeight="1">
      <c r="A21" s="88">
        <f t="shared" si="0"/>
        <v>14</v>
      </c>
      <c r="B21" s="89">
        <f>'Уч-ки'!B21</f>
        <v>0</v>
      </c>
      <c r="C21" s="90" t="str">
        <f>VLOOKUP(B21,'Уч-ки'!$B$8:$H$39,2,FALSE)</f>
        <v xml:space="preserve"> </v>
      </c>
      <c r="D21" s="90" t="str">
        <f>VLOOKUP(B21,'Уч-ки'!$B$8:$H$39,4,FALSE)</f>
        <v xml:space="preserve"> </v>
      </c>
      <c r="E21" s="89">
        <f>VLOOKUP(B21,'Уч-ки'!$B$8:$H$39,6,FALSE)</f>
        <v>0</v>
      </c>
      <c r="F21" s="89">
        <f>VLOOKUP(B21,'Уч-ки'!$B$8:$H$39,7,FALSE)</f>
        <v>0</v>
      </c>
      <c r="G21" s="89">
        <f>VLOOKUP(B21,'Уч-ки'!$B$8:$H$39,3,FALSE)</f>
        <v>0</v>
      </c>
      <c r="H21" s="91">
        <f t="shared" si="1"/>
        <v>0.43541666666666662</v>
      </c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</row>
    <row r="22" spans="1:28" s="87" customFormat="1" ht="18" hidden="1" customHeight="1">
      <c r="A22" s="88">
        <f t="shared" si="0"/>
        <v>15</v>
      </c>
      <c r="B22" s="89">
        <f>'Уч-ки'!B22</f>
        <v>0</v>
      </c>
      <c r="C22" s="90" t="str">
        <f>VLOOKUP(B22,'Уч-ки'!$B$8:$H$39,2,FALSE)</f>
        <v xml:space="preserve"> </v>
      </c>
      <c r="D22" s="90" t="str">
        <f>VLOOKUP(B22,'Уч-ки'!$B$8:$H$39,4,FALSE)</f>
        <v xml:space="preserve"> </v>
      </c>
      <c r="E22" s="89">
        <f>VLOOKUP(B22,'Уч-ки'!$B$8:$H$39,6,FALSE)</f>
        <v>0</v>
      </c>
      <c r="F22" s="89">
        <f>VLOOKUP(B22,'Уч-ки'!$B$8:$H$39,7,FALSE)</f>
        <v>0</v>
      </c>
      <c r="G22" s="89">
        <f>VLOOKUP(B22,'Уч-ки'!$B$8:$H$39,3,FALSE)</f>
        <v>0</v>
      </c>
      <c r="H22" s="91">
        <f t="shared" si="1"/>
        <v>0.4368055555555555</v>
      </c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</row>
    <row r="23" spans="1:28" s="93" customFormat="1" ht="18" hidden="1" customHeight="1">
      <c r="A23" s="88">
        <f t="shared" si="0"/>
        <v>16</v>
      </c>
      <c r="B23" s="89">
        <f>'Уч-ки'!B23</f>
        <v>0</v>
      </c>
      <c r="C23" s="90" t="str">
        <f>VLOOKUP(B23,'Уч-ки'!$B$8:$H$39,2,FALSE)</f>
        <v xml:space="preserve"> </v>
      </c>
      <c r="D23" s="90" t="str">
        <f>VLOOKUP(B23,'Уч-ки'!$B$8:$H$39,4,FALSE)</f>
        <v xml:space="preserve"> </v>
      </c>
      <c r="E23" s="89">
        <f>VLOOKUP(B23,'Уч-ки'!$B$8:$H$39,6,FALSE)</f>
        <v>0</v>
      </c>
      <c r="F23" s="89">
        <f>VLOOKUP(B23,'Уч-ки'!$B$8:$H$39,7,FALSE)</f>
        <v>0</v>
      </c>
      <c r="G23" s="89">
        <f>VLOOKUP(B23,'Уч-ки'!$B$8:$H$39,3,FALSE)</f>
        <v>0</v>
      </c>
      <c r="H23" s="91">
        <f t="shared" si="1"/>
        <v>0.43819444444444439</v>
      </c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</row>
    <row r="24" spans="1:28" s="87" customFormat="1" ht="18" hidden="1" customHeight="1">
      <c r="A24" s="88">
        <f t="shared" si="0"/>
        <v>17</v>
      </c>
      <c r="B24" s="89">
        <f>'Уч-ки'!B24</f>
        <v>0</v>
      </c>
      <c r="C24" s="90" t="str">
        <f>VLOOKUP(B24,'Уч-ки'!$B$8:$H$39,2,FALSE)</f>
        <v xml:space="preserve"> </v>
      </c>
      <c r="D24" s="90" t="str">
        <f>VLOOKUP(B24,'Уч-ки'!$B$8:$H$39,4,FALSE)</f>
        <v xml:space="preserve"> </v>
      </c>
      <c r="E24" s="89">
        <f>VLOOKUP(B24,'Уч-ки'!$B$8:$H$39,6,FALSE)</f>
        <v>0</v>
      </c>
      <c r="F24" s="89">
        <f>VLOOKUP(B24,'Уч-ки'!$B$8:$H$39,7,FALSE)</f>
        <v>0</v>
      </c>
      <c r="G24" s="89">
        <f>VLOOKUP(B24,'Уч-ки'!$B$8:$H$39,3,FALSE)</f>
        <v>0</v>
      </c>
      <c r="H24" s="91">
        <f t="shared" si="1"/>
        <v>0.43958333333333327</v>
      </c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</row>
    <row r="25" spans="1:28" s="93" customFormat="1" ht="18" hidden="1" customHeight="1">
      <c r="A25" s="88">
        <f t="shared" si="0"/>
        <v>18</v>
      </c>
      <c r="B25" s="89">
        <f>'Уч-ки'!B25</f>
        <v>0</v>
      </c>
      <c r="C25" s="90" t="str">
        <f>VLOOKUP(B25,'Уч-ки'!$B$8:$H$39,2,FALSE)</f>
        <v xml:space="preserve"> </v>
      </c>
      <c r="D25" s="90" t="str">
        <f>VLOOKUP(B25,'Уч-ки'!$B$8:$H$39,4,FALSE)</f>
        <v xml:space="preserve"> </v>
      </c>
      <c r="E25" s="89">
        <f>VLOOKUP(B25,'Уч-ки'!$B$8:$H$39,6,FALSE)</f>
        <v>0</v>
      </c>
      <c r="F25" s="89">
        <f>VLOOKUP(B25,'Уч-ки'!$B$8:$H$39,7,FALSE)</f>
        <v>0</v>
      </c>
      <c r="G25" s="89">
        <f>VLOOKUP(B25,'Уч-ки'!$B$8:$H$39,3,FALSE)</f>
        <v>0</v>
      </c>
      <c r="H25" s="91">
        <f t="shared" si="1"/>
        <v>0.44097222222222215</v>
      </c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</row>
    <row r="26" spans="1:28" s="87" customFormat="1" ht="18" hidden="1" customHeight="1">
      <c r="A26" s="88">
        <f t="shared" si="0"/>
        <v>19</v>
      </c>
      <c r="B26" s="89">
        <f>'Уч-ки'!B26</f>
        <v>0</v>
      </c>
      <c r="C26" s="90" t="str">
        <f>VLOOKUP(B26,'Уч-ки'!$B$8:$H$39,2,FALSE)</f>
        <v xml:space="preserve"> </v>
      </c>
      <c r="D26" s="90" t="str">
        <f>VLOOKUP(B26,'Уч-ки'!$B$8:$H$39,4,FALSE)</f>
        <v xml:space="preserve"> </v>
      </c>
      <c r="E26" s="89">
        <f>VLOOKUP(B26,'Уч-ки'!$B$8:$H$39,6,FALSE)</f>
        <v>0</v>
      </c>
      <c r="F26" s="89">
        <f>VLOOKUP(B26,'Уч-ки'!$B$8:$H$39,7,FALSE)</f>
        <v>0</v>
      </c>
      <c r="G26" s="89">
        <f>VLOOKUP(B26,'Уч-ки'!$B$8:$H$39,3,FALSE)</f>
        <v>0</v>
      </c>
      <c r="H26" s="91">
        <f t="shared" si="1"/>
        <v>0.44236111111111104</v>
      </c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</row>
    <row r="27" spans="1:28" s="93" customFormat="1" ht="18" hidden="1" customHeight="1">
      <c r="A27" s="88">
        <f t="shared" si="0"/>
        <v>20</v>
      </c>
      <c r="B27" s="89">
        <f>'Уч-ки'!B27</f>
        <v>0</v>
      </c>
      <c r="C27" s="90" t="str">
        <f>VLOOKUP(B27,'Уч-ки'!$B$8:$H$39,2,FALSE)</f>
        <v xml:space="preserve"> </v>
      </c>
      <c r="D27" s="90" t="str">
        <f>VLOOKUP(B27,'Уч-ки'!$B$8:$H$39,4,FALSE)</f>
        <v xml:space="preserve"> </v>
      </c>
      <c r="E27" s="89">
        <f>VLOOKUP(B27,'Уч-ки'!$B$8:$H$39,6,FALSE)</f>
        <v>0</v>
      </c>
      <c r="F27" s="89">
        <f>VLOOKUP(B27,'Уч-ки'!$B$8:$H$39,7,FALSE)</f>
        <v>0</v>
      </c>
      <c r="G27" s="89">
        <f>VLOOKUP(B27,'Уч-ки'!$B$8:$H$39,3,FALSE)</f>
        <v>0</v>
      </c>
      <c r="H27" s="91">
        <f t="shared" si="1"/>
        <v>0.44374999999999992</v>
      </c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</row>
    <row r="28" spans="1:28" s="87" customFormat="1" ht="18" hidden="1" customHeight="1">
      <c r="A28" s="88">
        <f t="shared" si="0"/>
        <v>21</v>
      </c>
      <c r="B28" s="89">
        <f>'Уч-ки'!B28</f>
        <v>0</v>
      </c>
      <c r="C28" s="90" t="str">
        <f>VLOOKUP(B28,'Уч-ки'!$B$8:$H$39,2,FALSE)</f>
        <v xml:space="preserve"> </v>
      </c>
      <c r="D28" s="90" t="str">
        <f>VLOOKUP(B28,'Уч-ки'!$B$8:$H$39,4,FALSE)</f>
        <v xml:space="preserve"> </v>
      </c>
      <c r="E28" s="89">
        <f>VLOOKUP(B28,'Уч-ки'!$B$8:$H$39,6,FALSE)</f>
        <v>0</v>
      </c>
      <c r="F28" s="89">
        <f>VLOOKUP(B28,'Уч-ки'!$B$8:$H$39,7,FALSE)</f>
        <v>0</v>
      </c>
      <c r="G28" s="89">
        <f>VLOOKUP(B28,'Уч-ки'!$B$8:$H$39,3,FALSE)</f>
        <v>0</v>
      </c>
      <c r="H28" s="91">
        <v>0.54236111111111118</v>
      </c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</row>
    <row r="29" spans="1:28" s="93" customFormat="1" ht="18" hidden="1" customHeight="1">
      <c r="A29" s="88">
        <f t="shared" si="0"/>
        <v>22</v>
      </c>
      <c r="B29" s="89">
        <f>'Уч-ки'!B29</f>
        <v>0</v>
      </c>
      <c r="C29" s="90" t="str">
        <f>VLOOKUP(B29,'Уч-ки'!$B$8:$H$39,2,FALSE)</f>
        <v xml:space="preserve"> </v>
      </c>
      <c r="D29" s="90" t="str">
        <f>VLOOKUP(B29,'Уч-ки'!$B$8:$H$39,4,FALSE)</f>
        <v xml:space="preserve"> </v>
      </c>
      <c r="E29" s="89">
        <f>VLOOKUP(B29,'Уч-ки'!$B$8:$H$39,6,FALSE)</f>
        <v>0</v>
      </c>
      <c r="F29" s="89">
        <f>VLOOKUP(B29,'Уч-ки'!$B$8:$H$39,7,FALSE)</f>
        <v>0</v>
      </c>
      <c r="G29" s="89">
        <f>VLOOKUP(B29,'Уч-ки'!$B$8:$H$39,3,FALSE)</f>
        <v>0</v>
      </c>
      <c r="H29" s="91">
        <f t="shared" si="1"/>
        <v>0.54375000000000007</v>
      </c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</row>
    <row r="30" spans="1:28" s="87" customFormat="1" ht="18" hidden="1" customHeight="1">
      <c r="A30" s="88">
        <f t="shared" si="0"/>
        <v>23</v>
      </c>
      <c r="B30" s="89">
        <f>'Уч-ки'!B30</f>
        <v>0</v>
      </c>
      <c r="C30" s="90" t="str">
        <f>VLOOKUP(B30,'Уч-ки'!$B$8:$H$39,2,FALSE)</f>
        <v xml:space="preserve"> </v>
      </c>
      <c r="D30" s="90" t="str">
        <f>VLOOKUP(B30,'Уч-ки'!$B$8:$H$39,4,FALSE)</f>
        <v xml:space="preserve"> </v>
      </c>
      <c r="E30" s="89">
        <f>VLOOKUP(B30,'Уч-ки'!$B$8:$H$39,6,FALSE)</f>
        <v>0</v>
      </c>
      <c r="F30" s="89">
        <f>VLOOKUP(B30,'Уч-ки'!$B$8:$H$39,7,FALSE)</f>
        <v>0</v>
      </c>
      <c r="G30" s="89">
        <f>VLOOKUP(B30,'Уч-ки'!$B$8:$H$39,3,FALSE)</f>
        <v>0</v>
      </c>
      <c r="H30" s="91">
        <f t="shared" si="1"/>
        <v>0.54513888888888895</v>
      </c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</row>
    <row r="31" spans="1:28" s="93" customFormat="1" ht="18" hidden="1" customHeight="1">
      <c r="A31" s="88">
        <f t="shared" si="0"/>
        <v>24</v>
      </c>
      <c r="B31" s="89">
        <f>'Уч-ки'!B31</f>
        <v>0</v>
      </c>
      <c r="C31" s="90" t="str">
        <f>VLOOKUP(B31,'Уч-ки'!$B$8:$H$39,2,FALSE)</f>
        <v xml:space="preserve"> </v>
      </c>
      <c r="D31" s="90" t="str">
        <f>VLOOKUP(B31,'Уч-ки'!$B$8:$H$39,4,FALSE)</f>
        <v xml:space="preserve"> </v>
      </c>
      <c r="E31" s="89">
        <f>VLOOKUP(B31,'Уч-ки'!$B$8:$H$39,6,FALSE)</f>
        <v>0</v>
      </c>
      <c r="F31" s="89">
        <f>VLOOKUP(B31,'Уч-ки'!$B$8:$H$39,7,FALSE)</f>
        <v>0</v>
      </c>
      <c r="G31" s="89">
        <f>VLOOKUP(B31,'Уч-ки'!$B$8:$H$39,3,FALSE)</f>
        <v>0</v>
      </c>
      <c r="H31" s="91">
        <f t="shared" si="1"/>
        <v>0.54652777777777783</v>
      </c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 spans="1:28" s="92" customFormat="1" ht="18" hidden="1" customHeight="1">
      <c r="A32" s="88">
        <f t="shared" si="0"/>
        <v>25</v>
      </c>
      <c r="B32" s="89">
        <f>'Уч-ки'!B32</f>
        <v>0</v>
      </c>
      <c r="C32" s="90" t="str">
        <f>VLOOKUP(B32,'Уч-ки'!$B$8:$H$39,2,FALSE)</f>
        <v xml:space="preserve"> </v>
      </c>
      <c r="D32" s="90" t="str">
        <f>VLOOKUP(B32,'Уч-ки'!$B$8:$H$39,4,FALSE)</f>
        <v xml:space="preserve"> </v>
      </c>
      <c r="E32" s="89">
        <f>VLOOKUP(B32,'Уч-ки'!$B$8:$H$39,6,FALSE)</f>
        <v>0</v>
      </c>
      <c r="F32" s="89">
        <f>VLOOKUP(B32,'Уч-ки'!$B$8:$H$39,7,FALSE)</f>
        <v>0</v>
      </c>
      <c r="G32" s="89">
        <f>VLOOKUP(B32,'Уч-ки'!$B$8:$H$39,3,FALSE)</f>
        <v>0</v>
      </c>
      <c r="H32" s="91">
        <f t="shared" si="1"/>
        <v>0.54791666666666672</v>
      </c>
    </row>
    <row r="33" spans="1:28" s="87" customFormat="1" ht="18" hidden="1" customHeight="1">
      <c r="A33" s="88">
        <f t="shared" si="0"/>
        <v>26</v>
      </c>
      <c r="B33" s="89">
        <f>'Уч-ки'!B33</f>
        <v>0</v>
      </c>
      <c r="C33" s="90" t="str">
        <f>VLOOKUP(B33,'Уч-ки'!$B$8:$H$39,2,FALSE)</f>
        <v xml:space="preserve"> </v>
      </c>
      <c r="D33" s="90" t="str">
        <f>VLOOKUP(B33,'Уч-ки'!$B$8:$H$39,4,FALSE)</f>
        <v xml:space="preserve"> </v>
      </c>
      <c r="E33" s="89">
        <f>VLOOKUP(B33,'Уч-ки'!$B$8:$H$39,6,FALSE)</f>
        <v>0</v>
      </c>
      <c r="F33" s="89">
        <f>VLOOKUP(B33,'Уч-ки'!$B$8:$H$39,7,FALSE)</f>
        <v>0</v>
      </c>
      <c r="G33" s="89">
        <f>VLOOKUP(B33,'Уч-ки'!$B$8:$H$39,3,FALSE)</f>
        <v>0</v>
      </c>
      <c r="H33" s="91">
        <f t="shared" si="1"/>
        <v>0.5493055555555556</v>
      </c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8" s="87" customFormat="1" ht="18" hidden="1" customHeight="1">
      <c r="A34" s="88">
        <f t="shared" si="0"/>
        <v>27</v>
      </c>
      <c r="B34" s="89">
        <f>'Уч-ки'!B34</f>
        <v>0</v>
      </c>
      <c r="C34" s="90" t="str">
        <f>VLOOKUP(B34,'Уч-ки'!$B$8:$H$39,2,FALSE)</f>
        <v xml:space="preserve"> </v>
      </c>
      <c r="D34" s="90" t="str">
        <f>VLOOKUP(B34,'Уч-ки'!$B$8:$H$39,4,FALSE)</f>
        <v xml:space="preserve"> </v>
      </c>
      <c r="E34" s="89">
        <f>VLOOKUP(B34,'Уч-ки'!$B$8:$H$39,6,FALSE)</f>
        <v>0</v>
      </c>
      <c r="F34" s="89">
        <f>VLOOKUP(B34,'Уч-ки'!$B$8:$H$39,7,FALSE)</f>
        <v>0</v>
      </c>
      <c r="G34" s="89">
        <f>VLOOKUP(B34,'Уч-ки'!$B$8:$H$39,3,FALSE)</f>
        <v>0</v>
      </c>
      <c r="H34" s="91">
        <f t="shared" si="1"/>
        <v>0.55069444444444449</v>
      </c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</row>
    <row r="35" spans="1:28" s="87" customFormat="1" ht="18" hidden="1" customHeight="1">
      <c r="A35" s="88">
        <f t="shared" si="0"/>
        <v>28</v>
      </c>
      <c r="B35" s="89">
        <f>'Уч-ки'!B35</f>
        <v>0</v>
      </c>
      <c r="C35" s="90" t="str">
        <f>VLOOKUP(B35,'Уч-ки'!$B$8:$H$39,2,FALSE)</f>
        <v xml:space="preserve"> </v>
      </c>
      <c r="D35" s="90" t="str">
        <f>VLOOKUP(B35,'Уч-ки'!$B$8:$H$39,4,FALSE)</f>
        <v xml:space="preserve"> </v>
      </c>
      <c r="E35" s="89">
        <f>VLOOKUP(B35,'Уч-ки'!$B$8:$H$39,6,FALSE)</f>
        <v>0</v>
      </c>
      <c r="F35" s="89">
        <f>VLOOKUP(B35,'Уч-ки'!$B$8:$H$39,7,FALSE)</f>
        <v>0</v>
      </c>
      <c r="G35" s="89">
        <f>VLOOKUP(B35,'Уч-ки'!$B$8:$H$39,3,FALSE)</f>
        <v>0</v>
      </c>
      <c r="H35" s="91">
        <f t="shared" si="1"/>
        <v>0.55208333333333337</v>
      </c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</row>
    <row r="36" spans="1:28" s="87" customFormat="1" ht="18" hidden="1" customHeight="1">
      <c r="A36" s="88">
        <f t="shared" si="0"/>
        <v>29</v>
      </c>
      <c r="B36" s="89">
        <f>'Уч-ки'!B36</f>
        <v>0</v>
      </c>
      <c r="C36" s="90" t="str">
        <f>VLOOKUP(B36,'Уч-ки'!$B$8:$H$39,2,FALSE)</f>
        <v xml:space="preserve"> </v>
      </c>
      <c r="D36" s="90" t="str">
        <f>VLOOKUP(B36,'Уч-ки'!$B$8:$H$39,4,FALSE)</f>
        <v xml:space="preserve"> </v>
      </c>
      <c r="E36" s="89">
        <f>VLOOKUP(B36,'Уч-ки'!$B$8:$H$39,6,FALSE)</f>
        <v>0</v>
      </c>
      <c r="F36" s="89">
        <f>VLOOKUP(B36,'Уч-ки'!$B$8:$H$39,7,FALSE)</f>
        <v>0</v>
      </c>
      <c r="G36" s="89">
        <f>VLOOKUP(B36,'Уч-ки'!$B$8:$H$39,3,FALSE)</f>
        <v>0</v>
      </c>
      <c r="H36" s="91">
        <f t="shared" si="1"/>
        <v>0.55347222222222225</v>
      </c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</row>
    <row r="37" spans="1:28" s="87" customFormat="1" ht="18" hidden="1" customHeight="1">
      <c r="A37" s="88">
        <f>1+A36</f>
        <v>30</v>
      </c>
      <c r="B37" s="89">
        <f>'Уч-ки'!B37</f>
        <v>0</v>
      </c>
      <c r="C37" s="90" t="str">
        <f>VLOOKUP(B37,'Уч-ки'!$B$8:$H$39,2,FALSE)</f>
        <v xml:space="preserve"> </v>
      </c>
      <c r="D37" s="90" t="str">
        <f>VLOOKUP(B37,'Уч-ки'!$B$8:$H$39,4,FALSE)</f>
        <v xml:space="preserve"> </v>
      </c>
      <c r="E37" s="89">
        <f>VLOOKUP(B37,'Уч-ки'!$B$8:$H$39,6,FALSE)</f>
        <v>0</v>
      </c>
      <c r="F37" s="89">
        <f>VLOOKUP(B37,'Уч-ки'!$B$8:$H$39,7,FALSE)</f>
        <v>0</v>
      </c>
      <c r="G37" s="89">
        <f>VLOOKUP(B37,'Уч-ки'!$B$8:$H$39,3,FALSE)</f>
        <v>0</v>
      </c>
      <c r="H37" s="91">
        <f t="shared" si="1"/>
        <v>0.55486111111111114</v>
      </c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</row>
    <row r="38" spans="1:28" s="87" customFormat="1" ht="18" hidden="1" customHeight="1">
      <c r="A38" s="88">
        <f>1+A37</f>
        <v>31</v>
      </c>
      <c r="B38" s="89">
        <f>'Уч-ки'!B38</f>
        <v>0</v>
      </c>
      <c r="C38" s="90" t="str">
        <f>VLOOKUP(B38,'Уч-ки'!$B$8:$H$39,2,FALSE)</f>
        <v xml:space="preserve"> </v>
      </c>
      <c r="D38" s="90" t="str">
        <f>VLOOKUP(B38,'Уч-ки'!$B$8:$H$39,4,FALSE)</f>
        <v xml:space="preserve"> </v>
      </c>
      <c r="E38" s="89">
        <f>VLOOKUP(B38,'Уч-ки'!$B$8:$H$39,6,FALSE)</f>
        <v>0</v>
      </c>
      <c r="F38" s="89">
        <f>VLOOKUP(B38,'Уч-ки'!$B$8:$H$39,7,FALSE)</f>
        <v>0</v>
      </c>
      <c r="G38" s="89">
        <f>VLOOKUP(B38,'Уч-ки'!$B$8:$H$39,3,FALSE)</f>
        <v>0</v>
      </c>
      <c r="H38" s="91">
        <f t="shared" si="1"/>
        <v>0.55625000000000002</v>
      </c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</row>
    <row r="39" spans="1:28" s="87" customFormat="1" ht="18" hidden="1" customHeight="1">
      <c r="A39" s="88">
        <f>1+A38</f>
        <v>32</v>
      </c>
      <c r="B39" s="89">
        <f>'Уч-ки'!B39</f>
        <v>0</v>
      </c>
      <c r="C39" s="90" t="str">
        <f>VLOOKUP(B39,'Уч-ки'!$B$8:$H$39,2,FALSE)</f>
        <v xml:space="preserve"> </v>
      </c>
      <c r="D39" s="90" t="str">
        <f>VLOOKUP(B39,'Уч-ки'!$B$8:$H$39,4,FALSE)</f>
        <v xml:space="preserve"> </v>
      </c>
      <c r="E39" s="89">
        <f>VLOOKUP(B39,'Уч-ки'!$B$8:$H$39,6,FALSE)</f>
        <v>0</v>
      </c>
      <c r="F39" s="89">
        <f>VLOOKUP(B39,'Уч-ки'!$B$8:$H$39,7,FALSE)</f>
        <v>0</v>
      </c>
      <c r="G39" s="89">
        <f>VLOOKUP(B39,'Уч-ки'!$B$8:$H$39,3,FALSE)</f>
        <v>0</v>
      </c>
      <c r="H39" s="91">
        <f t="shared" si="1"/>
        <v>0.55763888888888891</v>
      </c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</row>
    <row r="41" spans="1:28" ht="18">
      <c r="C41" s="11" t="s">
        <v>87</v>
      </c>
      <c r="D41" s="5"/>
      <c r="E41" s="133"/>
      <c r="F41" s="11" t="s">
        <v>88</v>
      </c>
    </row>
    <row r="42" spans="1:28" ht="18">
      <c r="C42" s="4"/>
      <c r="D42" s="5"/>
      <c r="E42" s="133"/>
      <c r="F42" s="72"/>
    </row>
    <row r="43" spans="1:28" ht="18">
      <c r="C43" s="17" t="s">
        <v>7</v>
      </c>
      <c r="D43" s="5"/>
      <c r="E43" s="133"/>
      <c r="F43" s="72"/>
    </row>
  </sheetData>
  <mergeCells count="2">
    <mergeCell ref="A2:H2"/>
    <mergeCell ref="A4:H4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78" fitToHeight="2" orientation="portrait" horizontalDpi="72" verticalDpi="15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4"/>
  <sheetViews>
    <sheetView view="pageBreakPreview" zoomScale="80" zoomScaleNormal="85" workbookViewId="0">
      <pane ySplit="7" topLeftCell="A8" activePane="bottomLeft" state="frozen"/>
      <selection pane="bottomLeft" activeCell="I41" sqref="I41"/>
    </sheetView>
  </sheetViews>
  <sheetFormatPr defaultRowHeight="12.75"/>
  <cols>
    <col min="1" max="1" width="4.7109375" style="3" customWidth="1"/>
    <col min="2" max="2" width="5.7109375" style="53" customWidth="1"/>
    <col min="3" max="4" width="23.7109375" customWidth="1"/>
    <col min="5" max="5" width="18.7109375" style="3" customWidth="1"/>
    <col min="6" max="6" width="19.7109375" customWidth="1"/>
    <col min="7" max="7" width="18.85546875" style="3" customWidth="1"/>
    <col min="8" max="8" width="9.7109375" style="3" hidden="1" customWidth="1"/>
    <col min="9" max="9" width="9.7109375" style="6" customWidth="1"/>
    <col min="10" max="28" width="9.140625" style="1" customWidth="1"/>
  </cols>
  <sheetData>
    <row r="1" spans="1:28" ht="5.45" hidden="1" customHeight="1"/>
    <row r="2" spans="1:28" ht="25.9" customHeight="1">
      <c r="A2" s="216" t="s">
        <v>86</v>
      </c>
      <c r="B2" s="216"/>
      <c r="C2" s="216"/>
      <c r="D2" s="216"/>
      <c r="E2" s="216"/>
      <c r="F2" s="216"/>
      <c r="G2" s="216"/>
      <c r="H2" s="216"/>
      <c r="I2" s="216"/>
    </row>
    <row r="3" spans="1:28" ht="4.1500000000000004" hidden="1" customHeight="1"/>
    <row r="4" spans="1:28" ht="24.6" customHeight="1">
      <c r="A4" s="216" t="s">
        <v>32</v>
      </c>
      <c r="B4" s="216"/>
      <c r="C4" s="216"/>
      <c r="D4" s="216"/>
      <c r="E4" s="216"/>
      <c r="F4" s="216"/>
      <c r="G4" s="216"/>
      <c r="H4" s="216"/>
      <c r="I4" s="216"/>
    </row>
    <row r="5" spans="1:28" ht="2.4500000000000002" hidden="1" customHeight="1">
      <c r="E5" s="94"/>
      <c r="F5" s="10"/>
      <c r="G5" s="94"/>
      <c r="H5" s="55"/>
    </row>
    <row r="6" spans="1:28" s="1" customFormat="1" ht="3" hidden="1" customHeight="1">
      <c r="A6" s="6"/>
      <c r="B6" s="42"/>
      <c r="C6" s="14"/>
      <c r="D6" s="15"/>
      <c r="E6" s="6"/>
      <c r="G6" s="6"/>
      <c r="H6" s="6"/>
      <c r="I6" s="6"/>
    </row>
    <row r="7" spans="1:28" ht="39.75" customHeight="1">
      <c r="A7" s="50" t="s">
        <v>6</v>
      </c>
      <c r="B7" s="50" t="s">
        <v>35</v>
      </c>
      <c r="C7" s="50" t="s">
        <v>1</v>
      </c>
      <c r="D7" s="50" t="s">
        <v>2</v>
      </c>
      <c r="E7" s="50" t="s">
        <v>5</v>
      </c>
      <c r="F7" s="50" t="s">
        <v>4</v>
      </c>
      <c r="G7" s="50" t="s">
        <v>0</v>
      </c>
      <c r="H7" s="50" t="s">
        <v>43</v>
      </c>
      <c r="I7" s="54" t="s">
        <v>89</v>
      </c>
    </row>
    <row r="8" spans="1:28" s="97" customFormat="1" ht="23.1" customHeight="1">
      <c r="A8" s="89">
        <v>1</v>
      </c>
      <c r="B8" s="89">
        <f>'Уч-ки'!B8</f>
        <v>1</v>
      </c>
      <c r="C8" s="90" t="str">
        <f>VLOOKUP(B8,'Уч-ки'!$B$8:$H$39,2,FALSE)</f>
        <v>ЛЕБЕДЬКО Дмитрий</v>
      </c>
      <c r="D8" s="90" t="str">
        <f>VLOOKUP(B8,'Уч-ки'!$B$8:$H$39,4,FALSE)</f>
        <v>ЛЕБЕДЬКО Виктория</v>
      </c>
      <c r="E8" s="89" t="str">
        <f>VLOOKUP(B8,'Уч-ки'!$B$8:$H$39,6,FALSE)</f>
        <v>Лада Калина</v>
      </c>
      <c r="F8" s="89" t="str">
        <f>VLOOKUP(B8,'Уч-ки'!$B$8:$H$39,7,FALSE)</f>
        <v>Абс</v>
      </c>
      <c r="G8" s="89" t="str">
        <f>VLOOKUP(B8,'Уч-ки'!$B$8:$H$39,3,FALSE)</f>
        <v>С-Петербург</v>
      </c>
      <c r="H8" s="91">
        <f>VLOOKUP(B8,ТИ!$B$8:$H$39,7,FALSE)</f>
        <v>0.41736111111111113</v>
      </c>
      <c r="I8" s="95">
        <v>0.42291666666666666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</row>
    <row r="9" spans="1:28" s="98" customFormat="1" ht="23.1" customHeight="1">
      <c r="A9" s="89">
        <f>1+A8</f>
        <v>2</v>
      </c>
      <c r="B9" s="89">
        <f>'Уч-ки'!B9</f>
        <v>2</v>
      </c>
      <c r="C9" s="90" t="str">
        <f>VLOOKUP(B9,'Уч-ки'!$B$8:$H$39,2,FALSE)</f>
        <v>ПЕТРОВ Георгий</v>
      </c>
      <c r="D9" s="90" t="str">
        <f>VLOOKUP(B9,'Уч-ки'!$B$8:$H$39,4,FALSE)</f>
        <v>ПРОКОФЬЕВА Ольга</v>
      </c>
      <c r="E9" s="89" t="str">
        <f>VLOOKUP(B9,'Уч-ки'!$B$8:$H$39,6,FALSE)</f>
        <v>Мазда</v>
      </c>
      <c r="F9" s="89" t="str">
        <f>VLOOKUP(B9,'Уч-ки'!$B$8:$H$39,7,FALSE)</f>
        <v>Абс</v>
      </c>
      <c r="G9" s="89" t="str">
        <f>VLOOKUP(B9,'Уч-ки'!$B$8:$H$39,3,FALSE)</f>
        <v>С-Петербург</v>
      </c>
      <c r="H9" s="91">
        <f>VLOOKUP(B9,ТИ!$B$8:$H$39,7,FALSE)</f>
        <v>0.41875000000000001</v>
      </c>
      <c r="I9" s="95">
        <v>0.42430555555555555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</row>
    <row r="10" spans="1:28" s="97" customFormat="1" ht="23.1" customHeight="1">
      <c r="A10" s="89">
        <f t="shared" ref="A10:A36" si="0">1+A9</f>
        <v>3</v>
      </c>
      <c r="B10" s="89">
        <f>'Уч-ки'!B10</f>
        <v>3</v>
      </c>
      <c r="C10" s="90" t="str">
        <f>VLOOKUP(B10,'Уч-ки'!$B$8:$H$39,2,FALSE)</f>
        <v>ЮРАХНО Евгений</v>
      </c>
      <c r="D10" s="90" t="str">
        <f>VLOOKUP(B10,'Уч-ки'!$B$8:$H$39,4,FALSE)</f>
        <v>ЮРАХНО Анна</v>
      </c>
      <c r="E10" s="89" t="str">
        <f>VLOOKUP(B10,'Уч-ки'!$B$8:$H$39,6,FALSE)</f>
        <v>Мазда</v>
      </c>
      <c r="F10" s="89" t="str">
        <f>VLOOKUP(B10,'Уч-ки'!$B$8:$H$39,7,FALSE)</f>
        <v>Абс</v>
      </c>
      <c r="G10" s="89" t="str">
        <f>VLOOKUP(B10,'Уч-ки'!$B$8:$H$39,3,FALSE)</f>
        <v>С-Петербург</v>
      </c>
      <c r="H10" s="91">
        <f>VLOOKUP(B10,ТИ!$B$8:$H$39,7,FALSE)</f>
        <v>0.4201388888888889</v>
      </c>
      <c r="I10" s="95">
        <v>0.42569444444444443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</row>
    <row r="11" spans="1:28" s="98" customFormat="1" ht="23.1" customHeight="1">
      <c r="A11" s="89">
        <f t="shared" si="0"/>
        <v>4</v>
      </c>
      <c r="B11" s="89">
        <f>'Уч-ки'!B11</f>
        <v>4</v>
      </c>
      <c r="C11" s="90" t="str">
        <f>VLOOKUP(B11,'Уч-ки'!$B$8:$H$39,2,FALSE)</f>
        <v>КОРОЛЕВА Любовь</v>
      </c>
      <c r="D11" s="90" t="str">
        <f>VLOOKUP(B11,'Уч-ки'!$B$8:$H$39,4,FALSE)</f>
        <v>КОРОЛЕВА Ксения</v>
      </c>
      <c r="E11" s="89" t="str">
        <f>VLOOKUP(B11,'Уч-ки'!$B$8:$H$39,6,FALSE)</f>
        <v>Рено Дастер</v>
      </c>
      <c r="F11" s="89" t="str">
        <f>VLOOKUP(B11,'Уч-ки'!$B$8:$H$39,7,FALSE)</f>
        <v>Абс, Новичок</v>
      </c>
      <c r="G11" s="89" t="str">
        <f>VLOOKUP(B11,'Уч-ки'!$B$8:$H$39,3,FALSE)</f>
        <v>ЛО, Тосно</v>
      </c>
      <c r="H11" s="91">
        <f>VLOOKUP(B11,ТИ!$B$8:$H$39,7,FALSE)</f>
        <v>0.42152777777777778</v>
      </c>
      <c r="I11" s="95">
        <v>0.42708333333333331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</row>
    <row r="12" spans="1:28" s="97" customFormat="1" ht="23.1" customHeight="1">
      <c r="A12" s="89">
        <f t="shared" si="0"/>
        <v>5</v>
      </c>
      <c r="B12" s="89">
        <f>'Уч-ки'!B12</f>
        <v>5</v>
      </c>
      <c r="C12" s="90" t="str">
        <f>VLOOKUP(B12,'Уч-ки'!$B$8:$H$39,2,FALSE)</f>
        <v>ХАПОНЕН Татьяна</v>
      </c>
      <c r="D12" s="90" t="str">
        <f>VLOOKUP(B12,'Уч-ки'!$B$8:$H$39,4,FALSE)</f>
        <v>КОМАРОВА Светлана</v>
      </c>
      <c r="E12" s="89" t="str">
        <f>VLOOKUP(B12,'Уч-ки'!$B$8:$H$39,6,FALSE)</f>
        <v>Рено</v>
      </c>
      <c r="F12" s="89" t="str">
        <f>VLOOKUP(B12,'Уч-ки'!$B$8:$H$39,7,FALSE)</f>
        <v>Абс, Новичок</v>
      </c>
      <c r="G12" s="89" t="str">
        <f>VLOOKUP(B12,'Уч-ки'!$B$8:$H$39,3,FALSE)</f>
        <v>С-Петербург</v>
      </c>
      <c r="H12" s="91">
        <f>VLOOKUP(B12,ТИ!$B$8:$H$39,7,FALSE)</f>
        <v>0.42291666666666666</v>
      </c>
      <c r="I12" s="95">
        <v>0.4284722222222222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</row>
    <row r="13" spans="1:28" s="98" customFormat="1" ht="23.1" customHeight="1">
      <c r="A13" s="89">
        <f t="shared" si="0"/>
        <v>6</v>
      </c>
      <c r="B13" s="89">
        <f>'Уч-ки'!B13</f>
        <v>13</v>
      </c>
      <c r="C13" s="90" t="str">
        <f>VLOOKUP(B13,'Уч-ки'!$B$8:$H$39,2,FALSE)</f>
        <v>ВИТВИЦКИЙ Денис</v>
      </c>
      <c r="D13" s="90" t="str">
        <f>VLOOKUP(B13,'Уч-ки'!$B$8:$H$39,4,FALSE)</f>
        <v>ВИТВИЦКИЙ Егор</v>
      </c>
      <c r="E13" s="89" t="str">
        <f>VLOOKUP(B13,'Уч-ки'!$B$8:$H$39,6,FALSE)</f>
        <v>VW</v>
      </c>
      <c r="F13" s="89" t="str">
        <f>VLOOKUP(B13,'Уч-ки'!$B$8:$H$39,7,FALSE)</f>
        <v>Абс, Новичок</v>
      </c>
      <c r="G13" s="89" t="str">
        <f>VLOOKUP(B13,'Уч-ки'!$B$8:$H$39,3,FALSE)</f>
        <v>С-Петербург</v>
      </c>
      <c r="H13" s="91">
        <f>VLOOKUP(B13,ТИ!$B$8:$H$39,7,FALSE)</f>
        <v>0.42430555555555555</v>
      </c>
      <c r="I13" s="95">
        <v>0.42986111111111108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</row>
    <row r="14" spans="1:28" s="97" customFormat="1" ht="23.1" hidden="1" customHeight="1">
      <c r="A14" s="89">
        <f t="shared" si="0"/>
        <v>7</v>
      </c>
      <c r="B14" s="89">
        <f>'Уч-ки'!B14</f>
        <v>0</v>
      </c>
      <c r="C14" s="90" t="str">
        <f>VLOOKUP(B14,'Уч-ки'!$B$8:$H$39,2,FALSE)</f>
        <v xml:space="preserve"> </v>
      </c>
      <c r="D14" s="90" t="str">
        <f>VLOOKUP(B14,'Уч-ки'!$B$8:$H$39,4,FALSE)</f>
        <v xml:space="preserve"> </v>
      </c>
      <c r="E14" s="89">
        <f>VLOOKUP(B14,'Уч-ки'!$B$8:$H$39,6,FALSE)</f>
        <v>0</v>
      </c>
      <c r="F14" s="89">
        <f>VLOOKUP(B14,'Уч-ки'!$B$8:$H$39,7,FALSE)</f>
        <v>0</v>
      </c>
      <c r="G14" s="89">
        <f>VLOOKUP(B14,'Уч-ки'!$B$8:$H$39,3,FALSE)</f>
        <v>0</v>
      </c>
      <c r="H14" s="91">
        <f>VLOOKUP(B14,ТИ!$B$8:$H$39,7,FALSE)</f>
        <v>0.42569444444444443</v>
      </c>
      <c r="I14" s="95">
        <v>0.49791666666666662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</row>
    <row r="15" spans="1:28" s="98" customFormat="1" ht="23.1" hidden="1" customHeight="1">
      <c r="A15" s="89">
        <f t="shared" si="0"/>
        <v>8</v>
      </c>
      <c r="B15" s="89">
        <f>'Уч-ки'!B15</f>
        <v>0</v>
      </c>
      <c r="C15" s="90" t="str">
        <f>VLOOKUP(B15,'Уч-ки'!$B$8:$H$39,2,FALSE)</f>
        <v xml:space="preserve"> </v>
      </c>
      <c r="D15" s="90" t="str">
        <f>VLOOKUP(B15,'Уч-ки'!$B$8:$H$39,4,FALSE)</f>
        <v xml:space="preserve"> </v>
      </c>
      <c r="E15" s="89">
        <f>VLOOKUP(B15,'Уч-ки'!$B$8:$H$39,6,FALSE)</f>
        <v>0</v>
      </c>
      <c r="F15" s="89">
        <f>VLOOKUP(B15,'Уч-ки'!$B$8:$H$39,7,FALSE)</f>
        <v>0</v>
      </c>
      <c r="G15" s="89">
        <f>VLOOKUP(B15,'Уч-ки'!$B$8:$H$39,3,FALSE)</f>
        <v>0</v>
      </c>
      <c r="H15" s="91">
        <f>VLOOKUP(B15,ТИ!$B$8:$H$39,7,FALSE)</f>
        <v>0.42569444444444443</v>
      </c>
      <c r="I15" s="95">
        <v>0.50208333333333333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</row>
    <row r="16" spans="1:28" s="97" customFormat="1" ht="16.899999999999999" hidden="1" customHeight="1">
      <c r="A16" s="89">
        <f t="shared" si="0"/>
        <v>9</v>
      </c>
      <c r="B16" s="89">
        <f>'Уч-ки'!B16</f>
        <v>0</v>
      </c>
      <c r="C16" s="90" t="str">
        <f>VLOOKUP(B16,'Уч-ки'!$B$8:$H$39,2,FALSE)</f>
        <v xml:space="preserve"> </v>
      </c>
      <c r="D16" s="90" t="str">
        <f>VLOOKUP(B16,'Уч-ки'!$B$8:$H$39,4,FALSE)</f>
        <v xml:space="preserve"> </v>
      </c>
      <c r="E16" s="89">
        <f>VLOOKUP(B16,'Уч-ки'!$B$8:$H$39,6,FALSE)</f>
        <v>0</v>
      </c>
      <c r="F16" s="89">
        <f>VLOOKUP(B16,'Уч-ки'!$B$8:$H$39,7,FALSE)</f>
        <v>0</v>
      </c>
      <c r="G16" s="89">
        <f>VLOOKUP(B16,'Уч-ки'!$B$8:$H$39,3,FALSE)</f>
        <v>0</v>
      </c>
      <c r="H16" s="91">
        <f>VLOOKUP(B16,ТИ!$B$8:$H$39,7,FALSE)</f>
        <v>0.42569444444444443</v>
      </c>
      <c r="I16" s="95">
        <f t="shared" ref="I16:I39" si="1">H16+1/24/60*60</f>
        <v>0.46736111111111112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</row>
    <row r="17" spans="1:28" s="98" customFormat="1" ht="16.899999999999999" hidden="1" customHeight="1">
      <c r="A17" s="89">
        <f t="shared" si="0"/>
        <v>10</v>
      </c>
      <c r="B17" s="89">
        <f>'Уч-ки'!B17</f>
        <v>0</v>
      </c>
      <c r="C17" s="90" t="str">
        <f>VLOOKUP(B17,'Уч-ки'!$B$8:$H$39,2,FALSE)</f>
        <v xml:space="preserve"> </v>
      </c>
      <c r="D17" s="90" t="str">
        <f>VLOOKUP(B17,'Уч-ки'!$B$8:$H$39,4,FALSE)</f>
        <v xml:space="preserve"> </v>
      </c>
      <c r="E17" s="89">
        <f>VLOOKUP(B17,'Уч-ки'!$B$8:$H$39,6,FALSE)</f>
        <v>0</v>
      </c>
      <c r="F17" s="89">
        <f>VLOOKUP(B17,'Уч-ки'!$B$8:$H$39,7,FALSE)</f>
        <v>0</v>
      </c>
      <c r="G17" s="89">
        <f>VLOOKUP(B17,'Уч-ки'!$B$8:$H$39,3,FALSE)</f>
        <v>0</v>
      </c>
      <c r="H17" s="91">
        <f>VLOOKUP(B17,ТИ!$B$8:$H$39,7,FALSE)</f>
        <v>0.42569444444444443</v>
      </c>
      <c r="I17" s="95">
        <f t="shared" si="1"/>
        <v>0.46736111111111112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</row>
    <row r="18" spans="1:28" s="97" customFormat="1" ht="28.5" hidden="1" customHeight="1">
      <c r="A18" s="89">
        <f t="shared" si="0"/>
        <v>11</v>
      </c>
      <c r="B18" s="89">
        <f>'Уч-ки'!B18</f>
        <v>0</v>
      </c>
      <c r="C18" s="90" t="str">
        <f>VLOOKUP(B18,'Уч-ки'!$B$8:$H$39,2,FALSE)</f>
        <v xml:space="preserve"> </v>
      </c>
      <c r="D18" s="90" t="str">
        <f>VLOOKUP(B18,'Уч-ки'!$B$8:$H$39,4,FALSE)</f>
        <v xml:space="preserve"> </v>
      </c>
      <c r="E18" s="89">
        <f>VLOOKUP(B18,'Уч-ки'!$B$8:$H$39,6,FALSE)</f>
        <v>0</v>
      </c>
      <c r="F18" s="89">
        <f>VLOOKUP(B18,'Уч-ки'!$B$8:$H$39,7,FALSE)</f>
        <v>0</v>
      </c>
      <c r="G18" s="89">
        <f>VLOOKUP(B18,'Уч-ки'!$B$8:$H$39,3,FALSE)</f>
        <v>0</v>
      </c>
      <c r="H18" s="91">
        <f>VLOOKUP(B18,ТИ!$B$8:$H$39,7,FALSE)</f>
        <v>0.42569444444444443</v>
      </c>
      <c r="I18" s="95">
        <f t="shared" si="1"/>
        <v>0.46736111111111112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</row>
    <row r="19" spans="1:28" s="98" customFormat="1" ht="16.899999999999999" hidden="1" customHeight="1">
      <c r="A19" s="89">
        <f t="shared" si="0"/>
        <v>12</v>
      </c>
      <c r="B19" s="89">
        <f>'Уч-ки'!B19</f>
        <v>0</v>
      </c>
      <c r="C19" s="90" t="str">
        <f>VLOOKUP(B19,'Уч-ки'!$B$8:$H$39,2,FALSE)</f>
        <v xml:space="preserve"> </v>
      </c>
      <c r="D19" s="90" t="str">
        <f>VLOOKUP(B19,'Уч-ки'!$B$8:$H$39,4,FALSE)</f>
        <v xml:space="preserve"> </v>
      </c>
      <c r="E19" s="89">
        <f>VLOOKUP(B19,'Уч-ки'!$B$8:$H$39,6,FALSE)</f>
        <v>0</v>
      </c>
      <c r="F19" s="89">
        <f>VLOOKUP(B19,'Уч-ки'!$B$8:$H$39,7,FALSE)</f>
        <v>0</v>
      </c>
      <c r="G19" s="89">
        <f>VLOOKUP(B19,'Уч-ки'!$B$8:$H$39,3,FALSE)</f>
        <v>0</v>
      </c>
      <c r="H19" s="91">
        <f>VLOOKUP(B19,ТИ!$B$8:$H$39,7,FALSE)</f>
        <v>0.42569444444444443</v>
      </c>
      <c r="I19" s="95">
        <f t="shared" si="1"/>
        <v>0.46736111111111112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</row>
    <row r="20" spans="1:28" s="98" customFormat="1" ht="16.899999999999999" hidden="1" customHeight="1">
      <c r="A20" s="89">
        <f t="shared" si="0"/>
        <v>13</v>
      </c>
      <c r="B20" s="89">
        <f>'Уч-ки'!B20</f>
        <v>0</v>
      </c>
      <c r="C20" s="90" t="str">
        <f>VLOOKUP(B20,'Уч-ки'!$B$8:$H$39,2,FALSE)</f>
        <v xml:space="preserve"> </v>
      </c>
      <c r="D20" s="90" t="str">
        <f>VLOOKUP(B20,'Уч-ки'!$B$8:$H$39,4,FALSE)</f>
        <v xml:space="preserve"> </v>
      </c>
      <c r="E20" s="89">
        <f>VLOOKUP(B20,'Уч-ки'!$B$8:$H$39,6,FALSE)</f>
        <v>0</v>
      </c>
      <c r="F20" s="89">
        <f>VLOOKUP(B20,'Уч-ки'!$B$8:$H$39,7,FALSE)</f>
        <v>0</v>
      </c>
      <c r="G20" s="89">
        <f>VLOOKUP(B20,'Уч-ки'!$B$8:$H$39,3,FALSE)</f>
        <v>0</v>
      </c>
      <c r="H20" s="91">
        <f>VLOOKUP(B20,ТИ!$B$8:$H$39,7,FALSE)</f>
        <v>0.42569444444444443</v>
      </c>
      <c r="I20" s="95" t="s">
        <v>59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</row>
    <row r="21" spans="1:28" s="97" customFormat="1" ht="27" hidden="1" customHeight="1">
      <c r="A21" s="89">
        <f t="shared" si="0"/>
        <v>14</v>
      </c>
      <c r="B21" s="89">
        <f>'Уч-ки'!B21</f>
        <v>0</v>
      </c>
      <c r="C21" s="90" t="str">
        <f>VLOOKUP(B21,'Уч-ки'!$B$8:$H$39,2,FALSE)</f>
        <v xml:space="preserve"> </v>
      </c>
      <c r="D21" s="90" t="str">
        <f>VLOOKUP(B21,'Уч-ки'!$B$8:$H$39,4,FALSE)</f>
        <v xml:space="preserve"> </v>
      </c>
      <c r="E21" s="89">
        <f>VLOOKUP(B21,'Уч-ки'!$B$8:$H$39,6,FALSE)</f>
        <v>0</v>
      </c>
      <c r="F21" s="89">
        <f>VLOOKUP(B21,'Уч-ки'!$B$8:$H$39,7,FALSE)</f>
        <v>0</v>
      </c>
      <c r="G21" s="89">
        <f>VLOOKUP(B21,'Уч-ки'!$B$8:$H$39,3,FALSE)</f>
        <v>0</v>
      </c>
      <c r="H21" s="91">
        <f>VLOOKUP(B21,ТИ!$B$8:$H$39,7,FALSE)</f>
        <v>0.42569444444444443</v>
      </c>
      <c r="I21" s="95" t="s">
        <v>59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</row>
    <row r="22" spans="1:28" s="98" customFormat="1" ht="16.899999999999999" hidden="1" customHeight="1">
      <c r="A22" s="89">
        <f t="shared" si="0"/>
        <v>15</v>
      </c>
      <c r="B22" s="89">
        <f>'Уч-ки'!B22</f>
        <v>0</v>
      </c>
      <c r="C22" s="90" t="str">
        <f>VLOOKUP(B22,'Уч-ки'!$B$8:$H$39,2,FALSE)</f>
        <v xml:space="preserve"> </v>
      </c>
      <c r="D22" s="90" t="str">
        <f>VLOOKUP(B22,'Уч-ки'!$B$8:$H$39,4,FALSE)</f>
        <v xml:space="preserve"> </v>
      </c>
      <c r="E22" s="89">
        <f>VLOOKUP(B22,'Уч-ки'!$B$8:$H$39,6,FALSE)</f>
        <v>0</v>
      </c>
      <c r="F22" s="89">
        <f>VLOOKUP(B22,'Уч-ки'!$B$8:$H$39,7,FALSE)</f>
        <v>0</v>
      </c>
      <c r="G22" s="89">
        <f>VLOOKUP(B22,'Уч-ки'!$B$8:$H$39,3,FALSE)</f>
        <v>0</v>
      </c>
      <c r="H22" s="91">
        <f>VLOOKUP(B22,ТИ!$B$8:$H$39,7,FALSE)</f>
        <v>0.42569444444444443</v>
      </c>
      <c r="I22" s="95">
        <f t="shared" si="1"/>
        <v>0.46736111111111112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</row>
    <row r="23" spans="1:28" s="97" customFormat="1" ht="16.899999999999999" hidden="1" customHeight="1">
      <c r="A23" s="89">
        <f t="shared" si="0"/>
        <v>16</v>
      </c>
      <c r="B23" s="89">
        <f>'Уч-ки'!B23</f>
        <v>0</v>
      </c>
      <c r="C23" s="90" t="str">
        <f>VLOOKUP(B23,'Уч-ки'!$B$8:$H$39,2,FALSE)</f>
        <v xml:space="preserve"> </v>
      </c>
      <c r="D23" s="90" t="str">
        <f>VLOOKUP(B23,'Уч-ки'!$B$8:$H$39,4,FALSE)</f>
        <v xml:space="preserve"> </v>
      </c>
      <c r="E23" s="89">
        <f>VLOOKUP(B23,'Уч-ки'!$B$8:$H$39,6,FALSE)</f>
        <v>0</v>
      </c>
      <c r="F23" s="89">
        <f>VLOOKUP(B23,'Уч-ки'!$B$8:$H$39,7,FALSE)</f>
        <v>0</v>
      </c>
      <c r="G23" s="89">
        <f>VLOOKUP(B23,'Уч-ки'!$B$8:$H$39,3,FALSE)</f>
        <v>0</v>
      </c>
      <c r="H23" s="91">
        <f>VLOOKUP(B23,ТИ!$B$8:$H$39,7,FALSE)</f>
        <v>0.42569444444444443</v>
      </c>
      <c r="I23" s="95">
        <f t="shared" si="1"/>
        <v>0.46736111111111112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</row>
    <row r="24" spans="1:28" s="98" customFormat="1" ht="16.899999999999999" hidden="1" customHeight="1">
      <c r="A24" s="89">
        <f t="shared" si="0"/>
        <v>17</v>
      </c>
      <c r="B24" s="89">
        <f>'Уч-ки'!B24</f>
        <v>0</v>
      </c>
      <c r="C24" s="90" t="str">
        <f>VLOOKUP(B24,'Уч-ки'!$B$8:$H$39,2,FALSE)</f>
        <v xml:space="preserve"> </v>
      </c>
      <c r="D24" s="90" t="str">
        <f>VLOOKUP(B24,'Уч-ки'!$B$8:$H$39,4,FALSE)</f>
        <v xml:space="preserve"> </v>
      </c>
      <c r="E24" s="89">
        <f>VLOOKUP(B24,'Уч-ки'!$B$8:$H$39,6,FALSE)</f>
        <v>0</v>
      </c>
      <c r="F24" s="89">
        <f>VLOOKUP(B24,'Уч-ки'!$B$8:$H$39,7,FALSE)</f>
        <v>0</v>
      </c>
      <c r="G24" s="89">
        <f>VLOOKUP(B24,'Уч-ки'!$B$8:$H$39,3,FALSE)</f>
        <v>0</v>
      </c>
      <c r="H24" s="91">
        <f>VLOOKUP(B24,ТИ!$B$8:$H$39,7,FALSE)</f>
        <v>0.42569444444444443</v>
      </c>
      <c r="I24" s="95">
        <f t="shared" si="1"/>
        <v>0.46736111111111112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</row>
    <row r="25" spans="1:28" s="97" customFormat="1" ht="25.9" hidden="1" customHeight="1">
      <c r="A25" s="89">
        <f t="shared" si="0"/>
        <v>18</v>
      </c>
      <c r="B25" s="89">
        <f>'Уч-ки'!B25</f>
        <v>0</v>
      </c>
      <c r="C25" s="90" t="str">
        <f>VLOOKUP(B25,'Уч-ки'!$B$8:$H$39,2,FALSE)</f>
        <v xml:space="preserve"> </v>
      </c>
      <c r="D25" s="90" t="str">
        <f>VLOOKUP(B25,'Уч-ки'!$B$8:$H$39,4,FALSE)</f>
        <v xml:space="preserve"> </v>
      </c>
      <c r="E25" s="89">
        <f>VLOOKUP(B25,'Уч-ки'!$B$8:$H$39,6,FALSE)</f>
        <v>0</v>
      </c>
      <c r="F25" s="89">
        <f>VLOOKUP(B25,'Уч-ки'!$B$8:$H$39,7,FALSE)</f>
        <v>0</v>
      </c>
      <c r="G25" s="89">
        <f>VLOOKUP(B25,'Уч-ки'!$B$8:$H$39,3,FALSE)</f>
        <v>0</v>
      </c>
      <c r="H25" s="91">
        <f>VLOOKUP(B25,ТИ!$B$8:$H$39,7,FALSE)</f>
        <v>0.42569444444444443</v>
      </c>
      <c r="I25" s="95">
        <f t="shared" si="1"/>
        <v>0.46736111111111112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</row>
    <row r="26" spans="1:28" s="98" customFormat="1" ht="29.45" hidden="1" customHeight="1">
      <c r="A26" s="89">
        <f t="shared" si="0"/>
        <v>19</v>
      </c>
      <c r="B26" s="89">
        <f>'Уч-ки'!B26</f>
        <v>0</v>
      </c>
      <c r="C26" s="90" t="str">
        <f>VLOOKUP(B26,'Уч-ки'!$B$8:$H$39,2,FALSE)</f>
        <v xml:space="preserve"> </v>
      </c>
      <c r="D26" s="90" t="str">
        <f>VLOOKUP(B26,'Уч-ки'!$B$8:$H$39,4,FALSE)</f>
        <v xml:space="preserve"> </v>
      </c>
      <c r="E26" s="89">
        <f>VLOOKUP(B26,'Уч-ки'!$B$8:$H$39,6,FALSE)</f>
        <v>0</v>
      </c>
      <c r="F26" s="89">
        <f>VLOOKUP(B26,'Уч-ки'!$B$8:$H$39,7,FALSE)</f>
        <v>0</v>
      </c>
      <c r="G26" s="89">
        <f>VLOOKUP(B26,'Уч-ки'!$B$8:$H$39,3,FALSE)</f>
        <v>0</v>
      </c>
      <c r="H26" s="91">
        <f>VLOOKUP(B26,ТИ!$B$8:$H$39,7,FALSE)</f>
        <v>0.42569444444444443</v>
      </c>
      <c r="I26" s="95">
        <f t="shared" si="1"/>
        <v>0.46736111111111112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</row>
    <row r="27" spans="1:28" s="97" customFormat="1" ht="16.899999999999999" hidden="1" customHeight="1">
      <c r="A27" s="89">
        <f t="shared" si="0"/>
        <v>20</v>
      </c>
      <c r="B27" s="89">
        <f>'Уч-ки'!B27</f>
        <v>0</v>
      </c>
      <c r="C27" s="90" t="str">
        <f>VLOOKUP(B27,'Уч-ки'!$B$8:$H$39,2,FALSE)</f>
        <v xml:space="preserve"> </v>
      </c>
      <c r="D27" s="90" t="str">
        <f>VLOOKUP(B27,'Уч-ки'!$B$8:$H$39,4,FALSE)</f>
        <v xml:space="preserve"> </v>
      </c>
      <c r="E27" s="89">
        <f>VLOOKUP(B27,'Уч-ки'!$B$8:$H$39,6,FALSE)</f>
        <v>0</v>
      </c>
      <c r="F27" s="89">
        <f>VLOOKUP(B27,'Уч-ки'!$B$8:$H$39,7,FALSE)</f>
        <v>0</v>
      </c>
      <c r="G27" s="89">
        <f>VLOOKUP(B27,'Уч-ки'!$B$8:$H$39,3,FALSE)</f>
        <v>0</v>
      </c>
      <c r="H27" s="91">
        <f>VLOOKUP(B27,ТИ!$B$8:$H$39,7,FALSE)</f>
        <v>0.42569444444444443</v>
      </c>
      <c r="I27" s="95">
        <f t="shared" si="1"/>
        <v>0.46736111111111112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</row>
    <row r="28" spans="1:28" s="98" customFormat="1" ht="30" hidden="1" customHeight="1">
      <c r="A28" s="89">
        <f t="shared" si="0"/>
        <v>21</v>
      </c>
      <c r="B28" s="89">
        <f>'Уч-ки'!B28</f>
        <v>0</v>
      </c>
      <c r="C28" s="90" t="str">
        <f>VLOOKUP(B28,'Уч-ки'!$B$8:$H$39,2,FALSE)</f>
        <v xml:space="preserve"> </v>
      </c>
      <c r="D28" s="90" t="str">
        <f>VLOOKUP(B28,'Уч-ки'!$B$8:$H$39,4,FALSE)</f>
        <v xml:space="preserve"> </v>
      </c>
      <c r="E28" s="89">
        <f>VLOOKUP(B28,'Уч-ки'!$B$8:$H$39,6,FALSE)</f>
        <v>0</v>
      </c>
      <c r="F28" s="89">
        <f>VLOOKUP(B28,'Уч-ки'!$B$8:$H$39,7,FALSE)</f>
        <v>0</v>
      </c>
      <c r="G28" s="89">
        <f>VLOOKUP(B28,'Уч-ки'!$B$8:$H$39,3,FALSE)</f>
        <v>0</v>
      </c>
      <c r="H28" s="91">
        <f>VLOOKUP(B28,ТИ!$B$8:$H$39,7,FALSE)</f>
        <v>0.42569444444444443</v>
      </c>
      <c r="I28" s="95">
        <f t="shared" si="1"/>
        <v>0.46736111111111112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</row>
    <row r="29" spans="1:28" s="97" customFormat="1" ht="16.899999999999999" hidden="1" customHeight="1">
      <c r="A29" s="89">
        <f t="shared" si="0"/>
        <v>22</v>
      </c>
      <c r="B29" s="89">
        <f>'Уч-ки'!B29</f>
        <v>0</v>
      </c>
      <c r="C29" s="90" t="str">
        <f>VLOOKUP(B29,'Уч-ки'!$B$8:$H$39,2,FALSE)</f>
        <v xml:space="preserve"> </v>
      </c>
      <c r="D29" s="90" t="str">
        <f>VLOOKUP(B29,'Уч-ки'!$B$8:$H$39,4,FALSE)</f>
        <v xml:space="preserve"> </v>
      </c>
      <c r="E29" s="89">
        <f>VLOOKUP(B29,'Уч-ки'!$B$8:$H$39,6,FALSE)</f>
        <v>0</v>
      </c>
      <c r="F29" s="89">
        <f>VLOOKUP(B29,'Уч-ки'!$B$8:$H$39,7,FALSE)</f>
        <v>0</v>
      </c>
      <c r="G29" s="89">
        <f>VLOOKUP(B29,'Уч-ки'!$B$8:$H$39,3,FALSE)</f>
        <v>0</v>
      </c>
      <c r="H29" s="91">
        <f>VLOOKUP(B29,ТИ!$B$8:$H$39,7,FALSE)</f>
        <v>0.42569444444444443</v>
      </c>
      <c r="I29" s="95">
        <f t="shared" si="1"/>
        <v>0.46736111111111112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</row>
    <row r="30" spans="1:28" s="98" customFormat="1" ht="43.5" hidden="1" customHeight="1">
      <c r="A30" s="89">
        <f t="shared" si="0"/>
        <v>23</v>
      </c>
      <c r="B30" s="89">
        <f>'Уч-ки'!B30</f>
        <v>0</v>
      </c>
      <c r="C30" s="90" t="str">
        <f>VLOOKUP(B30,'Уч-ки'!$B$8:$H$39,2,FALSE)</f>
        <v xml:space="preserve"> </v>
      </c>
      <c r="D30" s="90" t="str">
        <f>VLOOKUP(B30,'Уч-ки'!$B$8:$H$39,4,FALSE)</f>
        <v xml:space="preserve"> </v>
      </c>
      <c r="E30" s="89">
        <f>VLOOKUP(B30,'Уч-ки'!$B$8:$H$39,6,FALSE)</f>
        <v>0</v>
      </c>
      <c r="F30" s="89">
        <f>VLOOKUP(B30,'Уч-ки'!$B$8:$H$39,7,FALSE)</f>
        <v>0</v>
      </c>
      <c r="G30" s="89">
        <f>VLOOKUP(B30,'Уч-ки'!$B$8:$H$39,3,FALSE)</f>
        <v>0</v>
      </c>
      <c r="H30" s="91">
        <f>VLOOKUP(B30,ТИ!$B$8:$H$39,7,FALSE)</f>
        <v>0.42569444444444443</v>
      </c>
      <c r="I30" s="95">
        <f t="shared" si="1"/>
        <v>0.46736111111111112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</row>
    <row r="31" spans="1:28" s="97" customFormat="1" ht="24" hidden="1" customHeight="1">
      <c r="A31" s="89">
        <f t="shared" si="0"/>
        <v>24</v>
      </c>
      <c r="B31" s="89">
        <f>'Уч-ки'!B31</f>
        <v>0</v>
      </c>
      <c r="C31" s="90" t="str">
        <f>VLOOKUP(B31,'Уч-ки'!$B$8:$H$39,2,FALSE)</f>
        <v xml:space="preserve"> </v>
      </c>
      <c r="D31" s="90" t="str">
        <f>VLOOKUP(B31,'Уч-ки'!$B$8:$H$39,4,FALSE)</f>
        <v xml:space="preserve"> </v>
      </c>
      <c r="E31" s="89">
        <f>VLOOKUP(B31,'Уч-ки'!$B$8:$H$39,6,FALSE)</f>
        <v>0</v>
      </c>
      <c r="F31" s="89">
        <f>VLOOKUP(B31,'Уч-ки'!$B$8:$H$39,7,FALSE)</f>
        <v>0</v>
      </c>
      <c r="G31" s="89">
        <f>VLOOKUP(B31,'Уч-ки'!$B$8:$H$39,3,FALSE)</f>
        <v>0</v>
      </c>
      <c r="H31" s="91">
        <f>VLOOKUP(B31,ТИ!$B$8:$H$39,7,FALSE)</f>
        <v>0.42569444444444443</v>
      </c>
      <c r="I31" s="95">
        <f t="shared" si="1"/>
        <v>0.46736111111111112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</row>
    <row r="32" spans="1:28" s="96" customFormat="1" ht="16.899999999999999" hidden="1" customHeight="1">
      <c r="A32" s="89">
        <f t="shared" si="0"/>
        <v>25</v>
      </c>
      <c r="B32" s="89">
        <f>'Уч-ки'!B32</f>
        <v>0</v>
      </c>
      <c r="C32" s="90" t="str">
        <f>VLOOKUP(B32,'Уч-ки'!$B$8:$H$39,2,FALSE)</f>
        <v xml:space="preserve"> </v>
      </c>
      <c r="D32" s="90" t="str">
        <f>VLOOKUP(B32,'Уч-ки'!$B$8:$H$39,4,FALSE)</f>
        <v xml:space="preserve"> </v>
      </c>
      <c r="E32" s="89">
        <f>VLOOKUP(B32,'Уч-ки'!$B$8:$H$39,6,FALSE)</f>
        <v>0</v>
      </c>
      <c r="F32" s="89">
        <f>VLOOKUP(B32,'Уч-ки'!$B$8:$H$39,7,FALSE)</f>
        <v>0</v>
      </c>
      <c r="G32" s="89">
        <f>VLOOKUP(B32,'Уч-ки'!$B$8:$H$39,3,FALSE)</f>
        <v>0</v>
      </c>
      <c r="H32" s="91">
        <f>VLOOKUP(B32,ТИ!$B$8:$H$39,7,FALSE)</f>
        <v>0.42569444444444443</v>
      </c>
      <c r="I32" s="95">
        <f t="shared" si="1"/>
        <v>0.46736111111111112</v>
      </c>
    </row>
    <row r="33" spans="1:28" s="98" customFormat="1" ht="16.899999999999999" hidden="1" customHeight="1">
      <c r="A33" s="89">
        <f t="shared" si="0"/>
        <v>26</v>
      </c>
      <c r="B33" s="89">
        <f>'Уч-ки'!B33</f>
        <v>0</v>
      </c>
      <c r="C33" s="90" t="str">
        <f>VLOOKUP(B33,'Уч-ки'!$B$8:$H$39,2,FALSE)</f>
        <v xml:space="preserve"> </v>
      </c>
      <c r="D33" s="90" t="str">
        <f>VLOOKUP(B33,'Уч-ки'!$B$8:$H$39,4,FALSE)</f>
        <v xml:space="preserve"> </v>
      </c>
      <c r="E33" s="89">
        <f>VLOOKUP(B33,'Уч-ки'!$B$8:$H$39,6,FALSE)</f>
        <v>0</v>
      </c>
      <c r="F33" s="89">
        <f>VLOOKUP(B33,'Уч-ки'!$B$8:$H$39,7,FALSE)</f>
        <v>0</v>
      </c>
      <c r="G33" s="89">
        <f>VLOOKUP(B33,'Уч-ки'!$B$8:$H$39,3,FALSE)</f>
        <v>0</v>
      </c>
      <c r="H33" s="91">
        <f>VLOOKUP(B33,ТИ!$B$8:$H$39,7,FALSE)</f>
        <v>0.42569444444444443</v>
      </c>
      <c r="I33" s="95">
        <f t="shared" si="1"/>
        <v>0.46736111111111112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</row>
    <row r="34" spans="1:28" s="98" customFormat="1" ht="16.899999999999999" hidden="1" customHeight="1">
      <c r="A34" s="89">
        <f t="shared" si="0"/>
        <v>27</v>
      </c>
      <c r="B34" s="89">
        <f>'Уч-ки'!B34</f>
        <v>0</v>
      </c>
      <c r="C34" s="90" t="str">
        <f>VLOOKUP(B34,'Уч-ки'!$B$8:$H$39,2,FALSE)</f>
        <v xml:space="preserve"> </v>
      </c>
      <c r="D34" s="90" t="str">
        <f>VLOOKUP(B34,'Уч-ки'!$B$8:$H$39,4,FALSE)</f>
        <v xml:space="preserve"> </v>
      </c>
      <c r="E34" s="89">
        <f>VLOOKUP(B34,'Уч-ки'!$B$8:$H$39,6,FALSE)</f>
        <v>0</v>
      </c>
      <c r="F34" s="89">
        <f>VLOOKUP(B34,'Уч-ки'!$B$8:$H$39,7,FALSE)</f>
        <v>0</v>
      </c>
      <c r="G34" s="89">
        <f>VLOOKUP(B34,'Уч-ки'!$B$8:$H$39,3,FALSE)</f>
        <v>0</v>
      </c>
      <c r="H34" s="91">
        <f>VLOOKUP(B34,ТИ!$B$8:$H$39,7,FALSE)</f>
        <v>0.42569444444444443</v>
      </c>
      <c r="I34" s="95">
        <f t="shared" si="1"/>
        <v>0.46736111111111112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</row>
    <row r="35" spans="1:28" s="98" customFormat="1" ht="26.25" hidden="1" customHeight="1">
      <c r="A35" s="89">
        <f t="shared" si="0"/>
        <v>28</v>
      </c>
      <c r="B35" s="89">
        <f>'Уч-ки'!B35</f>
        <v>0</v>
      </c>
      <c r="C35" s="90" t="str">
        <f>VLOOKUP(B35,'Уч-ки'!$B$8:$H$39,2,FALSE)</f>
        <v xml:space="preserve"> </v>
      </c>
      <c r="D35" s="90" t="str">
        <f>VLOOKUP(B35,'Уч-ки'!$B$8:$H$39,4,FALSE)</f>
        <v xml:space="preserve"> </v>
      </c>
      <c r="E35" s="89">
        <f>VLOOKUP(B35,'Уч-ки'!$B$8:$H$39,6,FALSE)</f>
        <v>0</v>
      </c>
      <c r="F35" s="89">
        <f>VLOOKUP(B35,'Уч-ки'!$B$8:$H$39,7,FALSE)</f>
        <v>0</v>
      </c>
      <c r="G35" s="89">
        <f>VLOOKUP(B35,'Уч-ки'!$B$8:$H$39,3,FALSE)</f>
        <v>0</v>
      </c>
      <c r="H35" s="91">
        <f>VLOOKUP(B35,ТИ!$B$8:$H$39,7,FALSE)</f>
        <v>0.42569444444444443</v>
      </c>
      <c r="I35" s="95">
        <f t="shared" si="1"/>
        <v>0.46736111111111112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</row>
    <row r="36" spans="1:28" s="98" customFormat="1" ht="16.5" hidden="1" customHeight="1">
      <c r="A36" s="89">
        <f t="shared" si="0"/>
        <v>29</v>
      </c>
      <c r="B36" s="89">
        <f>'Уч-ки'!B36</f>
        <v>0</v>
      </c>
      <c r="C36" s="90" t="str">
        <f>VLOOKUP(B36,'Уч-ки'!$B$8:$H$39,2,FALSE)</f>
        <v xml:space="preserve"> </v>
      </c>
      <c r="D36" s="90" t="str">
        <f>VLOOKUP(B36,'Уч-ки'!$B$8:$H$39,4,FALSE)</f>
        <v xml:space="preserve"> </v>
      </c>
      <c r="E36" s="89">
        <f>VLOOKUP(B36,'Уч-ки'!$B$8:$H$39,6,FALSE)</f>
        <v>0</v>
      </c>
      <c r="F36" s="89">
        <f>VLOOKUP(B36,'Уч-ки'!$B$8:$H$39,7,FALSE)</f>
        <v>0</v>
      </c>
      <c r="G36" s="89">
        <f>VLOOKUP(B36,'Уч-ки'!$B$8:$H$39,3,FALSE)</f>
        <v>0</v>
      </c>
      <c r="H36" s="91">
        <f>VLOOKUP(B36,ТИ!$B$8:$H$39,7,FALSE)</f>
        <v>0.42569444444444443</v>
      </c>
      <c r="I36" s="95">
        <f t="shared" si="1"/>
        <v>0.46736111111111112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</row>
    <row r="37" spans="1:28" s="98" customFormat="1" ht="16.899999999999999" hidden="1" customHeight="1">
      <c r="A37" s="89">
        <f>1+A36</f>
        <v>30</v>
      </c>
      <c r="B37" s="89">
        <f>'Уч-ки'!B37</f>
        <v>0</v>
      </c>
      <c r="C37" s="90" t="str">
        <f>VLOOKUP(B37,'Уч-ки'!$B$8:$H$39,2,FALSE)</f>
        <v xml:space="preserve"> </v>
      </c>
      <c r="D37" s="90" t="str">
        <f>VLOOKUP(B37,'Уч-ки'!$B$8:$H$39,4,FALSE)</f>
        <v xml:space="preserve"> </v>
      </c>
      <c r="E37" s="89">
        <f>VLOOKUP(B37,'Уч-ки'!$B$8:$H$39,6,FALSE)</f>
        <v>0</v>
      </c>
      <c r="F37" s="89">
        <f>VLOOKUP(B37,'Уч-ки'!$B$8:$H$39,7,FALSE)</f>
        <v>0</v>
      </c>
      <c r="G37" s="89">
        <f>VLOOKUP(B37,'Уч-ки'!$B$8:$H$39,3,FALSE)</f>
        <v>0</v>
      </c>
      <c r="H37" s="91">
        <f>VLOOKUP(B37,ТИ!$B$8:$H$39,7,FALSE)</f>
        <v>0.42569444444444443</v>
      </c>
      <c r="I37" s="95">
        <f t="shared" si="1"/>
        <v>0.46736111111111112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</row>
    <row r="38" spans="1:28" s="98" customFormat="1" ht="30.6" hidden="1" customHeight="1">
      <c r="A38" s="89">
        <f>1+A37</f>
        <v>31</v>
      </c>
      <c r="B38" s="89">
        <f>'Уч-ки'!B38</f>
        <v>0</v>
      </c>
      <c r="C38" s="90" t="str">
        <f>VLOOKUP(B38,'Уч-ки'!$B$8:$H$39,2,FALSE)</f>
        <v xml:space="preserve"> </v>
      </c>
      <c r="D38" s="90" t="str">
        <f>VLOOKUP(B38,'Уч-ки'!$B$8:$H$39,4,FALSE)</f>
        <v xml:space="preserve"> </v>
      </c>
      <c r="E38" s="89">
        <f>VLOOKUP(B38,'Уч-ки'!$B$8:$H$39,6,FALSE)</f>
        <v>0</v>
      </c>
      <c r="F38" s="89">
        <f>VLOOKUP(B38,'Уч-ки'!$B$8:$H$39,7,FALSE)</f>
        <v>0</v>
      </c>
      <c r="G38" s="89">
        <f>VLOOKUP(B38,'Уч-ки'!$B$8:$H$39,3,FALSE)</f>
        <v>0</v>
      </c>
      <c r="H38" s="91">
        <f>VLOOKUP(B38,ТИ!$B$8:$H$39,7,FALSE)</f>
        <v>0.42569444444444443</v>
      </c>
      <c r="I38" s="95">
        <f t="shared" si="1"/>
        <v>0.46736111111111112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</row>
    <row r="39" spans="1:28" s="98" customFormat="1" ht="26.25" hidden="1" customHeight="1">
      <c r="A39" s="89">
        <f>1+A38</f>
        <v>32</v>
      </c>
      <c r="B39" s="89">
        <f>'Уч-ки'!B39</f>
        <v>0</v>
      </c>
      <c r="C39" s="90" t="str">
        <f>VLOOKUP(B39,'Уч-ки'!$B$8:$H$39,2,FALSE)</f>
        <v xml:space="preserve"> </v>
      </c>
      <c r="D39" s="90" t="str">
        <f>VLOOKUP(B39,'Уч-ки'!$B$8:$H$39,4,FALSE)</f>
        <v xml:space="preserve"> </v>
      </c>
      <c r="E39" s="89">
        <f>VLOOKUP(B39,'Уч-ки'!$B$8:$H$39,6,FALSE)</f>
        <v>0</v>
      </c>
      <c r="F39" s="89">
        <f>VLOOKUP(B39,'Уч-ки'!$B$8:$H$39,7,FALSE)</f>
        <v>0</v>
      </c>
      <c r="G39" s="89">
        <f>VLOOKUP(B39,'Уч-ки'!$B$8:$H$39,3,FALSE)</f>
        <v>0</v>
      </c>
      <c r="H39" s="91">
        <f>VLOOKUP(B39,ТИ!$B$8:$H$39,7,FALSE)</f>
        <v>0.42569444444444443</v>
      </c>
      <c r="I39" s="95">
        <f t="shared" si="1"/>
        <v>0.46736111111111112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</row>
    <row r="40" spans="1:28" s="98" customFormat="1" ht="16.899999999999999" hidden="1" customHeight="1">
      <c r="A40" s="152"/>
      <c r="B40" s="152"/>
      <c r="C40" s="153"/>
      <c r="D40" s="153"/>
      <c r="E40" s="152"/>
      <c r="F40" s="152"/>
      <c r="G40" s="152"/>
      <c r="H40" s="154"/>
      <c r="I40" s="155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</row>
    <row r="41" spans="1:28" ht="6.6" customHeight="1"/>
    <row r="42" spans="1:28" ht="18">
      <c r="C42" s="11" t="s">
        <v>87</v>
      </c>
      <c r="D42" s="5"/>
      <c r="E42" s="133"/>
      <c r="F42" s="11" t="s">
        <v>88</v>
      </c>
    </row>
    <row r="43" spans="1:28" ht="6.6" customHeight="1">
      <c r="C43" s="4"/>
      <c r="D43" s="5"/>
      <c r="E43" s="133"/>
      <c r="F43" s="72"/>
    </row>
    <row r="44" spans="1:28" ht="18">
      <c r="C44" s="17" t="s">
        <v>7</v>
      </c>
      <c r="D44" s="5"/>
      <c r="E44" s="133"/>
      <c r="F44" s="72"/>
    </row>
  </sheetData>
  <mergeCells count="2">
    <mergeCell ref="A2:I2"/>
    <mergeCell ref="A4:I4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81" fitToHeight="2" orientation="portrait" horizontalDpi="150" verticalDpi="15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V48"/>
  <sheetViews>
    <sheetView zoomScale="75" workbookViewId="0">
      <pane xSplit="2" ySplit="7" topLeftCell="V8" activePane="bottomRight" state="frozen"/>
      <selection pane="topRight" activeCell="C1" sqref="C1"/>
      <selection pane="bottomLeft" activeCell="A8" sqref="A8"/>
      <selection pane="bottomRight" activeCell="AW8" sqref="AW8"/>
    </sheetView>
  </sheetViews>
  <sheetFormatPr defaultRowHeight="12.75"/>
  <cols>
    <col min="1" max="1" width="5.42578125" style="16" customWidth="1"/>
    <col min="2" max="2" width="23.7109375" customWidth="1"/>
    <col min="3" max="3" width="6.7109375" customWidth="1"/>
    <col min="4" max="5" width="8.7109375" customWidth="1"/>
    <col min="6" max="6" width="5.7109375" customWidth="1"/>
    <col min="7" max="7" width="6.85546875" customWidth="1"/>
    <col min="8" max="9" width="5.7109375" customWidth="1"/>
    <col min="10" max="10" width="6.7109375" style="18" customWidth="1"/>
    <col min="11" max="11" width="5.7109375" style="18" customWidth="1"/>
    <col min="12" max="12" width="7.7109375" style="18" customWidth="1"/>
    <col min="13" max="13" width="5.7109375" style="18" customWidth="1"/>
    <col min="14" max="14" width="8.28515625" customWidth="1"/>
    <col min="15" max="15" width="5.7109375" customWidth="1"/>
    <col min="16" max="16" width="5.85546875" customWidth="1"/>
    <col min="17" max="18" width="9.85546875" style="18" customWidth="1"/>
    <col min="19" max="19" width="5.7109375" customWidth="1"/>
    <col min="20" max="20" width="6.7109375" customWidth="1"/>
    <col min="21" max="21" width="10.85546875" style="18" customWidth="1"/>
    <col min="22" max="22" width="10.5703125" style="18" customWidth="1"/>
    <col min="23" max="23" width="9.42578125" customWidth="1"/>
    <col min="24" max="24" width="8.28515625" customWidth="1"/>
    <col min="25" max="25" width="5.7109375" customWidth="1"/>
    <col min="26" max="27" width="9.7109375" style="18" customWidth="1"/>
    <col min="28" max="29" width="8.28515625" customWidth="1"/>
    <col min="30" max="30" width="5.7109375" customWidth="1"/>
    <col min="31" max="32" width="9.7109375" style="18" customWidth="1"/>
    <col min="33" max="34" width="8.28515625" customWidth="1"/>
    <col min="35" max="35" width="5.7109375" customWidth="1"/>
    <col min="36" max="36" width="5.85546875" customWidth="1"/>
    <col min="37" max="37" width="6.7109375" customWidth="1"/>
    <col min="38" max="39" width="9.7109375" style="18" customWidth="1"/>
    <col min="40" max="40" width="5.7109375" customWidth="1"/>
    <col min="41" max="41" width="9.7109375" customWidth="1"/>
    <col min="42" max="43" width="5.7109375" customWidth="1"/>
    <col min="44" max="44" width="6.7109375" style="18" customWidth="1"/>
    <col min="45" max="45" width="5.7109375" style="18" customWidth="1"/>
    <col min="46" max="46" width="7.7109375" style="18" customWidth="1"/>
    <col min="47" max="47" width="5.7109375" style="18" customWidth="1"/>
    <col min="48" max="48" width="11.140625" bestFit="1" customWidth="1"/>
  </cols>
  <sheetData>
    <row r="1" spans="1:48" ht="10.9" customHeight="1">
      <c r="A1" s="160">
        <v>1</v>
      </c>
      <c r="B1">
        <f t="shared" ref="B1:M1" si="0">1+A1</f>
        <v>2</v>
      </c>
      <c r="C1">
        <f t="shared" si="0"/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I1">
        <f t="shared" si="0"/>
        <v>9</v>
      </c>
      <c r="J1">
        <f t="shared" si="0"/>
        <v>10</v>
      </c>
      <c r="K1">
        <f t="shared" si="0"/>
        <v>11</v>
      </c>
      <c r="L1">
        <f t="shared" si="0"/>
        <v>12</v>
      </c>
      <c r="M1">
        <f t="shared" si="0"/>
        <v>13</v>
      </c>
      <c r="N1">
        <f t="shared" ref="N1" si="1">1+M1</f>
        <v>14</v>
      </c>
      <c r="O1">
        <f t="shared" ref="O1" si="2">1+N1</f>
        <v>15</v>
      </c>
      <c r="P1">
        <f t="shared" ref="P1" si="3">1+O1</f>
        <v>16</v>
      </c>
      <c r="Q1">
        <f t="shared" ref="Q1" si="4">1+P1</f>
        <v>17</v>
      </c>
      <c r="R1">
        <f t="shared" ref="R1" si="5">1+Q1</f>
        <v>18</v>
      </c>
      <c r="S1">
        <f t="shared" ref="S1" si="6">1+R1</f>
        <v>19</v>
      </c>
      <c r="T1">
        <f t="shared" ref="T1" si="7">1+S1</f>
        <v>20</v>
      </c>
      <c r="U1">
        <f t="shared" ref="U1" si="8">1+T1</f>
        <v>21</v>
      </c>
      <c r="V1">
        <f t="shared" ref="V1" si="9">1+U1</f>
        <v>22</v>
      </c>
      <c r="W1">
        <f t="shared" ref="W1" si="10">1+V1</f>
        <v>23</v>
      </c>
      <c r="X1">
        <f t="shared" ref="X1" si="11">1+W1</f>
        <v>24</v>
      </c>
      <c r="Y1">
        <f t="shared" ref="Y1" si="12">1+X1</f>
        <v>25</v>
      </c>
      <c r="Z1">
        <f t="shared" ref="Z1" si="13">1+Y1</f>
        <v>26</v>
      </c>
      <c r="AA1">
        <f t="shared" ref="AA1" si="14">1+Z1</f>
        <v>27</v>
      </c>
      <c r="AB1">
        <f t="shared" ref="AB1" si="15">1+AA1</f>
        <v>28</v>
      </c>
      <c r="AC1">
        <f t="shared" ref="AC1" si="16">1+AB1</f>
        <v>29</v>
      </c>
      <c r="AD1">
        <f t="shared" ref="AD1" si="17">1+AC1</f>
        <v>30</v>
      </c>
      <c r="AE1">
        <f t="shared" ref="AE1" si="18">1+AD1</f>
        <v>31</v>
      </c>
      <c r="AF1">
        <f t="shared" ref="AF1" si="19">1+AE1</f>
        <v>32</v>
      </c>
      <c r="AG1">
        <f t="shared" ref="AG1" si="20">1+AF1</f>
        <v>33</v>
      </c>
      <c r="AH1">
        <f t="shared" ref="AH1" si="21">1+AG1</f>
        <v>34</v>
      </c>
      <c r="AI1">
        <f t="shared" ref="AI1" si="22">1+AH1</f>
        <v>35</v>
      </c>
      <c r="AJ1">
        <f t="shared" ref="AJ1" si="23">1+AI1</f>
        <v>36</v>
      </c>
      <c r="AK1">
        <f t="shared" ref="AK1" si="24">1+AJ1</f>
        <v>37</v>
      </c>
      <c r="AL1">
        <f t="shared" ref="AL1" si="25">1+AK1</f>
        <v>38</v>
      </c>
      <c r="AM1">
        <f t="shared" ref="AM1" si="26">1+AL1</f>
        <v>39</v>
      </c>
      <c r="AN1">
        <f t="shared" ref="AN1" si="27">1+AM1</f>
        <v>40</v>
      </c>
      <c r="AO1">
        <f t="shared" ref="AO1" si="28">1+AN1</f>
        <v>41</v>
      </c>
      <c r="AP1">
        <f t="shared" ref="AP1" si="29">1+AO1</f>
        <v>42</v>
      </c>
      <c r="AQ1">
        <f t="shared" ref="AQ1" si="30">1+AP1</f>
        <v>43</v>
      </c>
      <c r="AR1">
        <f t="shared" ref="AR1" si="31">1+AQ1</f>
        <v>44</v>
      </c>
      <c r="AS1">
        <f t="shared" ref="AS1" si="32">1+AR1</f>
        <v>45</v>
      </c>
      <c r="AT1">
        <f t="shared" ref="AT1" si="33">1+AS1</f>
        <v>46</v>
      </c>
      <c r="AU1">
        <f t="shared" ref="AU1" si="34">1+AT1</f>
        <v>47</v>
      </c>
      <c r="AV1">
        <f t="shared" ref="AV1" si="35">1+AU1</f>
        <v>48</v>
      </c>
    </row>
    <row r="2" spans="1:48" ht="24" customHeight="1">
      <c r="A2" s="19" t="s">
        <v>86</v>
      </c>
    </row>
    <row r="3" spans="1:48" ht="18" customHeight="1">
      <c r="A3" s="11" t="s">
        <v>8</v>
      </c>
      <c r="N3" s="18"/>
      <c r="O3" s="18"/>
      <c r="W3" s="18"/>
      <c r="X3" s="18"/>
      <c r="Y3" s="18"/>
      <c r="AB3" s="18"/>
      <c r="AC3" s="18"/>
      <c r="AD3" s="18"/>
      <c r="AG3" s="18"/>
      <c r="AH3" s="18"/>
      <c r="AI3" s="18"/>
    </row>
    <row r="4" spans="1:48" s="1" customFormat="1" ht="13.15" customHeight="1">
      <c r="A4" s="16"/>
      <c r="B4"/>
      <c r="C4" s="219" t="s">
        <v>90</v>
      </c>
      <c r="D4" s="219"/>
      <c r="E4" s="219"/>
      <c r="F4" s="219"/>
      <c r="G4" s="219"/>
      <c r="H4" s="219"/>
      <c r="I4" s="219"/>
      <c r="J4" s="220" t="s">
        <v>91</v>
      </c>
      <c r="K4" s="220"/>
      <c r="L4" s="220"/>
      <c r="M4" s="221"/>
      <c r="N4" s="222" t="s">
        <v>60</v>
      </c>
      <c r="O4" s="222"/>
      <c r="P4" s="222"/>
      <c r="Q4" s="219" t="s">
        <v>61</v>
      </c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 t="s">
        <v>57</v>
      </c>
      <c r="AL4" s="219"/>
      <c r="AM4" s="219"/>
      <c r="AN4" s="219"/>
      <c r="AO4" s="219"/>
      <c r="AP4" s="219"/>
      <c r="AQ4" s="219"/>
      <c r="AR4" s="220" t="s">
        <v>100</v>
      </c>
      <c r="AS4" s="220"/>
      <c r="AT4" s="220"/>
      <c r="AU4" s="221"/>
      <c r="AV4" s="225" t="s">
        <v>21</v>
      </c>
    </row>
    <row r="5" spans="1:48" s="1" customFormat="1" ht="13.15" customHeight="1">
      <c r="A5" s="16"/>
      <c r="B5"/>
      <c r="C5" s="176"/>
      <c r="D5" s="6"/>
      <c r="E5" s="6"/>
      <c r="F5" s="6"/>
      <c r="G5" s="6"/>
      <c r="H5" s="6"/>
      <c r="I5" s="173"/>
      <c r="J5" s="170"/>
      <c r="K5" s="170"/>
      <c r="L5" s="170"/>
      <c r="M5" s="178"/>
      <c r="N5" s="192">
        <v>2.1562499999999998E-2</v>
      </c>
      <c r="O5" s="135"/>
      <c r="P5" s="173"/>
      <c r="Q5" s="169"/>
      <c r="R5" s="169"/>
      <c r="S5" s="171"/>
      <c r="T5" s="171"/>
      <c r="U5" s="169"/>
      <c r="V5" s="169"/>
      <c r="W5" s="172"/>
      <c r="X5" s="192">
        <v>2.9513888888888888E-3</v>
      </c>
      <c r="Y5" s="135"/>
      <c r="Z5" s="169"/>
      <c r="AA5" s="169"/>
      <c r="AB5" s="172"/>
      <c r="AC5" s="199">
        <v>2.7777777777777779E-3</v>
      </c>
      <c r="AD5" s="135"/>
      <c r="AE5" s="169"/>
      <c r="AF5" s="169"/>
      <c r="AG5" s="172"/>
      <c r="AH5" s="199">
        <v>1.2662037037037039E-2</v>
      </c>
      <c r="AI5" s="135"/>
      <c r="AJ5" s="173"/>
      <c r="AK5" s="185">
        <v>7.6388888888888895E-2</v>
      </c>
      <c r="AL5" s="169"/>
      <c r="AM5" s="169"/>
      <c r="AN5" s="6"/>
      <c r="AO5" s="6"/>
      <c r="AP5" s="6"/>
      <c r="AQ5" s="173"/>
      <c r="AR5" s="170"/>
      <c r="AS5" s="170"/>
      <c r="AT5" s="170"/>
      <c r="AU5" s="178"/>
      <c r="AV5" s="226"/>
    </row>
    <row r="6" spans="1:48" s="1" customFormat="1" ht="13.15" customHeight="1">
      <c r="A6" s="16"/>
      <c r="B6"/>
      <c r="C6" s="177"/>
      <c r="D6" s="223"/>
      <c r="E6" s="224"/>
      <c r="F6" s="174"/>
      <c r="G6" s="174"/>
      <c r="H6" s="174"/>
      <c r="I6" s="175"/>
      <c r="J6" s="179"/>
      <c r="K6" s="179"/>
      <c r="L6" s="179"/>
      <c r="M6" s="180"/>
      <c r="N6" s="184"/>
      <c r="O6" s="183"/>
      <c r="P6" s="175"/>
      <c r="Q6" s="217" t="s">
        <v>64</v>
      </c>
      <c r="R6" s="218"/>
      <c r="S6" s="181"/>
      <c r="T6" s="181"/>
      <c r="U6" s="217" t="s">
        <v>58</v>
      </c>
      <c r="V6" s="218"/>
      <c r="W6" s="182"/>
      <c r="X6" s="184"/>
      <c r="Y6" s="183"/>
      <c r="Z6" s="217" t="s">
        <v>98</v>
      </c>
      <c r="AA6" s="218"/>
      <c r="AB6" s="182"/>
      <c r="AC6" s="182"/>
      <c r="AD6" s="183"/>
      <c r="AE6" s="217" t="s">
        <v>65</v>
      </c>
      <c r="AF6" s="218"/>
      <c r="AG6" s="182"/>
      <c r="AH6" s="182"/>
      <c r="AI6" s="183"/>
      <c r="AJ6" s="175"/>
      <c r="AK6" s="186"/>
      <c r="AL6" s="217"/>
      <c r="AM6" s="218"/>
      <c r="AN6" s="174"/>
      <c r="AO6" s="174"/>
      <c r="AP6" s="174"/>
      <c r="AQ6" s="175"/>
      <c r="AR6" s="179"/>
      <c r="AS6" s="179"/>
      <c r="AT6" s="179"/>
      <c r="AU6" s="180"/>
      <c r="AV6" s="227"/>
    </row>
    <row r="7" spans="1:48" s="1" customFormat="1" ht="45">
      <c r="A7" s="29" t="s">
        <v>35</v>
      </c>
      <c r="B7" s="30" t="s">
        <v>17</v>
      </c>
      <c r="C7" s="32" t="s">
        <v>19</v>
      </c>
      <c r="D7" s="33" t="s">
        <v>49</v>
      </c>
      <c r="E7" s="33" t="s">
        <v>50</v>
      </c>
      <c r="F7" s="33" t="s">
        <v>18</v>
      </c>
      <c r="G7" s="33" t="s">
        <v>10</v>
      </c>
      <c r="H7" s="34" t="s">
        <v>11</v>
      </c>
      <c r="I7" s="35" t="s">
        <v>12</v>
      </c>
      <c r="J7" s="166" t="s">
        <v>31</v>
      </c>
      <c r="K7" s="159" t="s">
        <v>11</v>
      </c>
      <c r="L7" s="159" t="s">
        <v>13</v>
      </c>
      <c r="M7" s="159" t="s">
        <v>12</v>
      </c>
      <c r="N7" s="34" t="s">
        <v>112</v>
      </c>
      <c r="O7" s="34" t="s">
        <v>51</v>
      </c>
      <c r="P7" s="35" t="s">
        <v>12</v>
      </c>
      <c r="Q7" s="33" t="s">
        <v>49</v>
      </c>
      <c r="R7" s="33" t="s">
        <v>50</v>
      </c>
      <c r="S7" s="33" t="s">
        <v>18</v>
      </c>
      <c r="T7" s="167" t="s">
        <v>20</v>
      </c>
      <c r="U7" s="33" t="s">
        <v>49</v>
      </c>
      <c r="V7" s="33" t="s">
        <v>50</v>
      </c>
      <c r="W7" s="34" t="s">
        <v>101</v>
      </c>
      <c r="X7" s="34" t="s">
        <v>102</v>
      </c>
      <c r="Y7" s="34" t="s">
        <v>105</v>
      </c>
      <c r="Z7" s="33" t="s">
        <v>49</v>
      </c>
      <c r="AA7" s="33" t="s">
        <v>50</v>
      </c>
      <c r="AB7" s="34" t="s">
        <v>103</v>
      </c>
      <c r="AC7" s="34" t="s">
        <v>104</v>
      </c>
      <c r="AD7" s="34" t="s">
        <v>106</v>
      </c>
      <c r="AE7" s="33" t="s">
        <v>49</v>
      </c>
      <c r="AF7" s="33" t="s">
        <v>50</v>
      </c>
      <c r="AG7" s="34" t="s">
        <v>69</v>
      </c>
      <c r="AH7" s="34" t="s">
        <v>67</v>
      </c>
      <c r="AI7" s="34" t="s">
        <v>68</v>
      </c>
      <c r="AJ7" s="35" t="s">
        <v>12</v>
      </c>
      <c r="AK7" s="32" t="s">
        <v>19</v>
      </c>
      <c r="AL7" s="33" t="s">
        <v>49</v>
      </c>
      <c r="AM7" s="33" t="s">
        <v>50</v>
      </c>
      <c r="AN7" s="33" t="s">
        <v>18</v>
      </c>
      <c r="AO7" s="33" t="s">
        <v>10</v>
      </c>
      <c r="AP7" s="34" t="s">
        <v>11</v>
      </c>
      <c r="AQ7" s="35" t="s">
        <v>12</v>
      </c>
      <c r="AR7" s="166" t="s">
        <v>31</v>
      </c>
      <c r="AS7" s="159" t="s">
        <v>11</v>
      </c>
      <c r="AT7" s="159" t="s">
        <v>13</v>
      </c>
      <c r="AU7" s="159" t="s">
        <v>12</v>
      </c>
      <c r="AV7" s="168" t="s">
        <v>12</v>
      </c>
    </row>
    <row r="8" spans="1:48" s="1" customFormat="1" ht="15" customHeight="1">
      <c r="A8" s="31">
        <f>Старт.вед.!B8</f>
        <v>1</v>
      </c>
      <c r="B8" s="20" t="str">
        <f>VLOOKUP(A8,'Уч-ки'!$B$8:$H$39,2,FALSE)</f>
        <v>ЛЕБЕДЬКО Дмитрий</v>
      </c>
      <c r="C8" s="36">
        <f>VLOOKUP(A8,Старт.вед.!$B$8:$I$57,8,FALSE)</f>
        <v>0.42291666666666666</v>
      </c>
      <c r="D8" s="132"/>
      <c r="E8" s="132"/>
      <c r="F8" s="37" t="s">
        <v>92</v>
      </c>
      <c r="G8" s="38">
        <f>IF(ISBLANK(F8),TIME(HOUR(D8),MINUTE(D8),0),TIME(LEFT(F8,2),RIGHT(F8,2),0))</f>
        <v>0.42291666666666666</v>
      </c>
      <c r="H8" s="21">
        <v>0</v>
      </c>
      <c r="I8" s="22"/>
      <c r="J8" s="44">
        <v>49.4</v>
      </c>
      <c r="K8" s="46"/>
      <c r="L8" s="45">
        <f>J8+K8</f>
        <v>49.4</v>
      </c>
      <c r="M8" s="22"/>
      <c r="N8" s="24">
        <v>2.1921296296296296E-2</v>
      </c>
      <c r="O8" s="39">
        <f>ABS($N$5-N8)*1440*60</f>
        <v>31.000000000000149</v>
      </c>
      <c r="P8" s="23"/>
      <c r="Q8" s="132">
        <v>0.44792824074074072</v>
      </c>
      <c r="R8" s="132">
        <v>0.44791666666666669</v>
      </c>
      <c r="S8" s="37"/>
      <c r="T8" s="38">
        <f>IF(ISBLANK(S8),TIME(HOUR(Q8),MINUTE(Q8),0),TIME(LEFT(S8,2),RIGHT(S8,2),0))</f>
        <v>0.44791666666666669</v>
      </c>
      <c r="U8" s="132">
        <v>0.45175925925925925</v>
      </c>
      <c r="V8" s="132">
        <v>0.45244212962962965</v>
      </c>
      <c r="W8" s="24">
        <f>TIME(HOUR(U8),MINUTE(U8),SECOND(U8))-T8</f>
        <v>3.8425925925925641E-3</v>
      </c>
      <c r="X8" s="24">
        <f>TIME(HOUR(V8),MINUTE(V8),SECOND(V8))-T8</f>
        <v>4.5254629629629672E-3</v>
      </c>
      <c r="Y8" s="39">
        <f>MIN(ABS($X$5-W8),ABS($X$5-X8))*1440*60</f>
        <v>76.999999999997542</v>
      </c>
      <c r="Z8" s="132">
        <v>0.45378472222222221</v>
      </c>
      <c r="AA8" s="132">
        <v>0.45376157407407408</v>
      </c>
      <c r="AB8" s="24">
        <f>MIN(Z8-U8,Z8-V8)</f>
        <v>1.3425925925925619E-3</v>
      </c>
      <c r="AC8" s="24">
        <f>MIN(AA8-V8,AA8-U8)</f>
        <v>1.3194444444444287E-3</v>
      </c>
      <c r="AD8" s="39">
        <f>MIN(ABS($AC$5-AB8),ABS($AC$5-AC8))*1440*60</f>
        <v>124.00000000000264</v>
      </c>
      <c r="AE8" s="132">
        <v>0.46329861111111109</v>
      </c>
      <c r="AF8" s="132">
        <v>0.46331018518518513</v>
      </c>
      <c r="AG8" s="24">
        <f>MIN(AE8-Z8,AE8-AA8)</f>
        <v>9.5138888888888773E-3</v>
      </c>
      <c r="AH8" s="24">
        <f>MIN(AF8-Z8,AF8-AA8)</f>
        <v>9.5254629629629162E-3</v>
      </c>
      <c r="AI8" s="39">
        <f>MIN(ABS($AH$5-AG8),ABS($AH$5-AH8))*1440*60</f>
        <v>271.00000000000426</v>
      </c>
      <c r="AJ8" s="23"/>
      <c r="AK8" s="36">
        <f>G8+$AK$5</f>
        <v>0.49930555555555556</v>
      </c>
      <c r="AL8" s="132" t="e">
        <f>VLOOKUP(A8&amp;"[]",#REF!,MATCH($AK$4&amp;""&amp;$AL$6,#REF!,0),FALSE)</f>
        <v>#REF!</v>
      </c>
      <c r="AM8" s="132" t="e">
        <f>VLOOKUP(A8&amp;"а[]",#REF!,MATCH($AK$4&amp;""&amp;$AL$6,#REF!,0),FALSE)</f>
        <v>#REF!</v>
      </c>
      <c r="AN8" s="37"/>
      <c r="AO8" s="38" t="e">
        <f>IF(ISBLANK(AN8),TIME(HOUR(AL8),MINUTE(AL8),0),TIME(LEFT(AN8,2),RIGHT(AN8,2),0))</f>
        <v>#REF!</v>
      </c>
      <c r="AP8" s="21">
        <v>0</v>
      </c>
      <c r="AQ8" s="22"/>
      <c r="AR8" s="44">
        <v>50.7</v>
      </c>
      <c r="AS8" s="46"/>
      <c r="AT8" s="45">
        <f>AR8+AS8</f>
        <v>50.7</v>
      </c>
      <c r="AU8" s="22"/>
      <c r="AV8" s="134">
        <f>AU8+AT8+AQ8+AP8+AJ8+AI8+AD8+Y8+P8+O8+M8+L8+I8+H8</f>
        <v>603.10000000000446</v>
      </c>
    </row>
    <row r="9" spans="1:48" s="1" customFormat="1" ht="15" customHeight="1">
      <c r="A9" s="31">
        <f>Старт.вед.!B9</f>
        <v>2</v>
      </c>
      <c r="B9" s="20" t="str">
        <f>VLOOKUP(A9,'Уч-ки'!$B$8:$H$39,2,FALSE)</f>
        <v>ПЕТРОВ Георгий</v>
      </c>
      <c r="C9" s="36">
        <f>VLOOKUP(A9,Старт.вед.!$B$8:$I$57,8,FALSE)</f>
        <v>0.42430555555555555</v>
      </c>
      <c r="D9" s="132"/>
      <c r="E9" s="132"/>
      <c r="F9" s="37" t="s">
        <v>93</v>
      </c>
      <c r="G9" s="38">
        <f>IF(ISBLANK(F9),TIME(HOUR(D9),MINUTE(D9),0),TIME(LEFT(F9,2),RIGHT(F9,2),0))</f>
        <v>0.42430555555555555</v>
      </c>
      <c r="H9" s="21">
        <v>0</v>
      </c>
      <c r="I9" s="22"/>
      <c r="J9" s="44">
        <v>51</v>
      </c>
      <c r="K9" s="46"/>
      <c r="L9" s="45">
        <f t="shared" ref="L9:L39" si="36">J9+K9</f>
        <v>51</v>
      </c>
      <c r="M9" s="22"/>
      <c r="N9" s="24">
        <v>1.7071759259259259E-2</v>
      </c>
      <c r="O9" s="39">
        <f t="shared" ref="O9:O13" si="37">ABS($N$5-N9)*1440*60</f>
        <v>387.99999999999989</v>
      </c>
      <c r="P9" s="23"/>
      <c r="Q9" s="132">
        <v>0.45839120370370368</v>
      </c>
      <c r="R9" s="132">
        <v>0.45837962962962964</v>
      </c>
      <c r="S9" s="37"/>
      <c r="T9" s="38">
        <f t="shared" ref="T9:T13" si="38">IF(ISBLANK(S9),TIME(HOUR(Q9),MINUTE(Q9),0),TIME(LEFT(S9,2),RIGHT(S9,2),0))</f>
        <v>0.45833333333333331</v>
      </c>
      <c r="U9" s="132">
        <v>0.46135416666666668</v>
      </c>
      <c r="V9" s="132">
        <v>0.46135416666666668</v>
      </c>
      <c r="W9" s="24">
        <f t="shared" ref="W9:W13" si="39">TIME(HOUR(U9),MINUTE(U9),SECOND(U9))-T9</f>
        <v>3.0208333333333615E-3</v>
      </c>
      <c r="X9" s="24">
        <f t="shared" ref="X9:X13" si="40">TIME(HOUR(V9),MINUTE(V9),SECOND(V9))-T9</f>
        <v>3.0208333333333615E-3</v>
      </c>
      <c r="Y9" s="39">
        <f t="shared" ref="Y9:Y13" si="41">MIN(ABS($X$5-W9),ABS($X$5-X9))*1440*60</f>
        <v>6.0000000000024372</v>
      </c>
      <c r="Z9" s="132">
        <v>0.46383101851851855</v>
      </c>
      <c r="AA9" s="132">
        <v>0.46384259259259258</v>
      </c>
      <c r="AB9" s="24">
        <f t="shared" ref="AB9:AB13" si="42">MIN(Z9-U9,Z9-V9)</f>
        <v>2.476851851851869E-3</v>
      </c>
      <c r="AC9" s="24">
        <f t="shared" ref="AC9:AC13" si="43">MIN(AA9-V9,AA9-U9)</f>
        <v>2.4884259259259078E-3</v>
      </c>
      <c r="AD9" s="39">
        <f t="shared" ref="AD9:AD13" si="44">MIN(ABS($AC$5-AB9),ABS($AC$5-AC9))*1440*60</f>
        <v>25.000000000001574</v>
      </c>
      <c r="AE9" s="132">
        <v>0.47637731481481477</v>
      </c>
      <c r="AF9" s="132">
        <v>0.47636574074074073</v>
      </c>
      <c r="AG9" s="24">
        <f t="shared" ref="AG9:AG13" si="45">MIN(AE9-Z9,AE9-AA9)</f>
        <v>1.2534722222222183E-2</v>
      </c>
      <c r="AH9" s="24">
        <f t="shared" ref="AH9:AH13" si="46">MIN(AF9-Z9,AF9-AA9)</f>
        <v>1.2523148148148144E-2</v>
      </c>
      <c r="AI9" s="39">
        <f t="shared" ref="AI9:AI13" si="47">MIN(ABS($AH$5-AG9),ABS($AH$5-AH9))*1440*60</f>
        <v>11.000000000003569</v>
      </c>
      <c r="AJ9" s="23"/>
      <c r="AK9" s="36">
        <f t="shared" ref="AK9:AK13" si="48">G9+$AK$5</f>
        <v>0.50069444444444444</v>
      </c>
      <c r="AL9" s="132" t="e">
        <f>VLOOKUP(A9&amp;"[]",#REF!,MATCH($AK$4&amp;""&amp;$AL$6,#REF!,0),FALSE)</f>
        <v>#REF!</v>
      </c>
      <c r="AM9" s="132" t="e">
        <f>VLOOKUP(A9&amp;"а[]",#REF!,MATCH($AK$4&amp;""&amp;$AL$6,#REF!,0),FALSE)</f>
        <v>#REF!</v>
      </c>
      <c r="AN9" s="37"/>
      <c r="AO9" s="38" t="e">
        <f t="shared" ref="AO9:AO13" si="49">IF(ISBLANK(AN9),TIME(HOUR(AL9),MINUTE(AL9),0),TIME(LEFT(AN9,2),RIGHT(AN9,2),0))</f>
        <v>#REF!</v>
      </c>
      <c r="AP9" s="21">
        <v>0</v>
      </c>
      <c r="AQ9" s="22"/>
      <c r="AR9" s="44">
        <v>54</v>
      </c>
      <c r="AS9" s="46"/>
      <c r="AT9" s="45">
        <f t="shared" ref="AT9:AT13" si="50">AR9+AS9</f>
        <v>54</v>
      </c>
      <c r="AU9" s="22"/>
      <c r="AV9" s="134">
        <f t="shared" ref="AV9:AV13" si="51">AU9+AT9+AQ9+AP9+AJ9+AI9+AD9+Y9+P9+O9+M9+L9+I9+H9</f>
        <v>535.0000000000075</v>
      </c>
    </row>
    <row r="10" spans="1:48" s="1" customFormat="1" ht="15" customHeight="1">
      <c r="A10" s="31">
        <f>Старт.вед.!B10</f>
        <v>3</v>
      </c>
      <c r="B10" s="20" t="str">
        <f>VLOOKUP(A10,'Уч-ки'!$B$8:$H$39,2,FALSE)</f>
        <v>ЮРАХНО Евгений</v>
      </c>
      <c r="C10" s="36">
        <f>VLOOKUP(A10,Старт.вед.!$B$8:$I$57,8,FALSE)</f>
        <v>0.42569444444444443</v>
      </c>
      <c r="D10" s="132"/>
      <c r="E10" s="132"/>
      <c r="F10" s="37" t="s">
        <v>94</v>
      </c>
      <c r="G10" s="38">
        <f t="shared" ref="G10:G39" si="52">IF(ISBLANK(F10),TIME(HOUR(D10),MINUTE(D10),0),TIME(LEFT(F10,2),RIGHT(F10,2),0))</f>
        <v>0.42569444444444443</v>
      </c>
      <c r="H10" s="21">
        <v>0</v>
      </c>
      <c r="I10" s="22"/>
      <c r="J10" s="44">
        <v>47</v>
      </c>
      <c r="K10" s="46">
        <v>20</v>
      </c>
      <c r="L10" s="45">
        <f t="shared" si="36"/>
        <v>67</v>
      </c>
      <c r="M10" s="22"/>
      <c r="N10" s="24">
        <v>2.7233796296296298E-2</v>
      </c>
      <c r="O10" s="39">
        <f t="shared" si="37"/>
        <v>490.00000000000028</v>
      </c>
      <c r="P10" s="23"/>
      <c r="Q10" s="132">
        <v>0.45557870370370374</v>
      </c>
      <c r="R10" s="132">
        <v>0.45557870370370374</v>
      </c>
      <c r="S10" s="37"/>
      <c r="T10" s="38">
        <f t="shared" si="38"/>
        <v>0.45555555555555555</v>
      </c>
      <c r="U10" s="132">
        <v>0.45883101851851849</v>
      </c>
      <c r="V10" s="132">
        <v>0.45881944444444445</v>
      </c>
      <c r="W10" s="24">
        <f t="shared" si="39"/>
        <v>3.2754629629629384E-3</v>
      </c>
      <c r="X10" s="24">
        <f t="shared" si="40"/>
        <v>3.2638888888888995E-3</v>
      </c>
      <c r="Y10" s="39">
        <f t="shared" si="41"/>
        <v>27.000000000000924</v>
      </c>
      <c r="Z10" s="132">
        <v>0.4611689814814815</v>
      </c>
      <c r="AA10" s="132">
        <v>0.46118055555555554</v>
      </c>
      <c r="AB10" s="24">
        <f t="shared" si="42"/>
        <v>2.3379629629630139E-3</v>
      </c>
      <c r="AC10" s="24">
        <f t="shared" si="43"/>
        <v>2.3495370370370527E-3</v>
      </c>
      <c r="AD10" s="39">
        <f t="shared" si="44"/>
        <v>36.99999999999865</v>
      </c>
      <c r="AE10" s="132">
        <v>0.47380787037037037</v>
      </c>
      <c r="AF10" s="132">
        <v>0.4737615740740741</v>
      </c>
      <c r="AG10" s="24">
        <f t="shared" si="45"/>
        <v>1.2627314814814827E-2</v>
      </c>
      <c r="AH10" s="24">
        <f t="shared" si="46"/>
        <v>1.2581018518518561E-2</v>
      </c>
      <c r="AI10" s="39">
        <f t="shared" si="47"/>
        <v>2.9999999999991198</v>
      </c>
      <c r="AJ10" s="23"/>
      <c r="AK10" s="36">
        <f t="shared" si="48"/>
        <v>0.50208333333333333</v>
      </c>
      <c r="AL10" s="132" t="e">
        <f>VLOOKUP(A10&amp;"[]",#REF!,MATCH($AK$4&amp;""&amp;$AL$6,#REF!,0),FALSE)</f>
        <v>#REF!</v>
      </c>
      <c r="AM10" s="132" t="e">
        <f>VLOOKUP(A10&amp;"а[]",#REF!,MATCH($AK$4&amp;""&amp;$AL$6,#REF!,0),FALSE)</f>
        <v>#REF!</v>
      </c>
      <c r="AN10" s="37"/>
      <c r="AO10" s="38" t="e">
        <f t="shared" si="49"/>
        <v>#REF!</v>
      </c>
      <c r="AP10" s="21">
        <v>0</v>
      </c>
      <c r="AQ10" s="22"/>
      <c r="AR10" s="44">
        <v>54.5</v>
      </c>
      <c r="AS10" s="46"/>
      <c r="AT10" s="45">
        <f t="shared" si="50"/>
        <v>54.5</v>
      </c>
      <c r="AU10" s="22"/>
      <c r="AV10" s="134">
        <f t="shared" si="51"/>
        <v>678.49999999999898</v>
      </c>
    </row>
    <row r="11" spans="1:48" s="1" customFormat="1" ht="15" customHeight="1">
      <c r="A11" s="31">
        <f>Старт.вед.!B11</f>
        <v>4</v>
      </c>
      <c r="B11" s="20" t="str">
        <f>VLOOKUP(A11,'Уч-ки'!$B$8:$H$39,2,FALSE)</f>
        <v>КОРОЛЕВА Любовь</v>
      </c>
      <c r="C11" s="36">
        <f>VLOOKUP(A11,Старт.вед.!$B$8:$I$57,8,FALSE)</f>
        <v>0.42708333333333331</v>
      </c>
      <c r="D11" s="132"/>
      <c r="E11" s="132"/>
      <c r="F11" s="37" t="s">
        <v>95</v>
      </c>
      <c r="G11" s="38">
        <f t="shared" si="52"/>
        <v>0.42708333333333331</v>
      </c>
      <c r="H11" s="21">
        <v>0</v>
      </c>
      <c r="I11" s="22"/>
      <c r="J11" s="44">
        <v>70</v>
      </c>
      <c r="K11" s="46"/>
      <c r="L11" s="45">
        <f t="shared" si="36"/>
        <v>70</v>
      </c>
      <c r="M11" s="22"/>
      <c r="N11" s="24"/>
      <c r="O11" s="254">
        <v>900</v>
      </c>
      <c r="P11" s="23"/>
      <c r="Q11" s="132">
        <v>0.49277777777777776</v>
      </c>
      <c r="R11" s="132">
        <v>0.49280092592592589</v>
      </c>
      <c r="S11" s="37"/>
      <c r="T11" s="38">
        <f t="shared" si="38"/>
        <v>0.49236111111111108</v>
      </c>
      <c r="U11" s="132">
        <v>0.49652777777777773</v>
      </c>
      <c r="V11" s="132">
        <v>0.49653935185185188</v>
      </c>
      <c r="W11" s="24">
        <f t="shared" si="39"/>
        <v>4.1666666666666519E-3</v>
      </c>
      <c r="X11" s="24">
        <f t="shared" si="40"/>
        <v>4.1782407407408018E-3</v>
      </c>
      <c r="Y11" s="39">
        <f t="shared" si="41"/>
        <v>104.99999999999872</v>
      </c>
      <c r="Z11" s="132">
        <v>0.49944444444444441</v>
      </c>
      <c r="AA11" s="132">
        <v>0.49943287037037037</v>
      </c>
      <c r="AB11" s="24">
        <f t="shared" si="42"/>
        <v>2.9050925925925286E-3</v>
      </c>
      <c r="AC11" s="24">
        <f t="shared" si="43"/>
        <v>2.8935185185184897E-3</v>
      </c>
      <c r="AD11" s="39">
        <f t="shared" si="44"/>
        <v>9.9999999999975024</v>
      </c>
      <c r="AE11" s="132">
        <v>0.51252314814814814</v>
      </c>
      <c r="AF11" s="132">
        <v>0.51255787037037037</v>
      </c>
      <c r="AG11" s="24">
        <f t="shared" si="45"/>
        <v>1.3078703703703731E-2</v>
      </c>
      <c r="AH11" s="24">
        <f t="shared" si="46"/>
        <v>1.3113425925925959E-2</v>
      </c>
      <c r="AI11" s="39">
        <f t="shared" si="47"/>
        <v>36.000000000002174</v>
      </c>
      <c r="AJ11" s="23"/>
      <c r="AK11" s="36">
        <f t="shared" si="48"/>
        <v>0.50347222222222221</v>
      </c>
      <c r="AL11" s="132" t="e">
        <f>VLOOKUP(A11&amp;"[]",#REF!,MATCH($AK$4&amp;""&amp;$AL$6,#REF!,0),FALSE)</f>
        <v>#REF!</v>
      </c>
      <c r="AM11" s="132" t="e">
        <f>VLOOKUP(A11&amp;"а[]",#REF!,MATCH($AK$4&amp;""&amp;$AL$6,#REF!,0),FALSE)</f>
        <v>#REF!</v>
      </c>
      <c r="AN11" s="37"/>
      <c r="AO11" s="38" t="e">
        <f t="shared" si="49"/>
        <v>#REF!</v>
      </c>
      <c r="AP11" s="21">
        <v>0</v>
      </c>
      <c r="AQ11" s="22"/>
      <c r="AR11" s="44">
        <v>68.599999999999994</v>
      </c>
      <c r="AS11" s="46"/>
      <c r="AT11" s="45">
        <f t="shared" si="50"/>
        <v>68.599999999999994</v>
      </c>
      <c r="AU11" s="22"/>
      <c r="AV11" s="134">
        <f t="shared" si="51"/>
        <v>1189.5999999999983</v>
      </c>
    </row>
    <row r="12" spans="1:48" s="1" customFormat="1" ht="15" customHeight="1">
      <c r="A12" s="31">
        <f>Старт.вед.!B12</f>
        <v>5</v>
      </c>
      <c r="B12" s="20" t="str">
        <f>VLOOKUP(A12,'Уч-ки'!$B$8:$H$39,2,FALSE)</f>
        <v>ХАПОНЕН Татьяна</v>
      </c>
      <c r="C12" s="36">
        <f>VLOOKUP(A12,Старт.вед.!$B$8:$I$57,8,FALSE)</f>
        <v>0.4284722222222222</v>
      </c>
      <c r="D12" s="132"/>
      <c r="E12" s="132"/>
      <c r="F12" s="37" t="s">
        <v>96</v>
      </c>
      <c r="G12" s="38">
        <f t="shared" si="52"/>
        <v>0.4284722222222222</v>
      </c>
      <c r="H12" s="21">
        <v>0</v>
      </c>
      <c r="I12" s="22"/>
      <c r="J12" s="44">
        <v>50</v>
      </c>
      <c r="K12" s="46">
        <v>20</v>
      </c>
      <c r="L12" s="45">
        <f t="shared" si="36"/>
        <v>70</v>
      </c>
      <c r="M12" s="22"/>
      <c r="N12" s="24">
        <v>2.3865740740740743E-2</v>
      </c>
      <c r="O12" s="39">
        <f t="shared" si="37"/>
        <v>199.00000000000034</v>
      </c>
      <c r="P12" s="23"/>
      <c r="Q12" s="132">
        <v>0.45567129629629632</v>
      </c>
      <c r="R12" s="132">
        <v>0.45565972222222223</v>
      </c>
      <c r="S12" s="37"/>
      <c r="T12" s="38">
        <f t="shared" si="38"/>
        <v>0.45555555555555555</v>
      </c>
      <c r="U12" s="132">
        <v>0.45886574074074077</v>
      </c>
      <c r="V12" s="132">
        <v>0.45886574074074077</v>
      </c>
      <c r="W12" s="24">
        <f t="shared" si="39"/>
        <v>3.3101851851852215E-3</v>
      </c>
      <c r="X12" s="24">
        <f t="shared" si="40"/>
        <v>3.3101851851852215E-3</v>
      </c>
      <c r="Y12" s="39">
        <f t="shared" si="41"/>
        <v>31.000000000003148</v>
      </c>
      <c r="Z12" s="132">
        <v>0.46156250000000004</v>
      </c>
      <c r="AA12" s="132">
        <v>0.46156250000000004</v>
      </c>
      <c r="AB12" s="24">
        <f t="shared" si="42"/>
        <v>2.6967592592592737E-3</v>
      </c>
      <c r="AC12" s="24">
        <f t="shared" si="43"/>
        <v>2.6967592592592737E-3</v>
      </c>
      <c r="AD12" s="39">
        <f t="shared" si="44"/>
        <v>6.9999999999987583</v>
      </c>
      <c r="AE12" s="132">
        <v>0.47430555555555554</v>
      </c>
      <c r="AF12" s="132">
        <v>0.4742939814814815</v>
      </c>
      <c r="AG12" s="24">
        <f t="shared" si="45"/>
        <v>1.2743055555555494E-2</v>
      </c>
      <c r="AH12" s="24">
        <f t="shared" si="46"/>
        <v>1.2731481481481455E-2</v>
      </c>
      <c r="AI12" s="39">
        <f t="shared" si="47"/>
        <v>5.9999999999974909</v>
      </c>
      <c r="AJ12" s="23"/>
      <c r="AK12" s="36">
        <f t="shared" si="48"/>
        <v>0.50486111111111109</v>
      </c>
      <c r="AL12" s="132" t="e">
        <f>VLOOKUP(A12&amp;"[]",#REF!,MATCH($AK$4&amp;""&amp;$AL$6,#REF!,0),FALSE)</f>
        <v>#REF!</v>
      </c>
      <c r="AM12" s="132" t="e">
        <f>VLOOKUP(A12&amp;"а[]",#REF!,MATCH($AK$4&amp;""&amp;$AL$6,#REF!,0),FALSE)</f>
        <v>#REF!</v>
      </c>
      <c r="AN12" s="37"/>
      <c r="AO12" s="38" t="e">
        <f t="shared" si="49"/>
        <v>#REF!</v>
      </c>
      <c r="AP12" s="21">
        <v>0</v>
      </c>
      <c r="AQ12" s="22"/>
      <c r="AR12" s="44">
        <v>56.3</v>
      </c>
      <c r="AS12" s="46"/>
      <c r="AT12" s="45">
        <f t="shared" si="50"/>
        <v>56.3</v>
      </c>
      <c r="AU12" s="22"/>
      <c r="AV12" s="134">
        <f t="shared" si="51"/>
        <v>369.29999999999973</v>
      </c>
    </row>
    <row r="13" spans="1:48" s="1" customFormat="1" ht="15" customHeight="1">
      <c r="A13" s="31">
        <f>Старт.вед.!B13</f>
        <v>13</v>
      </c>
      <c r="B13" s="20" t="str">
        <f>VLOOKUP(A13,'Уч-ки'!$B$8:$H$39,2,FALSE)</f>
        <v>ВИТВИЦКИЙ Денис</v>
      </c>
      <c r="C13" s="36">
        <f>VLOOKUP(A13,Старт.вед.!$B$8:$I$57,8,FALSE)</f>
        <v>0.42986111111111108</v>
      </c>
      <c r="D13" s="132"/>
      <c r="E13" s="132"/>
      <c r="F13" s="37" t="s">
        <v>97</v>
      </c>
      <c r="G13" s="38">
        <f t="shared" si="52"/>
        <v>0.42986111111111108</v>
      </c>
      <c r="H13" s="21">
        <v>0</v>
      </c>
      <c r="I13" s="22"/>
      <c r="J13" s="44">
        <v>51</v>
      </c>
      <c r="K13" s="46">
        <v>20</v>
      </c>
      <c r="L13" s="45">
        <f t="shared" si="36"/>
        <v>71</v>
      </c>
      <c r="M13" s="22"/>
      <c r="N13" s="24">
        <v>1.6203703703703703E-2</v>
      </c>
      <c r="O13" s="39">
        <f t="shared" si="37"/>
        <v>462.99999999999994</v>
      </c>
      <c r="P13" s="23"/>
      <c r="Q13" s="132">
        <v>0.45998842592592593</v>
      </c>
      <c r="R13" s="132">
        <v>0.45995370370370375</v>
      </c>
      <c r="S13" s="37"/>
      <c r="T13" s="38">
        <f t="shared" si="38"/>
        <v>0.4597222222222222</v>
      </c>
      <c r="U13" s="132">
        <v>0.46359953703703699</v>
      </c>
      <c r="V13" s="132">
        <v>0.46358796296296295</v>
      </c>
      <c r="W13" s="24">
        <f t="shared" si="39"/>
        <v>3.8773148148147918E-3</v>
      </c>
      <c r="X13" s="24">
        <f t="shared" si="40"/>
        <v>3.8657407407407529E-3</v>
      </c>
      <c r="Y13" s="39">
        <f t="shared" si="41"/>
        <v>79.000000000001052</v>
      </c>
      <c r="Z13" s="132">
        <v>0.46618055555555554</v>
      </c>
      <c r="AA13" s="132">
        <v>0.4661689814814815</v>
      </c>
      <c r="AB13" s="24">
        <f t="shared" si="42"/>
        <v>2.5810185185185519E-3</v>
      </c>
      <c r="AC13" s="24">
        <f t="shared" si="43"/>
        <v>2.569444444444513E-3</v>
      </c>
      <c r="AD13" s="39">
        <f t="shared" si="44"/>
        <v>16.999999999997126</v>
      </c>
      <c r="AE13" s="132">
        <v>0.47995370370370366</v>
      </c>
      <c r="AF13" s="132">
        <v>0.48001157407407408</v>
      </c>
      <c r="AG13" s="24">
        <f t="shared" si="45"/>
        <v>1.3773148148148118E-2</v>
      </c>
      <c r="AH13" s="24">
        <f t="shared" si="46"/>
        <v>1.3831018518518534E-2</v>
      </c>
      <c r="AI13" s="39">
        <f t="shared" si="47"/>
        <v>95.999999999997172</v>
      </c>
      <c r="AJ13" s="23"/>
      <c r="AK13" s="36">
        <f t="shared" si="48"/>
        <v>0.50624999999999998</v>
      </c>
      <c r="AL13" s="132" t="e">
        <f>VLOOKUP(A13&amp;"[]",#REF!,MATCH($AK$4&amp;""&amp;$AL$6,#REF!,0),FALSE)</f>
        <v>#REF!</v>
      </c>
      <c r="AM13" s="132" t="e">
        <f>VLOOKUP(A13&amp;"а[]",#REF!,MATCH($AK$4&amp;""&amp;$AL$6,#REF!,0),FALSE)</f>
        <v>#REF!</v>
      </c>
      <c r="AN13" s="37"/>
      <c r="AO13" s="38" t="e">
        <f t="shared" si="49"/>
        <v>#REF!</v>
      </c>
      <c r="AP13" s="21">
        <v>0</v>
      </c>
      <c r="AQ13" s="22"/>
      <c r="AR13" s="44">
        <v>53.3</v>
      </c>
      <c r="AS13" s="46"/>
      <c r="AT13" s="45">
        <f t="shared" si="50"/>
        <v>53.3</v>
      </c>
      <c r="AU13" s="22"/>
      <c r="AV13" s="134">
        <f t="shared" si="51"/>
        <v>779.29999999999529</v>
      </c>
    </row>
    <row r="14" spans="1:48" s="1" customFormat="1" ht="15" hidden="1" customHeight="1">
      <c r="A14" s="31">
        <f>Старт.вед.!B14</f>
        <v>0</v>
      </c>
      <c r="B14" s="20" t="str">
        <f>VLOOKUP(A14,'Уч-ки'!$B$8:$H$39,2,FALSE)</f>
        <v xml:space="preserve"> </v>
      </c>
      <c r="C14" s="36">
        <f>VLOOKUP(A14,Старт.вед.!$B$8:$I$57,8,FALSE)</f>
        <v>0.49791666666666662</v>
      </c>
      <c r="D14" s="132"/>
      <c r="E14" s="132"/>
      <c r="F14" s="37" t="s">
        <v>70</v>
      </c>
      <c r="G14" s="38">
        <f t="shared" si="52"/>
        <v>0.49791666666666662</v>
      </c>
      <c r="H14" s="21">
        <v>0</v>
      </c>
      <c r="I14" s="22"/>
      <c r="J14" s="44">
        <v>52</v>
      </c>
      <c r="K14" s="46"/>
      <c r="L14" s="45">
        <f t="shared" si="36"/>
        <v>52</v>
      </c>
      <c r="M14" s="22"/>
      <c r="N14" s="24" t="e">
        <f>TIME(HOUR(#REF!),MINUTE(#REF!),SECOND(#REF!))-#REF!</f>
        <v>#REF!</v>
      </c>
      <c r="O14" s="39" t="e">
        <f>MIN(ABS($N$5-#REF!),ABS($N$5-N14))*1440*60</f>
        <v>#REF!</v>
      </c>
      <c r="P14" s="23"/>
      <c r="Q14" s="132" t="e">
        <f>VLOOKUP(A14&amp;"[]",#REF!,MATCH(#REF!&amp;" "&amp;$Q$6,#REF!,0),FALSE)</f>
        <v>#REF!</v>
      </c>
      <c r="R14" s="132" t="e">
        <f>VLOOKUP(A14&amp;"а[]",#REF!,MATCH(#REF!&amp;" "&amp;$Q$6,#REF!,0),FALSE)</f>
        <v>#REF!</v>
      </c>
      <c r="S14" s="37" t="s">
        <v>75</v>
      </c>
      <c r="T14" s="38">
        <f t="shared" ref="T14:T39" si="53">IF(ISBLANK(S14),TIME(HOUR(Q14),MINUTE(Q14),0),TIME(LEFT(S14,2),RIGHT(S14,2),0))</f>
        <v>0.53402777777777777</v>
      </c>
      <c r="U14" s="132" t="e">
        <f>VLOOKUP(A14&amp;"[]",#REF!,MATCH(#REF!&amp;" "&amp;$U$6,#REF!,0),FALSE)</f>
        <v>#REF!</v>
      </c>
      <c r="V14" s="132" t="e">
        <f>VLOOKUP(A14&amp;"а[]",#REF!,MATCH(#REF!&amp;" "&amp;$U$6,#REF!,0),FALSE)</f>
        <v>#REF!</v>
      </c>
      <c r="W14" s="24" t="e">
        <f>TIME(HOUR(U14),MINUTE(U14),SECOND(U14))-T14</f>
        <v>#REF!</v>
      </c>
      <c r="X14" s="24" t="e">
        <f>TIME(HOUR(V14),MINUTE(V14),SECOND(V14))-T14</f>
        <v>#REF!</v>
      </c>
      <c r="Y14" s="39" t="e">
        <f t="shared" ref="Y14:Y15" si="54">MIN(ABS($X$5-W14),ABS($X$5-X14))*1440*60</f>
        <v>#REF!</v>
      </c>
      <c r="Z14" s="132" t="e">
        <f>VLOOKUP(A14&amp;"[]",#REF!,MATCH(#REF!&amp;" "&amp;$Z$6,#REF!,0),FALSE)</f>
        <v>#REF!</v>
      </c>
      <c r="AA14" s="132" t="e">
        <f>VLOOKUP(A14&amp;"а[]",#REF!,MATCH(#REF!&amp;" "&amp;$Z$6,#REF!,0),FALSE)</f>
        <v>#REF!</v>
      </c>
      <c r="AB14" s="24" t="e">
        <f>TIME(HOUR(Z14),MINUTE(Z14),SECOND(Z14))-T14</f>
        <v>#REF!</v>
      </c>
      <c r="AC14" s="24" t="e">
        <f>TIME(HOUR(AA14),MINUTE(AA14),SECOND(AA14))-T14</f>
        <v>#REF!</v>
      </c>
      <c r="AD14" s="39" t="e">
        <f t="shared" ref="AD14:AD15" si="55">MIN(ABS($AC$5-AB14),ABS($AC$5-AC14))*1440*60</f>
        <v>#REF!</v>
      </c>
      <c r="AE14" s="132" t="e">
        <f>VLOOKUP(A14&amp;"[]",#REF!,MATCH(#REF!&amp;" "&amp;$AE$6,#REF!,0),FALSE)</f>
        <v>#REF!</v>
      </c>
      <c r="AF14" s="132" t="e">
        <f>VLOOKUP(A14&amp;"а[]",#REF!,MATCH(#REF!&amp;" "&amp;$AE$6,#REF!,0),FALSE)</f>
        <v>#REF!</v>
      </c>
      <c r="AG14" s="24" t="e">
        <f>MIN(AE14-Z14,AE14-AA14)</f>
        <v>#REF!</v>
      </c>
      <c r="AH14" s="24" t="e">
        <f>MIN(AF14-Z14,AF14-AA14)</f>
        <v>#REF!</v>
      </c>
      <c r="AI14" s="39" t="e">
        <f t="shared" ref="AI14:AI15" si="56">MIN(ABS($AH$5-AG14),ABS($AH$5-AH14))*1440*60</f>
        <v>#REF!</v>
      </c>
      <c r="AJ14" s="23"/>
      <c r="AK14" s="36" t="e">
        <f>#REF!+$AK$5</f>
        <v>#REF!</v>
      </c>
      <c r="AL14" s="132" t="e">
        <f>VLOOKUP(A14&amp;"[]",#REF!,MATCH($AK$4&amp;""&amp;$AL$6,#REF!,0),FALSE)</f>
        <v>#REF!</v>
      </c>
      <c r="AM14" s="132" t="e">
        <f>VLOOKUP(A14&amp;"а[]",#REF!,MATCH($AK$4&amp;""&amp;$AL$6,#REF!,0),FALSE)</f>
        <v>#REF!</v>
      </c>
      <c r="AN14" s="37" t="s">
        <v>83</v>
      </c>
      <c r="AO14" s="38">
        <f t="shared" ref="AO14:AO15" si="57">IF(ISBLANK(AN14),TIME(HOUR(AL14),MINUTE(AL14),0),TIME(LEFT(AN14,2),RIGHT(AN14,2),0))</f>
        <v>0.55833333333333335</v>
      </c>
      <c r="AP14" s="21" t="e">
        <f t="shared" ref="AP14:AP15" si="58">IF(AO14=AK14,0,IF((AO14-AK14)&gt;0,IF((ABS(AO14-AK14)*1440*10)&lt;1800,ABS(AO14-AK14)*1440*10,1800),ABS(AO14-AK14)*1440*60))</f>
        <v>#REF!</v>
      </c>
      <c r="AQ14" s="22"/>
      <c r="AR14" s="44">
        <v>52</v>
      </c>
      <c r="AS14" s="46"/>
      <c r="AT14" s="45">
        <f t="shared" ref="AT14:AT39" si="59">AR14+AS14</f>
        <v>52</v>
      </c>
      <c r="AU14" s="22"/>
      <c r="AV14" s="134" t="e">
        <f>#REF!+#REF!+#REF!+#REF!+#REF!+#REF!+#REF!+#REF!+#REF!+#REF!+#REF!+#REF!+#REF!+#REF!+#REF!+AQ14+AP14+AJ14+AI14+AD14+Y14+P14+#REF!+O14+M14+L14+I14+H14</f>
        <v>#REF!</v>
      </c>
    </row>
    <row r="15" spans="1:48" s="1" customFormat="1" ht="15" hidden="1" customHeight="1">
      <c r="A15" s="31">
        <f>Старт.вед.!B15</f>
        <v>0</v>
      </c>
      <c r="B15" s="20" t="str">
        <f>VLOOKUP(A15,'Уч-ки'!$B$8:$H$39,2,FALSE)</f>
        <v xml:space="preserve"> </v>
      </c>
      <c r="C15" s="36">
        <f>VLOOKUP(A15,Старт.вед.!$B$8:$I$57,8,FALSE)</f>
        <v>0.49791666666666662</v>
      </c>
      <c r="D15" s="132"/>
      <c r="E15" s="132"/>
      <c r="F15" s="37" t="s">
        <v>81</v>
      </c>
      <c r="G15" s="38">
        <f t="shared" si="52"/>
        <v>0.50208333333333333</v>
      </c>
      <c r="H15" s="21">
        <v>0</v>
      </c>
      <c r="I15" s="22"/>
      <c r="J15" s="44">
        <v>59.1</v>
      </c>
      <c r="K15" s="46"/>
      <c r="L15" s="45">
        <f t="shared" si="36"/>
        <v>59.1</v>
      </c>
      <c r="M15" s="22"/>
      <c r="N15" s="24" t="e">
        <f>TIME(HOUR(#REF!),MINUTE(#REF!),SECOND(#REF!))-#REF!</f>
        <v>#REF!</v>
      </c>
      <c r="O15" s="39" t="e">
        <f>MIN(ABS($N$5-#REF!),ABS($N$5-N15))*1440*60</f>
        <v>#REF!</v>
      </c>
      <c r="P15" s="23"/>
      <c r="Q15" s="132" t="e">
        <f>VLOOKUP(A15&amp;"[]",#REF!,MATCH(#REF!&amp;" "&amp;$Q$6,#REF!,0),FALSE)</f>
        <v>#REF!</v>
      </c>
      <c r="R15" s="132" t="e">
        <f>VLOOKUP(A15&amp;"а[]",#REF!,MATCH(#REF!&amp;" "&amp;$Q$6,#REF!,0),FALSE)</f>
        <v>#REF!</v>
      </c>
      <c r="S15" s="37" t="s">
        <v>82</v>
      </c>
      <c r="T15" s="38">
        <f t="shared" si="53"/>
        <v>0.53749999999999998</v>
      </c>
      <c r="U15" s="132" t="e">
        <f>VLOOKUP(A15&amp;"[]",#REF!,MATCH(#REF!&amp;" "&amp;$U$6,#REF!,0),FALSE)</f>
        <v>#REF!</v>
      </c>
      <c r="V15" s="132" t="e">
        <f>VLOOKUP(A15&amp;"а[]",#REF!,MATCH(#REF!&amp;" "&amp;$U$6,#REF!,0),FALSE)</f>
        <v>#REF!</v>
      </c>
      <c r="W15" s="24" t="e">
        <f>TIME(HOUR(U15),MINUTE(U15),SECOND(U15))-T15</f>
        <v>#REF!</v>
      </c>
      <c r="X15" s="24" t="e">
        <f>TIME(HOUR(V15),MINUTE(V15),SECOND(V15))-T15</f>
        <v>#REF!</v>
      </c>
      <c r="Y15" s="39" t="e">
        <f t="shared" si="54"/>
        <v>#REF!</v>
      </c>
      <c r="Z15" s="132" t="e">
        <f>VLOOKUP(A15&amp;"[]",#REF!,MATCH(#REF!&amp;" "&amp;$Z$6,#REF!,0),FALSE)</f>
        <v>#REF!</v>
      </c>
      <c r="AA15" s="132" t="e">
        <f>VLOOKUP(A15&amp;"а[]",#REF!,MATCH(#REF!&amp;" "&amp;$Z$6,#REF!,0),FALSE)</f>
        <v>#REF!</v>
      </c>
      <c r="AB15" s="24" t="e">
        <f>TIME(HOUR(Z15),MINUTE(Z15),SECOND(Z15))-T15</f>
        <v>#REF!</v>
      </c>
      <c r="AC15" s="24" t="e">
        <f>TIME(HOUR(AA15),MINUTE(AA15),SECOND(AA15))-T15</f>
        <v>#REF!</v>
      </c>
      <c r="AD15" s="39" t="e">
        <f t="shared" si="55"/>
        <v>#REF!</v>
      </c>
      <c r="AE15" s="132" t="e">
        <f>VLOOKUP(A15&amp;"[]",#REF!,MATCH(#REF!&amp;" "&amp;$AE$6,#REF!,0),FALSE)</f>
        <v>#REF!</v>
      </c>
      <c r="AF15" s="132" t="e">
        <f>VLOOKUP(A15&amp;"а[]",#REF!,MATCH(#REF!&amp;" "&amp;$AE$6,#REF!,0),FALSE)</f>
        <v>#REF!</v>
      </c>
      <c r="AG15" s="24" t="e">
        <f>MIN(AE15-Z15,AE15-AA15)</f>
        <v>#REF!</v>
      </c>
      <c r="AH15" s="24" t="e">
        <f>MIN(AF15-Z15,AF15-AA15)</f>
        <v>#REF!</v>
      </c>
      <c r="AI15" s="39" t="e">
        <f t="shared" si="56"/>
        <v>#REF!</v>
      </c>
      <c r="AJ15" s="23"/>
      <c r="AK15" s="36" t="e">
        <f>#REF!+$AK$5</f>
        <v>#REF!</v>
      </c>
      <c r="AL15" s="132" t="e">
        <f>VLOOKUP(A15&amp;"[]",#REF!,MATCH($AK$4&amp;""&amp;$AL$6,#REF!,0),FALSE)</f>
        <v>#REF!</v>
      </c>
      <c r="AM15" s="132" t="e">
        <f>VLOOKUP(A15&amp;"а[]",#REF!,MATCH($AK$4&amp;""&amp;$AL$6,#REF!,0),FALSE)</f>
        <v>#REF!</v>
      </c>
      <c r="AN15" s="37" t="s">
        <v>77</v>
      </c>
      <c r="AO15" s="38">
        <f t="shared" si="57"/>
        <v>0.56180555555555556</v>
      </c>
      <c r="AP15" s="21" t="e">
        <f t="shared" si="58"/>
        <v>#REF!</v>
      </c>
      <c r="AQ15" s="22"/>
      <c r="AR15" s="44">
        <v>59.1</v>
      </c>
      <c r="AS15" s="46"/>
      <c r="AT15" s="45">
        <f t="shared" si="59"/>
        <v>59.1</v>
      </c>
      <c r="AU15" s="22"/>
      <c r="AV15" s="134" t="e">
        <f>#REF!+#REF!+#REF!+#REF!+#REF!+#REF!+#REF!+#REF!+#REF!+#REF!+#REF!+#REF!+#REF!+#REF!+#REF!+AQ15+AP15+AJ15+AI15+AD15+Y15+P15+#REF!+O15+M15+L15+I15+H15</f>
        <v>#REF!</v>
      </c>
    </row>
    <row r="16" spans="1:48" s="1" customFormat="1" ht="15" hidden="1" customHeight="1">
      <c r="A16" s="31">
        <f>Старт.вед.!B16</f>
        <v>0</v>
      </c>
      <c r="B16" s="20" t="str">
        <f>VLOOKUP(A16,'Уч-ки'!$B$8:$H$39,2,FALSE)</f>
        <v xml:space="preserve"> </v>
      </c>
      <c r="C16" s="36" t="e">
        <f>#REF!+$C$5</f>
        <v>#REF!</v>
      </c>
      <c r="D16" s="132"/>
      <c r="E16" s="132"/>
      <c r="F16" s="37"/>
      <c r="G16" s="38">
        <f t="shared" si="52"/>
        <v>0</v>
      </c>
      <c r="H16" s="21">
        <v>0</v>
      </c>
      <c r="I16" s="22"/>
      <c r="J16" s="44">
        <v>53.4</v>
      </c>
      <c r="K16" s="46"/>
      <c r="L16" s="45">
        <f t="shared" si="36"/>
        <v>53.4</v>
      </c>
      <c r="M16" s="22"/>
      <c r="N16" s="24" t="e">
        <f>TIME(HOUR(#REF!),MINUTE(#REF!),SECOND(#REF!))-#REF!</f>
        <v>#REF!</v>
      </c>
      <c r="O16" s="39" t="e">
        <f>MIN(ABS($N$5-#REF!),ABS($N$5-N16))*1440*60</f>
        <v>#REF!</v>
      </c>
      <c r="P16" s="23"/>
      <c r="Q16" s="132" t="e">
        <f>VLOOKUP(A16&amp;"[]",#REF!,MATCH(#REF!&amp;" "&amp;$Q$6,#REF!,0),FALSE)</f>
        <v>#REF!</v>
      </c>
      <c r="R16" s="132" t="e">
        <f>VLOOKUP(A16&amp;"а[]",#REF!,MATCH(#REF!&amp;" "&amp;$Q$6,#REF!,0),FALSE)</f>
        <v>#REF!</v>
      </c>
      <c r="S16" s="37" t="s">
        <v>71</v>
      </c>
      <c r="T16" s="38">
        <f t="shared" si="53"/>
        <v>0.53472222222222221</v>
      </c>
      <c r="U16" s="132" t="e">
        <f>VLOOKUP(#REF!&amp;"[]",#REF!,MATCH(#REF!&amp;" "&amp;#REF!,#REF!,0),FALSE)</f>
        <v>#REF!</v>
      </c>
      <c r="V16" s="132" t="e">
        <f>VLOOKUP(#REF!&amp;"а[]",#REF!,MATCH(#REF!&amp;" "&amp;#REF!,#REF!,0),FALSE)</f>
        <v>#REF!</v>
      </c>
      <c r="W16" s="24" t="e">
        <f>TIME(HOUR(U16),MINUTE(U16),SECOND(U16))-T16</f>
        <v>#REF!</v>
      </c>
      <c r="X16" s="24" t="e">
        <f>TIME(HOUR(V16),MINUTE(V16),SECOND(V16))-T16</f>
        <v>#REF!</v>
      </c>
      <c r="Y16" s="39" t="e">
        <f>MIN(ABS(#REF!-W16),ABS(#REF!-X16))*1440*60</f>
        <v>#REF!</v>
      </c>
      <c r="Z16" s="132" t="e">
        <f>VLOOKUP(#REF!&amp;"[]",#REF!,MATCH(#REF!&amp;" "&amp;#REF!,#REF!,0),FALSE)</f>
        <v>#REF!</v>
      </c>
      <c r="AA16" s="132" t="e">
        <f>VLOOKUP(#REF!&amp;"а[]",#REF!,MATCH(#REF!&amp;" "&amp;#REF!,#REF!,0),FALSE)</f>
        <v>#REF!</v>
      </c>
      <c r="AB16" s="24" t="e">
        <f>TIME(HOUR(Z16),MINUTE(Z16),SECOND(Z16))-T16</f>
        <v>#REF!</v>
      </c>
      <c r="AC16" s="24" t="e">
        <f>TIME(HOUR(AA16),MINUTE(AA16),SECOND(AA16))-T16</f>
        <v>#REF!</v>
      </c>
      <c r="AD16" s="39" t="e">
        <f>MIN(ABS(#REF!-AB16),ABS(#REF!-AC16))*1440*60</f>
        <v>#REF!</v>
      </c>
      <c r="AE16" s="132" t="e">
        <f>VLOOKUP(#REF!&amp;"[]",#REF!,MATCH(#REF!&amp;" "&amp;#REF!,#REF!,0),FALSE)</f>
        <v>#REF!</v>
      </c>
      <c r="AF16" s="132" t="e">
        <f>VLOOKUP(#REF!&amp;"а[]",#REF!,MATCH(#REF!&amp;" "&amp;#REF!,#REF!,0),FALSE)</f>
        <v>#REF!</v>
      </c>
      <c r="AG16" s="24" t="e">
        <f>MIN(AE16-Z16,AE16-AA16)</f>
        <v>#REF!</v>
      </c>
      <c r="AH16" s="24" t="e">
        <f>MIN(AF16-Z16,AF16-AA16)</f>
        <v>#REF!</v>
      </c>
      <c r="AI16" s="39" t="e">
        <f>MIN(ABS(#REF!-AG16),ABS(#REF!-AH16))*1440*60</f>
        <v>#REF!</v>
      </c>
      <c r="AJ16" s="23"/>
      <c r="AK16" s="36" t="e">
        <f>#REF!+#REF!</f>
        <v>#REF!</v>
      </c>
      <c r="AL16" s="132" t="e">
        <f>VLOOKUP(#REF!&amp;"[]",#REF!,MATCH(#REF!&amp;""&amp;#REF!,#REF!,0),FALSE)</f>
        <v>#REF!</v>
      </c>
      <c r="AM16" s="132" t="e">
        <f>VLOOKUP(#REF!&amp;"а[]",#REF!,MATCH(#REF!&amp;""&amp;#REF!,#REF!,0),FALSE)</f>
        <v>#REF!</v>
      </c>
      <c r="AN16" s="37"/>
      <c r="AO16" s="38" t="e">
        <f t="shared" ref="AO16:AO39" si="60">IF(ISBLANK(AN16),TIME(HOUR(AL16),MINUTE(AL16),0),TIME(LEFT(AN16,2),RIGHT(AN16,2),0))</f>
        <v>#REF!</v>
      </c>
      <c r="AP16" s="21" t="e">
        <f t="shared" ref="AP16:AP39" si="61">IF(AO16=AK16,0,IF((AO16-AK16)&gt;0,IF((ABS(AO16-AK16)*1440*10)&lt;1800,ABS(AO16-AK16)*1440*10,1800),ABS(AO16-AK16)*1440*60))</f>
        <v>#REF!</v>
      </c>
      <c r="AQ16" s="22"/>
      <c r="AR16" s="44">
        <v>53.4</v>
      </c>
      <c r="AS16" s="46"/>
      <c r="AT16" s="45">
        <f t="shared" si="59"/>
        <v>53.4</v>
      </c>
      <c r="AU16" s="22"/>
      <c r="AV16" s="134" t="e">
        <f>#REF!+#REF!+#REF!+#REF!+#REF!+#REF!+#REF!+#REF!+#REF!+#REF!+#REF!+#REF!+#REF!+#REF!+#REF!+#REF!+#REF!+P16+#REF!+O16+M16+L16+I16+H16+#REF!+#REF!</f>
        <v>#REF!</v>
      </c>
    </row>
    <row r="17" spans="1:48" s="1" customFormat="1" ht="15" hidden="1" customHeight="1">
      <c r="A17" s="31">
        <f>Старт.вед.!B17</f>
        <v>0</v>
      </c>
      <c r="B17" s="20" t="str">
        <f>VLOOKUP(A17,'Уч-ки'!$B$8:$H$39,2,FALSE)</f>
        <v xml:space="preserve"> </v>
      </c>
      <c r="C17" s="36" t="e">
        <f>#REF!+$C$5</f>
        <v>#REF!</v>
      </c>
      <c r="D17" s="132"/>
      <c r="E17" s="132"/>
      <c r="F17" s="37"/>
      <c r="G17" s="38">
        <f t="shared" si="52"/>
        <v>0</v>
      </c>
      <c r="H17" s="21">
        <v>0</v>
      </c>
      <c r="I17" s="22"/>
      <c r="J17" s="44">
        <v>52.1</v>
      </c>
      <c r="K17" s="46"/>
      <c r="L17" s="45">
        <f t="shared" si="36"/>
        <v>52.1</v>
      </c>
      <c r="M17" s="22"/>
      <c r="N17" s="24" t="e">
        <f>TIME(HOUR(#REF!),MINUTE(#REF!),SECOND(#REF!))-#REF!</f>
        <v>#REF!</v>
      </c>
      <c r="O17" s="39" t="e">
        <f>MIN(ABS($N$5-#REF!),ABS($N$5-N17))*1440*60</f>
        <v>#REF!</v>
      </c>
      <c r="P17" s="23"/>
      <c r="Q17" s="132" t="e">
        <f>VLOOKUP(A17&amp;"[]",#REF!,MATCH(#REF!&amp;" "&amp;$Q$6,#REF!,0),FALSE)</f>
        <v>#REF!</v>
      </c>
      <c r="R17" s="132" t="e">
        <f>VLOOKUP(A17&amp;"а[]",#REF!,MATCH(#REF!&amp;" "&amp;$Q$6,#REF!,0),FALSE)</f>
        <v>#REF!</v>
      </c>
      <c r="S17" s="37" t="s">
        <v>55</v>
      </c>
      <c r="T17" s="38">
        <f t="shared" si="53"/>
        <v>0.52430555555555558</v>
      </c>
      <c r="U17" s="132" t="e">
        <f>VLOOKUP(#REF!&amp;"[]",#REF!,MATCH(#REF!&amp;" "&amp;#REF!,#REF!,0),FALSE)</f>
        <v>#REF!</v>
      </c>
      <c r="V17" s="132" t="e">
        <f>VLOOKUP(#REF!&amp;"а[]",#REF!,MATCH(#REF!&amp;" "&amp;#REF!,#REF!,0),FALSE)</f>
        <v>#REF!</v>
      </c>
      <c r="W17" s="24" t="e">
        <f>TIME(HOUR(U17),MINUTE(U17),SECOND(U17))-T17</f>
        <v>#REF!</v>
      </c>
      <c r="X17" s="24" t="e">
        <f>TIME(HOUR(V17),MINUTE(V17),SECOND(V17))-T17</f>
        <v>#REF!</v>
      </c>
      <c r="Y17" s="39" t="e">
        <f>MIN(ABS(#REF!-W17),ABS(#REF!-X17))*1440*60</f>
        <v>#REF!</v>
      </c>
      <c r="Z17" s="132" t="e">
        <f>VLOOKUP(#REF!&amp;"[]",#REF!,MATCH(#REF!&amp;" "&amp;#REF!,#REF!,0),FALSE)</f>
        <v>#REF!</v>
      </c>
      <c r="AA17" s="132" t="e">
        <f>VLOOKUP(#REF!&amp;"а[]",#REF!,MATCH(#REF!&amp;" "&amp;#REF!,#REF!,0),FALSE)</f>
        <v>#REF!</v>
      </c>
      <c r="AB17" s="24" t="e">
        <f>TIME(HOUR(Z17),MINUTE(Z17),SECOND(Z17))-T17</f>
        <v>#REF!</v>
      </c>
      <c r="AC17" s="24" t="e">
        <f>TIME(HOUR(AA17),MINUTE(AA17),SECOND(AA17))-T17</f>
        <v>#REF!</v>
      </c>
      <c r="AD17" s="39" t="e">
        <f>MIN(ABS(#REF!-AB17),ABS(#REF!-AC17))*1440*60</f>
        <v>#REF!</v>
      </c>
      <c r="AE17" s="132" t="e">
        <f>VLOOKUP(#REF!&amp;"[]",#REF!,MATCH(#REF!&amp;" "&amp;#REF!,#REF!,0),FALSE)</f>
        <v>#REF!</v>
      </c>
      <c r="AF17" s="132" t="e">
        <f>VLOOKUP(#REF!&amp;"а[]",#REF!,MATCH(#REF!&amp;" "&amp;#REF!,#REF!,0),FALSE)</f>
        <v>#REF!</v>
      </c>
      <c r="AG17" s="24" t="e">
        <f>MIN(AE17-Z17,AE17-AA17)</f>
        <v>#REF!</v>
      </c>
      <c r="AH17" s="24" t="e">
        <f>MIN(AF17-Z17,AF17-AA17)</f>
        <v>#REF!</v>
      </c>
      <c r="AI17" s="39" t="e">
        <f>MIN(ABS(#REF!-AG17),ABS(#REF!-AH17))*1440*60</f>
        <v>#REF!</v>
      </c>
      <c r="AJ17" s="23"/>
      <c r="AK17" s="36" t="e">
        <f>#REF!+#REF!</f>
        <v>#REF!</v>
      </c>
      <c r="AL17" s="132" t="e">
        <f>VLOOKUP(#REF!&amp;"[]",#REF!,MATCH(#REF!&amp;""&amp;#REF!,#REF!,0),FALSE)</f>
        <v>#REF!</v>
      </c>
      <c r="AM17" s="132" t="e">
        <f>VLOOKUP(#REF!&amp;"а[]",#REF!,MATCH(#REF!&amp;""&amp;#REF!,#REF!,0),FALSE)</f>
        <v>#REF!</v>
      </c>
      <c r="AN17" s="37"/>
      <c r="AO17" s="38" t="e">
        <f t="shared" si="60"/>
        <v>#REF!</v>
      </c>
      <c r="AP17" s="21" t="e">
        <f t="shared" si="61"/>
        <v>#REF!</v>
      </c>
      <c r="AQ17" s="22"/>
      <c r="AR17" s="44">
        <v>52.1</v>
      </c>
      <c r="AS17" s="46"/>
      <c r="AT17" s="45">
        <f t="shared" si="59"/>
        <v>52.1</v>
      </c>
      <c r="AU17" s="22"/>
      <c r="AV17" s="134" t="e">
        <f>#REF!+#REF!+#REF!+#REF!+#REF!+#REF!+#REF!+#REF!+#REF!+#REF!+#REF!+#REF!+#REF!+#REF!+#REF!+#REF!+#REF!+P17+#REF!+O17+M17+L17+I17+H17+#REF!+#REF!</f>
        <v>#REF!</v>
      </c>
    </row>
    <row r="18" spans="1:48" s="1" customFormat="1" ht="15" hidden="1" customHeight="1">
      <c r="A18" s="31">
        <f>Старт.вед.!B18</f>
        <v>0</v>
      </c>
      <c r="B18" s="20" t="str">
        <f>VLOOKUP(A18,'Уч-ки'!$B$8:$H$39,2,FALSE)</f>
        <v xml:space="preserve"> </v>
      </c>
      <c r="C18" s="36" t="e">
        <f>#REF!+$C$5</f>
        <v>#REF!</v>
      </c>
      <c r="D18" s="132"/>
      <c r="E18" s="132"/>
      <c r="F18" s="37"/>
      <c r="G18" s="38">
        <f t="shared" si="52"/>
        <v>0</v>
      </c>
      <c r="H18" s="21">
        <v>0</v>
      </c>
      <c r="I18" s="22"/>
      <c r="J18" s="44">
        <v>43.1</v>
      </c>
      <c r="K18" s="46"/>
      <c r="L18" s="45">
        <f t="shared" si="36"/>
        <v>43.1</v>
      </c>
      <c r="M18" s="22"/>
      <c r="N18" s="24" t="e">
        <f>TIME(HOUR(#REF!),MINUTE(#REF!),SECOND(#REF!))-#REF!</f>
        <v>#REF!</v>
      </c>
      <c r="O18" s="39" t="e">
        <f>MIN(ABS($N$5-#REF!),ABS($N$5-N18))*1440*60</f>
        <v>#REF!</v>
      </c>
      <c r="P18" s="23"/>
      <c r="Q18" s="132" t="e">
        <f>VLOOKUP(A18&amp;"[]",#REF!,MATCH(#REF!&amp;" "&amp;$Q$6,#REF!,0),FALSE)</f>
        <v>#REF!</v>
      </c>
      <c r="R18" s="132" t="e">
        <f>VLOOKUP(A18&amp;"а[]",#REF!,MATCH(#REF!&amp;" "&amp;$Q$6,#REF!,0),FALSE)</f>
        <v>#REF!</v>
      </c>
      <c r="S18" s="37" t="s">
        <v>72</v>
      </c>
      <c r="T18" s="38">
        <f t="shared" si="53"/>
        <v>0.52500000000000002</v>
      </c>
      <c r="U18" s="132" t="e">
        <f>VLOOKUP(#REF!&amp;"[]",#REF!,MATCH(#REF!&amp;" "&amp;#REF!,#REF!,0),FALSE)</f>
        <v>#REF!</v>
      </c>
      <c r="V18" s="132" t="e">
        <f>VLOOKUP(#REF!&amp;"а[]",#REF!,MATCH(#REF!&amp;" "&amp;#REF!,#REF!,0),FALSE)</f>
        <v>#REF!</v>
      </c>
      <c r="W18" s="24" t="e">
        <f>TIME(HOUR(U18),MINUTE(U18),SECOND(U18))-T18</f>
        <v>#REF!</v>
      </c>
      <c r="X18" s="24" t="e">
        <f>TIME(HOUR(V18),MINUTE(V18),SECOND(V18))-T18</f>
        <v>#REF!</v>
      </c>
      <c r="Y18" s="39" t="e">
        <f>MIN(ABS(#REF!-W18),ABS(#REF!-X18))*1440*60</f>
        <v>#REF!</v>
      </c>
      <c r="Z18" s="132" t="e">
        <f>VLOOKUP(#REF!&amp;"[]",#REF!,MATCH(#REF!&amp;" "&amp;#REF!,#REF!,0),FALSE)</f>
        <v>#REF!</v>
      </c>
      <c r="AA18" s="132" t="e">
        <f>VLOOKUP(#REF!&amp;"а[]",#REF!,MATCH(#REF!&amp;" "&amp;#REF!,#REF!,0),FALSE)</f>
        <v>#REF!</v>
      </c>
      <c r="AB18" s="24" t="e">
        <f>TIME(HOUR(Z18),MINUTE(Z18),SECOND(Z18))-T18</f>
        <v>#REF!</v>
      </c>
      <c r="AC18" s="24" t="e">
        <f>TIME(HOUR(AA18),MINUTE(AA18),SECOND(AA18))-T18</f>
        <v>#REF!</v>
      </c>
      <c r="AD18" s="39" t="e">
        <f>MIN(ABS(#REF!-AB18),ABS(#REF!-AC18))*1440*60</f>
        <v>#REF!</v>
      </c>
      <c r="AE18" s="132" t="e">
        <f>VLOOKUP(#REF!&amp;"[]",#REF!,MATCH(#REF!&amp;" "&amp;#REF!,#REF!,0),FALSE)</f>
        <v>#REF!</v>
      </c>
      <c r="AF18" s="132" t="e">
        <f>VLOOKUP(#REF!&amp;"а[]",#REF!,MATCH(#REF!&amp;" "&amp;#REF!,#REF!,0),FALSE)</f>
        <v>#REF!</v>
      </c>
      <c r="AG18" s="24" t="e">
        <f>MIN(AE18-Z18,AE18-AA18)</f>
        <v>#REF!</v>
      </c>
      <c r="AH18" s="24" t="e">
        <f>MIN(AF18-Z18,AF18-AA18)</f>
        <v>#REF!</v>
      </c>
      <c r="AI18" s="39" t="e">
        <f>MIN(ABS(#REF!-AG18),ABS(#REF!-AH18))*1440*60</f>
        <v>#REF!</v>
      </c>
      <c r="AJ18" s="23"/>
      <c r="AK18" s="36" t="e">
        <f>#REF!+#REF!</f>
        <v>#REF!</v>
      </c>
      <c r="AL18" s="132" t="e">
        <f>VLOOKUP(#REF!&amp;"[]",#REF!,MATCH(#REF!&amp;""&amp;#REF!,#REF!,0),FALSE)</f>
        <v>#REF!</v>
      </c>
      <c r="AM18" s="132" t="e">
        <f>VLOOKUP(#REF!&amp;"а[]",#REF!,MATCH(#REF!&amp;""&amp;#REF!,#REF!,0),FALSE)</f>
        <v>#REF!</v>
      </c>
      <c r="AN18" s="37"/>
      <c r="AO18" s="38" t="e">
        <f t="shared" si="60"/>
        <v>#REF!</v>
      </c>
      <c r="AP18" s="21" t="e">
        <f t="shared" si="61"/>
        <v>#REF!</v>
      </c>
      <c r="AQ18" s="22"/>
      <c r="AR18" s="44">
        <v>43.1</v>
      </c>
      <c r="AS18" s="46"/>
      <c r="AT18" s="45">
        <f t="shared" si="59"/>
        <v>43.1</v>
      </c>
      <c r="AU18" s="22"/>
      <c r="AV18" s="134" t="e">
        <f>#REF!+#REF!+#REF!+#REF!+#REF!+#REF!+#REF!+#REF!+#REF!+#REF!+#REF!+#REF!+#REF!+#REF!+#REF!+#REF!+#REF!+P18+#REF!+O18+M18+L18+I18+H18+#REF!+#REF!</f>
        <v>#REF!</v>
      </c>
    </row>
    <row r="19" spans="1:48" s="1" customFormat="1" ht="15" hidden="1" customHeight="1">
      <c r="A19" s="31">
        <f>Старт.вед.!B19</f>
        <v>0</v>
      </c>
      <c r="B19" s="20" t="str">
        <f>VLOOKUP(A19,'Уч-ки'!$B$8:$H$39,2,FALSE)</f>
        <v xml:space="preserve"> </v>
      </c>
      <c r="C19" s="36" t="e">
        <f>#REF!+$C$5</f>
        <v>#REF!</v>
      </c>
      <c r="D19" s="132"/>
      <c r="E19" s="132"/>
      <c r="F19" s="37"/>
      <c r="G19" s="38">
        <f t="shared" si="52"/>
        <v>0</v>
      </c>
      <c r="H19" s="21">
        <v>0</v>
      </c>
      <c r="I19" s="22"/>
      <c r="J19" s="44">
        <v>38</v>
      </c>
      <c r="K19" s="46"/>
      <c r="L19" s="45">
        <f t="shared" si="36"/>
        <v>38</v>
      </c>
      <c r="M19" s="22"/>
      <c r="N19" s="24" t="e">
        <f>TIME(HOUR(#REF!),MINUTE(#REF!),SECOND(#REF!))-#REF!</f>
        <v>#REF!</v>
      </c>
      <c r="O19" s="39" t="e">
        <f>MIN(ABS($N$5-#REF!),ABS($N$5-N19))*1440*60</f>
        <v>#REF!</v>
      </c>
      <c r="P19" s="23"/>
      <c r="Q19" s="132" t="e">
        <f>VLOOKUP(A19&amp;"[]",#REF!,MATCH(#REF!&amp;" "&amp;$Q$6,#REF!,0),FALSE)</f>
        <v>#REF!</v>
      </c>
      <c r="R19" s="132" t="e">
        <f>VLOOKUP(A19&amp;"а[]",#REF!,MATCH(#REF!&amp;" "&amp;$Q$6,#REF!,0),FALSE)</f>
        <v>#REF!</v>
      </c>
      <c r="S19" s="37" t="s">
        <v>54</v>
      </c>
      <c r="T19" s="38">
        <f t="shared" si="53"/>
        <v>0.52708333333333335</v>
      </c>
      <c r="U19" s="132" t="e">
        <f>VLOOKUP(#REF!&amp;"[]",#REF!,MATCH(#REF!&amp;" "&amp;#REF!,#REF!,0),FALSE)</f>
        <v>#REF!</v>
      </c>
      <c r="V19" s="132" t="e">
        <f>VLOOKUP(#REF!&amp;"а[]",#REF!,MATCH(#REF!&amp;" "&amp;#REF!,#REF!,0),FALSE)</f>
        <v>#REF!</v>
      </c>
      <c r="W19" s="24" t="e">
        <f>TIME(HOUR(U19),MINUTE(U19),SECOND(U19))-T19</f>
        <v>#REF!</v>
      </c>
      <c r="X19" s="24" t="e">
        <f>TIME(HOUR(V19),MINUTE(V19),SECOND(V19))-T19</f>
        <v>#REF!</v>
      </c>
      <c r="Y19" s="39" t="e">
        <f>MIN(ABS(#REF!-W19),ABS(#REF!-X19))*1440*60</f>
        <v>#REF!</v>
      </c>
      <c r="Z19" s="132" t="e">
        <f>VLOOKUP(#REF!&amp;"[]",#REF!,MATCH(#REF!&amp;" "&amp;#REF!,#REF!,0),FALSE)</f>
        <v>#REF!</v>
      </c>
      <c r="AA19" s="132" t="e">
        <f>VLOOKUP(#REF!&amp;"а[]",#REF!,MATCH(#REF!&amp;" "&amp;#REF!,#REF!,0),FALSE)</f>
        <v>#REF!</v>
      </c>
      <c r="AB19" s="24" t="e">
        <f>TIME(HOUR(Z19),MINUTE(Z19),SECOND(Z19))-T19</f>
        <v>#REF!</v>
      </c>
      <c r="AC19" s="24" t="e">
        <f>TIME(HOUR(AA19),MINUTE(AA19),SECOND(AA19))-T19</f>
        <v>#REF!</v>
      </c>
      <c r="AD19" s="39" t="e">
        <f>MIN(ABS(#REF!-AB19),ABS(#REF!-AC19))*1440*60</f>
        <v>#REF!</v>
      </c>
      <c r="AE19" s="132" t="e">
        <f>VLOOKUP(#REF!&amp;"[]",#REF!,MATCH(#REF!&amp;" "&amp;#REF!,#REF!,0),FALSE)</f>
        <v>#REF!</v>
      </c>
      <c r="AF19" s="132" t="e">
        <f>VLOOKUP(#REF!&amp;"а[]",#REF!,MATCH(#REF!&amp;" "&amp;#REF!,#REF!,0),FALSE)</f>
        <v>#REF!</v>
      </c>
      <c r="AG19" s="24" t="e">
        <f>MIN(AE19-Z19,AE19-AA19)</f>
        <v>#REF!</v>
      </c>
      <c r="AH19" s="24" t="e">
        <f>MIN(AF19-Z19,AF19-AA19)</f>
        <v>#REF!</v>
      </c>
      <c r="AI19" s="39" t="e">
        <f>MIN(ABS(#REF!-AG19),ABS(#REF!-AH19))*1440*60</f>
        <v>#REF!</v>
      </c>
      <c r="AJ19" s="23"/>
      <c r="AK19" s="36" t="e">
        <f>#REF!+#REF!</f>
        <v>#REF!</v>
      </c>
      <c r="AL19" s="132" t="e">
        <f>VLOOKUP(#REF!&amp;"[]",#REF!,MATCH(#REF!&amp;""&amp;#REF!,#REF!,0),FALSE)</f>
        <v>#REF!</v>
      </c>
      <c r="AM19" s="132" t="e">
        <f>VLOOKUP(#REF!&amp;"а[]",#REF!,MATCH(#REF!&amp;""&amp;#REF!,#REF!,0),FALSE)</f>
        <v>#REF!</v>
      </c>
      <c r="AN19" s="37"/>
      <c r="AO19" s="38" t="e">
        <f t="shared" si="60"/>
        <v>#REF!</v>
      </c>
      <c r="AP19" s="21" t="e">
        <f t="shared" si="61"/>
        <v>#REF!</v>
      </c>
      <c r="AQ19" s="22"/>
      <c r="AR19" s="44">
        <v>38</v>
      </c>
      <c r="AS19" s="46"/>
      <c r="AT19" s="45">
        <f t="shared" si="59"/>
        <v>38</v>
      </c>
      <c r="AU19" s="22"/>
      <c r="AV19" s="134" t="e">
        <f>#REF!+#REF!+#REF!+#REF!+#REF!+#REF!+#REF!+#REF!+#REF!+#REF!+#REF!+#REF!+#REF!+#REF!+#REF!+#REF!+#REF!+P19+#REF!+O19+M19+L19+I19+H19+#REF!+#REF!</f>
        <v>#REF!</v>
      </c>
    </row>
    <row r="20" spans="1:48" s="1" customFormat="1" ht="15" hidden="1" customHeight="1">
      <c r="A20" s="31">
        <f>Старт.вед.!B20</f>
        <v>0</v>
      </c>
      <c r="B20" s="20" t="str">
        <f>VLOOKUP(A20,'Уч-ки'!$B$8:$H$39,2,FALSE)</f>
        <v xml:space="preserve"> </v>
      </c>
      <c r="C20" s="36" t="e">
        <f>#REF!+$C$5</f>
        <v>#REF!</v>
      </c>
      <c r="D20" s="132"/>
      <c r="E20" s="132"/>
      <c r="F20" s="37"/>
      <c r="G20" s="38">
        <f t="shared" si="52"/>
        <v>0</v>
      </c>
      <c r="H20" s="21">
        <v>0</v>
      </c>
      <c r="I20" s="22"/>
      <c r="J20" s="44">
        <v>51.4</v>
      </c>
      <c r="K20" s="46"/>
      <c r="L20" s="45">
        <f t="shared" si="36"/>
        <v>51.4</v>
      </c>
      <c r="M20" s="22"/>
      <c r="N20" s="24" t="e">
        <f>TIME(HOUR(#REF!),MINUTE(#REF!),SECOND(#REF!))-#REF!</f>
        <v>#REF!</v>
      </c>
      <c r="O20" s="39" t="e">
        <f>MIN(ABS($N$5-#REF!),ABS($N$5-N20))*1440*60</f>
        <v>#REF!</v>
      </c>
      <c r="P20" s="23"/>
      <c r="Q20" s="132" t="e">
        <f>VLOOKUP(A20&amp;"[]",#REF!,MATCH(#REF!&amp;" "&amp;$Q$6,#REF!,0),FALSE)</f>
        <v>#REF!</v>
      </c>
      <c r="R20" s="132" t="e">
        <f>VLOOKUP(A20&amp;"а[]",#REF!,MATCH(#REF!&amp;" "&amp;$Q$6,#REF!,0),FALSE)</f>
        <v>#REF!</v>
      </c>
      <c r="S20" s="37" t="s">
        <v>56</v>
      </c>
      <c r="T20" s="38">
        <f t="shared" si="53"/>
        <v>0.52847222222222223</v>
      </c>
      <c r="U20" s="132" t="e">
        <f>VLOOKUP(#REF!&amp;"[]",#REF!,MATCH(#REF!&amp;" "&amp;#REF!,#REF!,0),FALSE)</f>
        <v>#REF!</v>
      </c>
      <c r="V20" s="132" t="e">
        <f>VLOOKUP(#REF!&amp;"а[]",#REF!,MATCH(#REF!&amp;" "&amp;#REF!,#REF!,0),FALSE)</f>
        <v>#REF!</v>
      </c>
      <c r="W20" s="24" t="e">
        <f>TIME(HOUR(U20),MINUTE(U20),SECOND(U20))-T20</f>
        <v>#REF!</v>
      </c>
      <c r="X20" s="24" t="e">
        <f>TIME(HOUR(V20),MINUTE(V20),SECOND(V20))-T20</f>
        <v>#REF!</v>
      </c>
      <c r="Y20" s="39" t="e">
        <f>MIN(ABS(#REF!-W20),ABS(#REF!-X20))*1440*60</f>
        <v>#REF!</v>
      </c>
      <c r="Z20" s="132" t="e">
        <f>VLOOKUP(#REF!&amp;"[]",#REF!,MATCH(#REF!&amp;" "&amp;#REF!,#REF!,0),FALSE)</f>
        <v>#REF!</v>
      </c>
      <c r="AA20" s="132" t="e">
        <f>VLOOKUP(#REF!&amp;"а[]",#REF!,MATCH(#REF!&amp;" "&amp;#REF!,#REF!,0),FALSE)</f>
        <v>#REF!</v>
      </c>
      <c r="AB20" s="24" t="e">
        <f>TIME(HOUR(Z20),MINUTE(Z20),SECOND(Z20))-T20</f>
        <v>#REF!</v>
      </c>
      <c r="AC20" s="24" t="e">
        <f>TIME(HOUR(AA20),MINUTE(AA20),SECOND(AA20))-T20</f>
        <v>#REF!</v>
      </c>
      <c r="AD20" s="39" t="e">
        <f>MIN(ABS(#REF!-AB20),ABS(#REF!-AC20))*1440*60</f>
        <v>#REF!</v>
      </c>
      <c r="AE20" s="132" t="e">
        <f>VLOOKUP(#REF!&amp;"[]",#REF!,MATCH(#REF!&amp;" "&amp;#REF!,#REF!,0),FALSE)</f>
        <v>#REF!</v>
      </c>
      <c r="AF20" s="132" t="e">
        <f>VLOOKUP(#REF!&amp;"а[]",#REF!,MATCH(#REF!&amp;" "&amp;#REF!,#REF!,0),FALSE)</f>
        <v>#REF!</v>
      </c>
      <c r="AG20" s="24" t="e">
        <f>MIN(AE20-Z20,AE20-AA20)</f>
        <v>#REF!</v>
      </c>
      <c r="AH20" s="24" t="e">
        <f>MIN(AF20-Z20,AF20-AA20)</f>
        <v>#REF!</v>
      </c>
      <c r="AI20" s="39" t="e">
        <f>MIN(ABS(#REF!-AG20),ABS(#REF!-AH20))*1440*60</f>
        <v>#REF!</v>
      </c>
      <c r="AJ20" s="23"/>
      <c r="AK20" s="36" t="e">
        <f>#REF!+#REF!</f>
        <v>#REF!</v>
      </c>
      <c r="AL20" s="132" t="e">
        <f>VLOOKUP(#REF!&amp;"[]",#REF!,MATCH(#REF!&amp;""&amp;#REF!,#REF!,0),FALSE)</f>
        <v>#REF!</v>
      </c>
      <c r="AM20" s="132" t="e">
        <f>VLOOKUP(#REF!&amp;"а[]",#REF!,MATCH(#REF!&amp;""&amp;#REF!,#REF!,0),FALSE)</f>
        <v>#REF!</v>
      </c>
      <c r="AN20" s="37"/>
      <c r="AO20" s="38" t="e">
        <f t="shared" si="60"/>
        <v>#REF!</v>
      </c>
      <c r="AP20" s="21" t="e">
        <f t="shared" si="61"/>
        <v>#REF!</v>
      </c>
      <c r="AQ20" s="22"/>
      <c r="AR20" s="44">
        <v>51.4</v>
      </c>
      <c r="AS20" s="46"/>
      <c r="AT20" s="45">
        <f t="shared" si="59"/>
        <v>51.4</v>
      </c>
      <c r="AU20" s="22"/>
      <c r="AV20" s="134" t="e">
        <f>#REF!+#REF!+#REF!+#REF!+#REF!+#REF!+#REF!+#REF!+#REF!+#REF!+#REF!+#REF!+#REF!+#REF!+#REF!+#REF!+#REF!+P20+#REF!+O20+M20+L20+I20+H20+#REF!+#REF!</f>
        <v>#REF!</v>
      </c>
    </row>
    <row r="21" spans="1:48" s="1" customFormat="1" ht="15" hidden="1" customHeight="1">
      <c r="A21" s="31">
        <f>Старт.вед.!B21</f>
        <v>0</v>
      </c>
      <c r="B21" s="20" t="str">
        <f>VLOOKUP(A21,'Уч-ки'!$B$8:$H$39,2,FALSE)</f>
        <v xml:space="preserve"> </v>
      </c>
      <c r="C21" s="36" t="e">
        <f>#REF!+$C$5</f>
        <v>#REF!</v>
      </c>
      <c r="D21" s="132"/>
      <c r="E21" s="132"/>
      <c r="F21" s="37"/>
      <c r="G21" s="38">
        <f t="shared" si="52"/>
        <v>0</v>
      </c>
      <c r="H21" s="21">
        <v>0</v>
      </c>
      <c r="I21" s="22"/>
      <c r="J21" s="44">
        <v>41.5</v>
      </c>
      <c r="K21" s="46"/>
      <c r="L21" s="45">
        <f t="shared" si="36"/>
        <v>41.5</v>
      </c>
      <c r="M21" s="22"/>
      <c r="N21" s="24" t="e">
        <f>TIME(HOUR(#REF!),MINUTE(#REF!),SECOND(#REF!))-#REF!</f>
        <v>#REF!</v>
      </c>
      <c r="O21" s="39" t="e">
        <f>MIN(ABS($N$5-#REF!),ABS($N$5-N21))*1440*60</f>
        <v>#REF!</v>
      </c>
      <c r="P21" s="23"/>
      <c r="Q21" s="132" t="e">
        <f>VLOOKUP(A21&amp;"[]",#REF!,MATCH(#REF!&amp;" "&amp;$Q$6,#REF!,0),FALSE)</f>
        <v>#REF!</v>
      </c>
      <c r="R21" s="132" t="e">
        <f>VLOOKUP(A21&amp;"а[]",#REF!,MATCH(#REF!&amp;" "&amp;$Q$6,#REF!,0),FALSE)</f>
        <v>#REF!</v>
      </c>
      <c r="S21" s="37" t="s">
        <v>73</v>
      </c>
      <c r="T21" s="38">
        <f t="shared" si="53"/>
        <v>0.52361111111111114</v>
      </c>
      <c r="U21" s="132" t="e">
        <f>VLOOKUP(#REF!&amp;"[]",#REF!,MATCH(#REF!&amp;" "&amp;#REF!,#REF!,0),FALSE)</f>
        <v>#REF!</v>
      </c>
      <c r="V21" s="132" t="e">
        <f>VLOOKUP(#REF!&amp;"а[]",#REF!,MATCH(#REF!&amp;" "&amp;#REF!,#REF!,0),FALSE)</f>
        <v>#REF!</v>
      </c>
      <c r="W21" s="24" t="e">
        <f>TIME(HOUR(U21),MINUTE(U21),SECOND(U21))-T21</f>
        <v>#REF!</v>
      </c>
      <c r="X21" s="24" t="e">
        <f>TIME(HOUR(V21),MINUTE(V21),SECOND(V21))-T21</f>
        <v>#REF!</v>
      </c>
      <c r="Y21" s="39" t="e">
        <f>MIN(ABS(#REF!-W21),ABS(#REF!-X21))*1440*60</f>
        <v>#REF!</v>
      </c>
      <c r="Z21" s="132" t="e">
        <f>VLOOKUP(#REF!&amp;"[]",#REF!,MATCH(#REF!&amp;" "&amp;#REF!,#REF!,0),FALSE)</f>
        <v>#REF!</v>
      </c>
      <c r="AA21" s="132" t="e">
        <f>VLOOKUP(#REF!&amp;"а[]",#REF!,MATCH(#REF!&amp;" "&amp;#REF!,#REF!,0),FALSE)</f>
        <v>#REF!</v>
      </c>
      <c r="AB21" s="24" t="e">
        <f>TIME(HOUR(Z21),MINUTE(Z21),SECOND(Z21))-T21</f>
        <v>#REF!</v>
      </c>
      <c r="AC21" s="24" t="e">
        <f>TIME(HOUR(AA21),MINUTE(AA21),SECOND(AA21))-T21</f>
        <v>#REF!</v>
      </c>
      <c r="AD21" s="39" t="e">
        <f>MIN(ABS(#REF!-AB21),ABS(#REF!-AC21))*1440*60</f>
        <v>#REF!</v>
      </c>
      <c r="AE21" s="132" t="e">
        <f>VLOOKUP(#REF!&amp;"[]",#REF!,MATCH(#REF!&amp;" "&amp;#REF!,#REF!,0),FALSE)</f>
        <v>#REF!</v>
      </c>
      <c r="AF21" s="132" t="e">
        <f>VLOOKUP(#REF!&amp;"а[]",#REF!,MATCH(#REF!&amp;" "&amp;#REF!,#REF!,0),FALSE)</f>
        <v>#REF!</v>
      </c>
      <c r="AG21" s="24" t="e">
        <f>MIN(AE21-Z21,AE21-AA21)</f>
        <v>#REF!</v>
      </c>
      <c r="AH21" s="24" t="e">
        <f>MIN(AF21-Z21,AF21-AA21)</f>
        <v>#REF!</v>
      </c>
      <c r="AI21" s="39" t="e">
        <f>MIN(ABS(#REF!-AG21),ABS(#REF!-AH21))*1440*60</f>
        <v>#REF!</v>
      </c>
      <c r="AJ21" s="23"/>
      <c r="AK21" s="36" t="e">
        <f>#REF!+#REF!</f>
        <v>#REF!</v>
      </c>
      <c r="AL21" s="132" t="e">
        <f>VLOOKUP(#REF!&amp;"[]",#REF!,MATCH(#REF!&amp;""&amp;#REF!,#REF!,0),FALSE)</f>
        <v>#REF!</v>
      </c>
      <c r="AM21" s="132" t="e">
        <f>VLOOKUP(#REF!&amp;"а[]",#REF!,MATCH(#REF!&amp;""&amp;#REF!,#REF!,0),FALSE)</f>
        <v>#REF!</v>
      </c>
      <c r="AN21" s="37" t="s">
        <v>79</v>
      </c>
      <c r="AO21" s="38">
        <f t="shared" si="60"/>
        <v>0.53333333333333333</v>
      </c>
      <c r="AP21" s="21" t="e">
        <f t="shared" si="61"/>
        <v>#REF!</v>
      </c>
      <c r="AQ21" s="22"/>
      <c r="AR21" s="44">
        <v>41.5</v>
      </c>
      <c r="AS21" s="46"/>
      <c r="AT21" s="45">
        <f t="shared" si="59"/>
        <v>41.5</v>
      </c>
      <c r="AU21" s="22"/>
      <c r="AV21" s="134" t="e">
        <f>#REF!+#REF!+#REF!+#REF!+#REF!+#REF!+#REF!+#REF!+#REF!+#REF!+#REF!+#REF!+#REF!+#REF!+#REF!+#REF!+#REF!+P21+#REF!+O21+M21+L21+I21+H21+#REF!+#REF!</f>
        <v>#REF!</v>
      </c>
    </row>
    <row r="22" spans="1:48" s="1" customFormat="1" ht="15" hidden="1" customHeight="1">
      <c r="A22" s="31">
        <f>Старт.вед.!B22</f>
        <v>0</v>
      </c>
      <c r="B22" s="20" t="str">
        <f>VLOOKUP(A22,'Уч-ки'!$B$8:$H$39,2,FALSE)</f>
        <v xml:space="preserve"> </v>
      </c>
      <c r="C22" s="36" t="e">
        <f>#REF!+$C$5</f>
        <v>#REF!</v>
      </c>
      <c r="D22" s="132"/>
      <c r="E22" s="132"/>
      <c r="F22" s="37"/>
      <c r="G22" s="38">
        <f t="shared" si="52"/>
        <v>0</v>
      </c>
      <c r="H22" s="21">
        <v>0</v>
      </c>
      <c r="I22" s="22"/>
      <c r="J22" s="44">
        <v>44.5</v>
      </c>
      <c r="K22" s="46"/>
      <c r="L22" s="45">
        <f t="shared" si="36"/>
        <v>44.5</v>
      </c>
      <c r="M22" s="22"/>
      <c r="N22" s="24" t="e">
        <f>TIME(HOUR(#REF!),MINUTE(#REF!),SECOND(#REF!))-#REF!</f>
        <v>#REF!</v>
      </c>
      <c r="O22" s="39" t="e">
        <f>MIN(ABS($N$5-#REF!),ABS($N$5-N22))*1440*60</f>
        <v>#REF!</v>
      </c>
      <c r="P22" s="23"/>
      <c r="Q22" s="132" t="e">
        <f>VLOOKUP(A22&amp;"[]",#REF!,MATCH(#REF!&amp;" "&amp;$Q$6,#REF!,0),FALSE)</f>
        <v>#REF!</v>
      </c>
      <c r="R22" s="132" t="e">
        <f>VLOOKUP(A22&amp;"а[]",#REF!,MATCH(#REF!&amp;" "&amp;$Q$6,#REF!,0),FALSE)</f>
        <v>#REF!</v>
      </c>
      <c r="S22" s="37" t="s">
        <v>74</v>
      </c>
      <c r="T22" s="38">
        <f t="shared" si="53"/>
        <v>0.52569444444444446</v>
      </c>
      <c r="U22" s="132" t="e">
        <f>VLOOKUP(#REF!&amp;"[]",#REF!,MATCH(#REF!&amp;" "&amp;#REF!,#REF!,0),FALSE)</f>
        <v>#REF!</v>
      </c>
      <c r="V22" s="132" t="e">
        <f>VLOOKUP(#REF!&amp;"а[]",#REF!,MATCH(#REF!&amp;" "&amp;#REF!,#REF!,0),FALSE)</f>
        <v>#REF!</v>
      </c>
      <c r="W22" s="24" t="e">
        <f>TIME(HOUR(U22),MINUTE(U22),SECOND(U22))-T22</f>
        <v>#REF!</v>
      </c>
      <c r="X22" s="24" t="e">
        <f>TIME(HOUR(V22),MINUTE(V22),SECOND(V22))-T22</f>
        <v>#REF!</v>
      </c>
      <c r="Y22" s="39" t="e">
        <f>MIN(ABS(#REF!-W22),ABS(#REF!-X22))*1440*60</f>
        <v>#REF!</v>
      </c>
      <c r="Z22" s="132" t="e">
        <f>VLOOKUP(#REF!&amp;"[]",#REF!,MATCH(#REF!&amp;" "&amp;#REF!,#REF!,0),FALSE)</f>
        <v>#REF!</v>
      </c>
      <c r="AA22" s="132" t="e">
        <f>VLOOKUP(#REF!&amp;"а[]",#REF!,MATCH(#REF!&amp;" "&amp;#REF!,#REF!,0),FALSE)</f>
        <v>#REF!</v>
      </c>
      <c r="AB22" s="24" t="e">
        <f>TIME(HOUR(Z22),MINUTE(Z22),SECOND(Z22))-T22</f>
        <v>#REF!</v>
      </c>
      <c r="AC22" s="24" t="e">
        <f>TIME(HOUR(AA22),MINUTE(AA22),SECOND(AA22))-T22</f>
        <v>#REF!</v>
      </c>
      <c r="AD22" s="39" t="e">
        <f>MIN(ABS(#REF!-AB22),ABS(#REF!-AC22))*1440*60</f>
        <v>#REF!</v>
      </c>
      <c r="AE22" s="132" t="e">
        <f>VLOOKUP(#REF!&amp;"[]",#REF!,MATCH(#REF!&amp;" "&amp;#REF!,#REF!,0),FALSE)</f>
        <v>#REF!</v>
      </c>
      <c r="AF22" s="132" t="e">
        <f>VLOOKUP(#REF!&amp;"а[]",#REF!,MATCH(#REF!&amp;" "&amp;#REF!,#REF!,0),FALSE)</f>
        <v>#REF!</v>
      </c>
      <c r="AG22" s="24" t="e">
        <f>MIN(AE22-Z22,AE22-AA22)</f>
        <v>#REF!</v>
      </c>
      <c r="AH22" s="24" t="e">
        <f>MIN(AF22-Z22,AF22-AA22)</f>
        <v>#REF!</v>
      </c>
      <c r="AI22" s="39" t="e">
        <f>MIN(ABS(#REF!-AG22),ABS(#REF!-AH22))*1440*60</f>
        <v>#REF!</v>
      </c>
      <c r="AJ22" s="23"/>
      <c r="AK22" s="36" t="e">
        <f>#REF!+#REF!</f>
        <v>#REF!</v>
      </c>
      <c r="AL22" s="132" t="e">
        <f>VLOOKUP(#REF!&amp;"[]",#REF!,MATCH(#REF!&amp;""&amp;#REF!,#REF!,0),FALSE)</f>
        <v>#REF!</v>
      </c>
      <c r="AM22" s="132" t="e">
        <f>VLOOKUP(#REF!&amp;"а[]",#REF!,MATCH(#REF!&amp;""&amp;#REF!,#REF!,0),FALSE)</f>
        <v>#REF!</v>
      </c>
      <c r="AN22" s="37"/>
      <c r="AO22" s="38" t="e">
        <f t="shared" si="60"/>
        <v>#REF!</v>
      </c>
      <c r="AP22" s="21" t="e">
        <f t="shared" si="61"/>
        <v>#REF!</v>
      </c>
      <c r="AQ22" s="22"/>
      <c r="AR22" s="44">
        <v>44.5</v>
      </c>
      <c r="AS22" s="46"/>
      <c r="AT22" s="45">
        <f t="shared" si="59"/>
        <v>44.5</v>
      </c>
      <c r="AU22" s="22"/>
      <c r="AV22" s="134" t="e">
        <f>#REF!+#REF!+#REF!+#REF!+#REF!+#REF!+#REF!+#REF!+#REF!+#REF!+#REF!+#REF!+#REF!+#REF!+#REF!+#REF!+#REF!+P22+#REF!+O22+M22+L22+I22+H22+#REF!+#REF!</f>
        <v>#REF!</v>
      </c>
    </row>
    <row r="23" spans="1:48" s="1" customFormat="1" ht="15" hidden="1" customHeight="1">
      <c r="A23" s="31">
        <f>Старт.вед.!B23</f>
        <v>0</v>
      </c>
      <c r="B23" s="20" t="str">
        <f>VLOOKUP(A23,'Уч-ки'!$B$8:$H$39,2,FALSE)</f>
        <v xml:space="preserve"> </v>
      </c>
      <c r="C23" s="36" t="e">
        <f>#REF!+$C$5</f>
        <v>#REF!</v>
      </c>
      <c r="D23" s="132"/>
      <c r="E23" s="132"/>
      <c r="F23" s="37"/>
      <c r="G23" s="38">
        <f t="shared" si="52"/>
        <v>0</v>
      </c>
      <c r="H23" s="21">
        <v>0</v>
      </c>
      <c r="I23" s="22"/>
      <c r="J23" s="44">
        <v>71.5</v>
      </c>
      <c r="K23" s="46"/>
      <c r="L23" s="45">
        <f t="shared" si="36"/>
        <v>71.5</v>
      </c>
      <c r="M23" s="22"/>
      <c r="N23" s="24" t="e">
        <f>TIME(HOUR(#REF!),MINUTE(#REF!),SECOND(#REF!))-#REF!</f>
        <v>#REF!</v>
      </c>
      <c r="O23" s="39" t="e">
        <f>MIN(ABS($N$5-#REF!),ABS($N$5-N23))*1440*60</f>
        <v>#REF!</v>
      </c>
      <c r="P23" s="23"/>
      <c r="Q23" s="132" t="e">
        <f>VLOOKUP(A23&amp;"[]",#REF!,MATCH(#REF!&amp;" "&amp;$Q$6,#REF!,0),FALSE)</f>
        <v>#REF!</v>
      </c>
      <c r="R23" s="132" t="e">
        <f>VLOOKUP(A23&amp;"а[]",#REF!,MATCH(#REF!&amp;" "&amp;$Q$6,#REF!,0),FALSE)</f>
        <v>#REF!</v>
      </c>
      <c r="S23" s="158" t="s">
        <v>75</v>
      </c>
      <c r="T23" s="38">
        <f t="shared" si="53"/>
        <v>0.53402777777777777</v>
      </c>
      <c r="U23" s="132" t="e">
        <f>VLOOKUP(#REF!&amp;"[]",#REF!,MATCH(#REF!&amp;" "&amp;#REF!,#REF!,0),FALSE)</f>
        <v>#REF!</v>
      </c>
      <c r="V23" s="132" t="e">
        <f>VLOOKUP(#REF!&amp;"а[]",#REF!,MATCH(#REF!&amp;" "&amp;#REF!,#REF!,0),FALSE)</f>
        <v>#REF!</v>
      </c>
      <c r="W23" s="24" t="e">
        <f>TIME(HOUR(U23),MINUTE(U23),SECOND(U23))-T23</f>
        <v>#REF!</v>
      </c>
      <c r="X23" s="24" t="e">
        <f>TIME(HOUR(V23),MINUTE(V23),SECOND(V23))-T23</f>
        <v>#REF!</v>
      </c>
      <c r="Y23" s="39" t="e">
        <f>MIN(ABS(#REF!-W23),ABS(#REF!-X23))*1440*60</f>
        <v>#REF!</v>
      </c>
      <c r="Z23" s="132" t="e">
        <f>VLOOKUP(#REF!&amp;"[]",#REF!,MATCH(#REF!&amp;" "&amp;#REF!,#REF!,0),FALSE)</f>
        <v>#REF!</v>
      </c>
      <c r="AA23" s="132" t="e">
        <f>VLOOKUP(#REF!&amp;"а[]",#REF!,MATCH(#REF!&amp;" "&amp;#REF!,#REF!,0),FALSE)</f>
        <v>#REF!</v>
      </c>
      <c r="AB23" s="24" t="e">
        <f>TIME(HOUR(Z23),MINUTE(Z23),SECOND(Z23))-T23</f>
        <v>#REF!</v>
      </c>
      <c r="AC23" s="24" t="e">
        <f>TIME(HOUR(AA23),MINUTE(AA23),SECOND(AA23))-T23</f>
        <v>#REF!</v>
      </c>
      <c r="AD23" s="39" t="e">
        <f>MIN(ABS(#REF!-AB23),ABS(#REF!-AC23))*1440*60</f>
        <v>#REF!</v>
      </c>
      <c r="AE23" s="132" t="e">
        <f>VLOOKUP(#REF!&amp;"[]",#REF!,MATCH(#REF!&amp;" "&amp;#REF!,#REF!,0),FALSE)</f>
        <v>#REF!</v>
      </c>
      <c r="AF23" s="132" t="e">
        <f>VLOOKUP(#REF!&amp;"а[]",#REF!,MATCH(#REF!&amp;" "&amp;#REF!,#REF!,0),FALSE)</f>
        <v>#REF!</v>
      </c>
      <c r="AG23" s="24" t="e">
        <f>MIN(AE23-Z23,AE23-AA23)</f>
        <v>#REF!</v>
      </c>
      <c r="AH23" s="24" t="e">
        <f>MIN(AF23-Z23,AF23-AA23)</f>
        <v>#REF!</v>
      </c>
      <c r="AI23" s="39" t="e">
        <f>MIN(ABS(#REF!-AG23),ABS(#REF!-AH23))*1440*60</f>
        <v>#REF!</v>
      </c>
      <c r="AJ23" s="23"/>
      <c r="AK23" s="36" t="e">
        <f>#REF!+#REF!</f>
        <v>#REF!</v>
      </c>
      <c r="AL23" s="132" t="e">
        <f>VLOOKUP(#REF!&amp;"[]",#REF!,MATCH(#REF!&amp;""&amp;#REF!,#REF!,0),FALSE)</f>
        <v>#REF!</v>
      </c>
      <c r="AM23" s="132" t="e">
        <f>VLOOKUP(#REF!&amp;"а[]",#REF!,MATCH(#REF!&amp;""&amp;#REF!,#REF!,0),FALSE)</f>
        <v>#REF!</v>
      </c>
      <c r="AN23" s="37"/>
      <c r="AO23" s="38" t="e">
        <f t="shared" si="60"/>
        <v>#REF!</v>
      </c>
      <c r="AP23" s="21" t="e">
        <f t="shared" si="61"/>
        <v>#REF!</v>
      </c>
      <c r="AQ23" s="22"/>
      <c r="AR23" s="44">
        <v>71.5</v>
      </c>
      <c r="AS23" s="46"/>
      <c r="AT23" s="45">
        <f t="shared" si="59"/>
        <v>71.5</v>
      </c>
      <c r="AU23" s="22"/>
      <c r="AV23" s="134" t="s">
        <v>78</v>
      </c>
    </row>
    <row r="24" spans="1:48" s="1" customFormat="1" ht="15" hidden="1" customHeight="1">
      <c r="A24" s="31">
        <f>Старт.вед.!B24</f>
        <v>0</v>
      </c>
      <c r="B24" s="20" t="str">
        <f>VLOOKUP(A24,'Уч-ки'!$B$8:$H$39,2,FALSE)</f>
        <v xml:space="preserve"> </v>
      </c>
      <c r="C24" s="36" t="e">
        <f>#REF!+$C$5</f>
        <v>#REF!</v>
      </c>
      <c r="D24" s="132"/>
      <c r="E24" s="132"/>
      <c r="F24" s="37"/>
      <c r="G24" s="38">
        <f t="shared" si="52"/>
        <v>0</v>
      </c>
      <c r="H24" s="21">
        <v>0</v>
      </c>
      <c r="I24" s="22"/>
      <c r="J24" s="44">
        <v>41.4</v>
      </c>
      <c r="K24" s="46"/>
      <c r="L24" s="45">
        <f t="shared" si="36"/>
        <v>41.4</v>
      </c>
      <c r="M24" s="22"/>
      <c r="N24" s="24" t="e">
        <f>TIME(HOUR(#REF!),MINUTE(#REF!),SECOND(#REF!))-#REF!</f>
        <v>#REF!</v>
      </c>
      <c r="O24" s="39" t="e">
        <f>MIN(ABS($N$5-#REF!),ABS($N$5-N24))*1440*60</f>
        <v>#REF!</v>
      </c>
      <c r="P24" s="23"/>
      <c r="Q24" s="132" t="e">
        <f>VLOOKUP(A24&amp;"[]",#REF!,MATCH(#REF!&amp;" "&amp;$Q$6,#REF!,0),FALSE)</f>
        <v>#REF!</v>
      </c>
      <c r="R24" s="132" t="e">
        <f>VLOOKUP(A24&amp;"а[]",#REF!,MATCH(#REF!&amp;" "&amp;$Q$6,#REF!,0),FALSE)</f>
        <v>#REF!</v>
      </c>
      <c r="S24" s="37" t="s">
        <v>76</v>
      </c>
      <c r="T24" s="38">
        <f t="shared" si="53"/>
        <v>0.53263888888888888</v>
      </c>
      <c r="U24" s="132" t="e">
        <f>VLOOKUP(#REF!&amp;"[]",#REF!,MATCH(#REF!&amp;" "&amp;#REF!,#REF!,0),FALSE)</f>
        <v>#REF!</v>
      </c>
      <c r="V24" s="132" t="e">
        <f>VLOOKUP(#REF!&amp;"а[]",#REF!,MATCH(#REF!&amp;" "&amp;#REF!,#REF!,0),FALSE)</f>
        <v>#REF!</v>
      </c>
      <c r="W24" s="24" t="e">
        <f>TIME(HOUR(U24),MINUTE(U24),SECOND(U24))-T24</f>
        <v>#REF!</v>
      </c>
      <c r="X24" s="24" t="e">
        <f>TIME(HOUR(V24),MINUTE(V24),SECOND(V24))-T24</f>
        <v>#REF!</v>
      </c>
      <c r="Y24" s="39" t="e">
        <f>MIN(ABS(#REF!-W24),ABS(#REF!-X24))*1440*60</f>
        <v>#REF!</v>
      </c>
      <c r="Z24" s="132" t="e">
        <f>VLOOKUP(#REF!&amp;"[]",#REF!,MATCH(#REF!&amp;" "&amp;#REF!,#REF!,0),FALSE)</f>
        <v>#REF!</v>
      </c>
      <c r="AA24" s="132" t="e">
        <f>VLOOKUP(#REF!&amp;"а[]",#REF!,MATCH(#REF!&amp;" "&amp;#REF!,#REF!,0),FALSE)</f>
        <v>#REF!</v>
      </c>
      <c r="AB24" s="24" t="e">
        <f>TIME(HOUR(Z24),MINUTE(Z24),SECOND(Z24))-T24</f>
        <v>#REF!</v>
      </c>
      <c r="AC24" s="24" t="e">
        <f>TIME(HOUR(AA24),MINUTE(AA24),SECOND(AA24))-T24</f>
        <v>#REF!</v>
      </c>
      <c r="AD24" s="39" t="e">
        <f>MIN(ABS(#REF!-AB24),ABS(#REF!-AC24))*1440*60</f>
        <v>#REF!</v>
      </c>
      <c r="AE24" s="132" t="e">
        <f>VLOOKUP(#REF!&amp;"[]",#REF!,MATCH(#REF!&amp;" "&amp;#REF!,#REF!,0),FALSE)</f>
        <v>#REF!</v>
      </c>
      <c r="AF24" s="132" t="e">
        <f>VLOOKUP(#REF!&amp;"а[]",#REF!,MATCH(#REF!&amp;" "&amp;#REF!,#REF!,0),FALSE)</f>
        <v>#REF!</v>
      </c>
      <c r="AG24" s="24" t="e">
        <f>MIN(AE24-Z24,AE24-AA24)</f>
        <v>#REF!</v>
      </c>
      <c r="AH24" s="24" t="e">
        <f>MIN(AF24-Z24,AF24-AA24)</f>
        <v>#REF!</v>
      </c>
      <c r="AI24" s="39" t="e">
        <f>MIN(ABS(#REF!-AG24),ABS(#REF!-AH24))*1440*60</f>
        <v>#REF!</v>
      </c>
      <c r="AJ24" s="23"/>
      <c r="AK24" s="36" t="e">
        <f>#REF!+#REF!</f>
        <v>#REF!</v>
      </c>
      <c r="AL24" s="132" t="e">
        <f>VLOOKUP(#REF!&amp;"[]",#REF!,MATCH(#REF!&amp;""&amp;#REF!,#REF!,0),FALSE)</f>
        <v>#REF!</v>
      </c>
      <c r="AM24" s="132" t="e">
        <f>VLOOKUP(#REF!&amp;"а[]",#REF!,MATCH(#REF!&amp;""&amp;#REF!,#REF!,0),FALSE)</f>
        <v>#REF!</v>
      </c>
      <c r="AN24" s="37"/>
      <c r="AO24" s="38" t="e">
        <f t="shared" si="60"/>
        <v>#REF!</v>
      </c>
      <c r="AP24" s="21" t="e">
        <f t="shared" si="61"/>
        <v>#REF!</v>
      </c>
      <c r="AQ24" s="22"/>
      <c r="AR24" s="44">
        <v>41.4</v>
      </c>
      <c r="AS24" s="46"/>
      <c r="AT24" s="45">
        <f t="shared" si="59"/>
        <v>41.4</v>
      </c>
      <c r="AU24" s="22"/>
      <c r="AV24" s="134" t="e">
        <f>#REF!+#REF!+#REF!+#REF!+#REF!+#REF!+#REF!+#REF!+#REF!+#REF!+#REF!+#REF!+#REF!+#REF!+#REF!+#REF!+#REF!+P24+#REF!+O24+M24+L24+I24+H24+#REF!+#REF!</f>
        <v>#REF!</v>
      </c>
    </row>
    <row r="25" spans="1:48" s="1" customFormat="1" ht="15" hidden="1" customHeight="1">
      <c r="A25" s="31">
        <f>Старт.вед.!B25</f>
        <v>0</v>
      </c>
      <c r="B25" s="20" t="str">
        <f>VLOOKUP(A25,'Уч-ки'!$B$8:$H$39,2,FALSE)</f>
        <v xml:space="preserve"> </v>
      </c>
      <c r="C25" s="36" t="e">
        <f>#REF!+$C$5</f>
        <v>#REF!</v>
      </c>
      <c r="D25" s="132" t="e">
        <f>VLOOKUP(A25&amp;"[]",#REF!,MATCH($C$4&amp;""&amp;$D$6,#REF!,0),FALSE)</f>
        <v>#REF!</v>
      </c>
      <c r="E25" s="132" t="e">
        <f>VLOOKUP(A25&amp;"а[]",#REF!,MATCH($C$4&amp;""&amp;$D$6,#REF!,0),FALSE)</f>
        <v>#REF!</v>
      </c>
      <c r="F25" s="37"/>
      <c r="G25" s="38" t="e">
        <f t="shared" si="52"/>
        <v>#REF!</v>
      </c>
      <c r="H25" s="21" t="e">
        <f t="shared" ref="H25:H39" si="62">IF(G25=C25,0,IF((G25-C25)&gt;0,IF((ABS(G25-C25)*1440*10)&lt;1800,ABS(G25-C25)*1440*10,1800),ABS(G25-C25)*1440*60))</f>
        <v>#REF!</v>
      </c>
      <c r="I25" s="22"/>
      <c r="J25" s="44"/>
      <c r="K25" s="46"/>
      <c r="L25" s="45">
        <f t="shared" si="36"/>
        <v>0</v>
      </c>
      <c r="M25" s="22"/>
      <c r="N25" s="24" t="e">
        <f>TIME(HOUR(#REF!),MINUTE(#REF!),SECOND(#REF!))-#REF!</f>
        <v>#REF!</v>
      </c>
      <c r="O25" s="39" t="e">
        <f>MIN(ABS($N$5-#REF!),ABS($N$5-N25))*1440*60</f>
        <v>#REF!</v>
      </c>
      <c r="P25" s="23"/>
      <c r="Q25" s="132" t="e">
        <f>VLOOKUP(A25&amp;"[]",#REF!,MATCH(#REF!&amp;" "&amp;$Q$6,#REF!,0),FALSE)</f>
        <v>#REF!</v>
      </c>
      <c r="R25" s="132" t="e">
        <f>VLOOKUP(A25&amp;"а[]",#REF!,MATCH(#REF!&amp;" "&amp;$Q$6,#REF!,0),FALSE)</f>
        <v>#REF!</v>
      </c>
      <c r="S25" s="37"/>
      <c r="T25" s="38" t="e">
        <f t="shared" si="53"/>
        <v>#REF!</v>
      </c>
      <c r="U25" s="132" t="e">
        <f>VLOOKUP(#REF!&amp;"[]",#REF!,MATCH(#REF!&amp;" "&amp;#REF!,#REF!,0),FALSE)</f>
        <v>#REF!</v>
      </c>
      <c r="V25" s="132" t="e">
        <f>VLOOKUP(#REF!&amp;"а[]",#REF!,MATCH(#REF!&amp;" "&amp;#REF!,#REF!,0),FALSE)</f>
        <v>#REF!</v>
      </c>
      <c r="W25" s="24" t="e">
        <f>TIME(HOUR(U25),MINUTE(U25),SECOND(U25))-T25</f>
        <v>#REF!</v>
      </c>
      <c r="X25" s="24" t="e">
        <f>TIME(HOUR(V25),MINUTE(V25),SECOND(V25))-T25</f>
        <v>#REF!</v>
      </c>
      <c r="Y25" s="39" t="e">
        <f>MIN(ABS(#REF!-W25),ABS(#REF!-X25))*1440*60</f>
        <v>#REF!</v>
      </c>
      <c r="Z25" s="132" t="e">
        <f>VLOOKUP(#REF!&amp;"[]",#REF!,MATCH(#REF!&amp;" "&amp;#REF!,#REF!,0),FALSE)</f>
        <v>#REF!</v>
      </c>
      <c r="AA25" s="132" t="e">
        <f>VLOOKUP(#REF!&amp;"а[]",#REF!,MATCH(#REF!&amp;" "&amp;#REF!,#REF!,0),FALSE)</f>
        <v>#REF!</v>
      </c>
      <c r="AB25" s="24" t="e">
        <f>TIME(HOUR(Z25),MINUTE(Z25),SECOND(Z25))-T25</f>
        <v>#REF!</v>
      </c>
      <c r="AC25" s="24" t="e">
        <f>TIME(HOUR(AA25),MINUTE(AA25),SECOND(AA25))-T25</f>
        <v>#REF!</v>
      </c>
      <c r="AD25" s="39" t="e">
        <f>MIN(ABS(#REF!-AB25),ABS(#REF!-AC25))*1440*60</f>
        <v>#REF!</v>
      </c>
      <c r="AE25" s="132" t="e">
        <f>VLOOKUP(#REF!&amp;"[]",#REF!,MATCH(#REF!&amp;" "&amp;#REF!,#REF!,0),FALSE)</f>
        <v>#REF!</v>
      </c>
      <c r="AF25" s="132" t="e">
        <f>VLOOKUP(#REF!&amp;"а[]",#REF!,MATCH(#REF!&amp;" "&amp;#REF!,#REF!,0),FALSE)</f>
        <v>#REF!</v>
      </c>
      <c r="AG25" s="24" t="e">
        <f>MIN(AE25-Z25,AE25-AA25)</f>
        <v>#REF!</v>
      </c>
      <c r="AH25" s="24" t="e">
        <f>MIN(AF25-Z25,AF25-AA25)</f>
        <v>#REF!</v>
      </c>
      <c r="AI25" s="39" t="e">
        <f>MIN(ABS(#REF!-AG25),ABS(#REF!-AH25))*1440*60</f>
        <v>#REF!</v>
      </c>
      <c r="AJ25" s="23"/>
      <c r="AK25" s="36" t="e">
        <f>#REF!+#REF!</f>
        <v>#REF!</v>
      </c>
      <c r="AL25" s="132" t="e">
        <f>VLOOKUP(#REF!&amp;"[]",#REF!,MATCH(#REF!&amp;""&amp;#REF!,#REF!,0),FALSE)</f>
        <v>#REF!</v>
      </c>
      <c r="AM25" s="132" t="e">
        <f>VLOOKUP(#REF!&amp;"а[]",#REF!,MATCH(#REF!&amp;""&amp;#REF!,#REF!,0),FALSE)</f>
        <v>#REF!</v>
      </c>
      <c r="AN25" s="37"/>
      <c r="AO25" s="38" t="e">
        <f t="shared" si="60"/>
        <v>#REF!</v>
      </c>
      <c r="AP25" s="21" t="e">
        <f t="shared" si="61"/>
        <v>#REF!</v>
      </c>
      <c r="AQ25" s="22"/>
      <c r="AR25" s="44"/>
      <c r="AS25" s="46"/>
      <c r="AT25" s="45">
        <f t="shared" si="59"/>
        <v>0</v>
      </c>
      <c r="AU25" s="22"/>
      <c r="AV25" s="134" t="e">
        <f>#REF!+#REF!+#REF!+#REF!+#REF!+#REF!+#REF!+#REF!+#REF!+#REF!+#REF!+#REF!+#REF!+#REF!+#REF!+#REF!+#REF!+P25+#REF!+O25+M25+L25+I25+H25+#REF!+#REF!</f>
        <v>#REF!</v>
      </c>
    </row>
    <row r="26" spans="1:48" s="1" customFormat="1" ht="15" hidden="1" customHeight="1">
      <c r="A26" s="31">
        <f>Старт.вед.!B26</f>
        <v>0</v>
      </c>
      <c r="B26" s="20" t="str">
        <f>VLOOKUP(A26,'Уч-ки'!$B$8:$H$39,2,FALSE)</f>
        <v xml:space="preserve"> </v>
      </c>
      <c r="C26" s="36" t="e">
        <f>#REF!+$C$5</f>
        <v>#REF!</v>
      </c>
      <c r="D26" s="132" t="e">
        <f>VLOOKUP(A26&amp;"[]",#REF!,MATCH($C$4&amp;""&amp;$D$6,#REF!,0),FALSE)</f>
        <v>#REF!</v>
      </c>
      <c r="E26" s="132" t="e">
        <f>VLOOKUP(A26&amp;"а[]",#REF!,MATCH($C$4&amp;""&amp;$D$6,#REF!,0),FALSE)</f>
        <v>#REF!</v>
      </c>
      <c r="F26" s="37"/>
      <c r="G26" s="38" t="e">
        <f t="shared" si="52"/>
        <v>#REF!</v>
      </c>
      <c r="H26" s="21" t="e">
        <f t="shared" si="62"/>
        <v>#REF!</v>
      </c>
      <c r="I26" s="22"/>
      <c r="J26" s="44"/>
      <c r="K26" s="46"/>
      <c r="L26" s="45">
        <f t="shared" si="36"/>
        <v>0</v>
      </c>
      <c r="M26" s="22"/>
      <c r="N26" s="24" t="e">
        <f>TIME(HOUR(#REF!),MINUTE(#REF!),SECOND(#REF!))-#REF!</f>
        <v>#REF!</v>
      </c>
      <c r="O26" s="39" t="e">
        <f>MIN(ABS($N$5-#REF!),ABS($N$5-N26))*1440*60</f>
        <v>#REF!</v>
      </c>
      <c r="P26" s="23"/>
      <c r="Q26" s="132" t="e">
        <f>VLOOKUP(A26&amp;"[]",#REF!,MATCH(#REF!&amp;" "&amp;$Q$6,#REF!,0),FALSE)</f>
        <v>#REF!</v>
      </c>
      <c r="R26" s="132" t="e">
        <f>VLOOKUP(A26&amp;"а[]",#REF!,MATCH(#REF!&amp;" "&amp;$Q$6,#REF!,0),FALSE)</f>
        <v>#REF!</v>
      </c>
      <c r="S26" s="37"/>
      <c r="T26" s="38" t="e">
        <f t="shared" si="53"/>
        <v>#REF!</v>
      </c>
      <c r="U26" s="132" t="e">
        <f>VLOOKUP(#REF!&amp;"[]",#REF!,MATCH(#REF!&amp;" "&amp;#REF!,#REF!,0),FALSE)</f>
        <v>#REF!</v>
      </c>
      <c r="V26" s="132" t="e">
        <f>VLOOKUP(#REF!&amp;"а[]",#REF!,MATCH(#REF!&amp;" "&amp;#REF!,#REF!,0),FALSE)</f>
        <v>#REF!</v>
      </c>
      <c r="W26" s="24" t="e">
        <f>TIME(HOUR(U26),MINUTE(U26),SECOND(U26))-T26</f>
        <v>#REF!</v>
      </c>
      <c r="X26" s="24" t="e">
        <f>TIME(HOUR(V26),MINUTE(V26),SECOND(V26))-T26</f>
        <v>#REF!</v>
      </c>
      <c r="Y26" s="39" t="e">
        <f>MIN(ABS(#REF!-W26),ABS(#REF!-X26))*1440*60</f>
        <v>#REF!</v>
      </c>
      <c r="Z26" s="132" t="e">
        <f>VLOOKUP(#REF!&amp;"[]",#REF!,MATCH(#REF!&amp;" "&amp;#REF!,#REF!,0),FALSE)</f>
        <v>#REF!</v>
      </c>
      <c r="AA26" s="132" t="e">
        <f>VLOOKUP(#REF!&amp;"а[]",#REF!,MATCH(#REF!&amp;" "&amp;#REF!,#REF!,0),FALSE)</f>
        <v>#REF!</v>
      </c>
      <c r="AB26" s="24" t="e">
        <f>TIME(HOUR(Z26),MINUTE(Z26),SECOND(Z26))-T26</f>
        <v>#REF!</v>
      </c>
      <c r="AC26" s="24" t="e">
        <f>TIME(HOUR(AA26),MINUTE(AA26),SECOND(AA26))-T26</f>
        <v>#REF!</v>
      </c>
      <c r="AD26" s="39" t="e">
        <f>MIN(ABS(#REF!-AB26),ABS(#REF!-AC26))*1440*60</f>
        <v>#REF!</v>
      </c>
      <c r="AE26" s="132" t="e">
        <f>VLOOKUP(#REF!&amp;"[]",#REF!,MATCH(#REF!&amp;" "&amp;#REF!,#REF!,0),FALSE)</f>
        <v>#REF!</v>
      </c>
      <c r="AF26" s="132" t="e">
        <f>VLOOKUP(#REF!&amp;"а[]",#REF!,MATCH(#REF!&amp;" "&amp;#REF!,#REF!,0),FALSE)</f>
        <v>#REF!</v>
      </c>
      <c r="AG26" s="24" t="e">
        <f>MIN(AE26-Z26,AE26-AA26)</f>
        <v>#REF!</v>
      </c>
      <c r="AH26" s="24" t="e">
        <f>MIN(AF26-Z26,AF26-AA26)</f>
        <v>#REF!</v>
      </c>
      <c r="AI26" s="39" t="e">
        <f>MIN(ABS(#REF!-AG26),ABS(#REF!-AH26))*1440*60</f>
        <v>#REF!</v>
      </c>
      <c r="AJ26" s="23"/>
      <c r="AK26" s="36" t="e">
        <f>#REF!+#REF!</f>
        <v>#REF!</v>
      </c>
      <c r="AL26" s="132" t="e">
        <f>VLOOKUP(#REF!&amp;"[]",#REF!,MATCH(#REF!&amp;""&amp;#REF!,#REF!,0),FALSE)</f>
        <v>#REF!</v>
      </c>
      <c r="AM26" s="132" t="e">
        <f>VLOOKUP(#REF!&amp;"а[]",#REF!,MATCH(#REF!&amp;""&amp;#REF!,#REF!,0),FALSE)</f>
        <v>#REF!</v>
      </c>
      <c r="AN26" s="37"/>
      <c r="AO26" s="38" t="e">
        <f t="shared" si="60"/>
        <v>#REF!</v>
      </c>
      <c r="AP26" s="21" t="e">
        <f t="shared" si="61"/>
        <v>#REF!</v>
      </c>
      <c r="AQ26" s="22"/>
      <c r="AR26" s="44"/>
      <c r="AS26" s="46"/>
      <c r="AT26" s="45">
        <f t="shared" si="59"/>
        <v>0</v>
      </c>
      <c r="AU26" s="22"/>
      <c r="AV26" s="134" t="e">
        <f>#REF!+#REF!+#REF!+#REF!+#REF!+#REF!+#REF!+#REF!+#REF!+#REF!+#REF!+#REF!+#REF!+#REF!+#REF!+#REF!+#REF!+P26+#REF!+O26+M26+L26+I26+H26+#REF!+#REF!</f>
        <v>#REF!</v>
      </c>
    </row>
    <row r="27" spans="1:48" s="1" customFormat="1" ht="15" hidden="1" customHeight="1">
      <c r="A27" s="31">
        <f>Старт.вед.!B27</f>
        <v>0</v>
      </c>
      <c r="B27" s="20" t="str">
        <f>VLOOKUP(A27,'Уч-ки'!$B$8:$H$39,2,FALSE)</f>
        <v xml:space="preserve"> </v>
      </c>
      <c r="C27" s="36" t="e">
        <f>#REF!+$C$5</f>
        <v>#REF!</v>
      </c>
      <c r="D27" s="132" t="e">
        <f>VLOOKUP(A27&amp;"[]",#REF!,MATCH($C$4&amp;""&amp;$D$6,#REF!,0),FALSE)</f>
        <v>#REF!</v>
      </c>
      <c r="E27" s="132" t="e">
        <f>VLOOKUP(A27&amp;"а[]",#REF!,MATCH($C$4&amp;""&amp;$D$6,#REF!,0),FALSE)</f>
        <v>#REF!</v>
      </c>
      <c r="F27" s="37"/>
      <c r="G27" s="38" t="e">
        <f t="shared" si="52"/>
        <v>#REF!</v>
      </c>
      <c r="H27" s="21" t="e">
        <f t="shared" si="62"/>
        <v>#REF!</v>
      </c>
      <c r="I27" s="22"/>
      <c r="J27" s="44"/>
      <c r="K27" s="46"/>
      <c r="L27" s="45">
        <f t="shared" si="36"/>
        <v>0</v>
      </c>
      <c r="M27" s="22"/>
      <c r="N27" s="24" t="e">
        <f>TIME(HOUR(#REF!),MINUTE(#REF!),SECOND(#REF!))-#REF!</f>
        <v>#REF!</v>
      </c>
      <c r="O27" s="39" t="e">
        <f>MIN(ABS($N$5-#REF!),ABS($N$5-N27))*1440*60</f>
        <v>#REF!</v>
      </c>
      <c r="P27" s="23"/>
      <c r="Q27" s="132" t="e">
        <f>VLOOKUP(A27&amp;"[]",#REF!,MATCH(#REF!&amp;" "&amp;$Q$6,#REF!,0),FALSE)</f>
        <v>#REF!</v>
      </c>
      <c r="R27" s="132" t="e">
        <f>VLOOKUP(A27&amp;"а[]",#REF!,MATCH(#REF!&amp;" "&amp;$Q$6,#REF!,0),FALSE)</f>
        <v>#REF!</v>
      </c>
      <c r="S27" s="37"/>
      <c r="T27" s="38" t="e">
        <f t="shared" si="53"/>
        <v>#REF!</v>
      </c>
      <c r="U27" s="132" t="e">
        <f>VLOOKUP(#REF!&amp;"[]",#REF!,MATCH(#REF!&amp;" "&amp;#REF!,#REF!,0),FALSE)</f>
        <v>#REF!</v>
      </c>
      <c r="V27" s="132" t="e">
        <f>VLOOKUP(#REF!&amp;"а[]",#REF!,MATCH(#REF!&amp;" "&amp;#REF!,#REF!,0),FALSE)</f>
        <v>#REF!</v>
      </c>
      <c r="W27" s="24" t="e">
        <f>TIME(HOUR(U27),MINUTE(U27),SECOND(U27))-T27</f>
        <v>#REF!</v>
      </c>
      <c r="X27" s="24" t="e">
        <f>TIME(HOUR(V27),MINUTE(V27),SECOND(V27))-T27</f>
        <v>#REF!</v>
      </c>
      <c r="Y27" s="39" t="e">
        <f>MIN(ABS(#REF!-W27),ABS(#REF!-X27))*1440*60</f>
        <v>#REF!</v>
      </c>
      <c r="Z27" s="132" t="e">
        <f>VLOOKUP(#REF!&amp;"[]",#REF!,MATCH(#REF!&amp;" "&amp;#REF!,#REF!,0),FALSE)</f>
        <v>#REF!</v>
      </c>
      <c r="AA27" s="132" t="e">
        <f>VLOOKUP(#REF!&amp;"а[]",#REF!,MATCH(#REF!&amp;" "&amp;#REF!,#REF!,0),FALSE)</f>
        <v>#REF!</v>
      </c>
      <c r="AB27" s="24" t="e">
        <f>TIME(HOUR(Z27),MINUTE(Z27),SECOND(Z27))-T27</f>
        <v>#REF!</v>
      </c>
      <c r="AC27" s="24" t="e">
        <f>TIME(HOUR(AA27),MINUTE(AA27),SECOND(AA27))-T27</f>
        <v>#REF!</v>
      </c>
      <c r="AD27" s="39" t="e">
        <f>MIN(ABS(#REF!-AB27),ABS(#REF!-AC27))*1440*60</f>
        <v>#REF!</v>
      </c>
      <c r="AE27" s="132" t="e">
        <f>VLOOKUP(#REF!&amp;"[]",#REF!,MATCH(#REF!&amp;" "&amp;#REF!,#REF!,0),FALSE)</f>
        <v>#REF!</v>
      </c>
      <c r="AF27" s="132" t="e">
        <f>VLOOKUP(#REF!&amp;"а[]",#REF!,MATCH(#REF!&amp;" "&amp;#REF!,#REF!,0),FALSE)</f>
        <v>#REF!</v>
      </c>
      <c r="AG27" s="24" t="e">
        <f>MIN(AE27-Z27,AE27-AA27)</f>
        <v>#REF!</v>
      </c>
      <c r="AH27" s="24" t="e">
        <f>MIN(AF27-Z27,AF27-AA27)</f>
        <v>#REF!</v>
      </c>
      <c r="AI27" s="39" t="e">
        <f>MIN(ABS(#REF!-AG27),ABS(#REF!-AH27))*1440*60</f>
        <v>#REF!</v>
      </c>
      <c r="AJ27" s="23"/>
      <c r="AK27" s="36" t="e">
        <f>#REF!+#REF!</f>
        <v>#REF!</v>
      </c>
      <c r="AL27" s="132" t="e">
        <f>VLOOKUP(#REF!&amp;"[]",#REF!,MATCH(#REF!&amp;""&amp;#REF!,#REF!,0),FALSE)</f>
        <v>#REF!</v>
      </c>
      <c r="AM27" s="132" t="e">
        <f>VLOOKUP(#REF!&amp;"а[]",#REF!,MATCH(#REF!&amp;""&amp;#REF!,#REF!,0),FALSE)</f>
        <v>#REF!</v>
      </c>
      <c r="AN27" s="37"/>
      <c r="AO27" s="38" t="e">
        <f t="shared" si="60"/>
        <v>#REF!</v>
      </c>
      <c r="AP27" s="21" t="e">
        <f t="shared" si="61"/>
        <v>#REF!</v>
      </c>
      <c r="AQ27" s="22"/>
      <c r="AR27" s="44"/>
      <c r="AS27" s="46"/>
      <c r="AT27" s="45">
        <f t="shared" si="59"/>
        <v>0</v>
      </c>
      <c r="AU27" s="22"/>
      <c r="AV27" s="134" t="e">
        <f>#REF!+#REF!+#REF!+#REF!+#REF!+#REF!+#REF!+#REF!+#REF!+#REF!+#REF!+#REF!+#REF!+#REF!+#REF!+#REF!+#REF!+P27+#REF!+O27+M27+L27+I27+H27+#REF!+#REF!</f>
        <v>#REF!</v>
      </c>
    </row>
    <row r="28" spans="1:48" s="1" customFormat="1" ht="15" hidden="1" customHeight="1">
      <c r="A28" s="31">
        <f>Старт.вед.!B28</f>
        <v>0</v>
      </c>
      <c r="B28" s="20" t="str">
        <f>VLOOKUP(A28,'Уч-ки'!$B$8:$H$39,2,FALSE)</f>
        <v xml:space="preserve"> </v>
      </c>
      <c r="C28" s="36" t="e">
        <f>#REF!+$C$5</f>
        <v>#REF!</v>
      </c>
      <c r="D28" s="132" t="e">
        <f>VLOOKUP(A28&amp;"[]",#REF!,MATCH($C$4&amp;""&amp;$D$6,#REF!,0),FALSE)</f>
        <v>#REF!</v>
      </c>
      <c r="E28" s="132" t="e">
        <f>VLOOKUP(A28&amp;"а[]",#REF!,MATCH($C$4&amp;""&amp;$D$6,#REF!,0),FALSE)</f>
        <v>#REF!</v>
      </c>
      <c r="F28" s="37"/>
      <c r="G28" s="38" t="e">
        <f t="shared" si="52"/>
        <v>#REF!</v>
      </c>
      <c r="H28" s="21" t="e">
        <f t="shared" si="62"/>
        <v>#REF!</v>
      </c>
      <c r="I28" s="22"/>
      <c r="J28" s="44"/>
      <c r="K28" s="46"/>
      <c r="L28" s="45">
        <f t="shared" si="36"/>
        <v>0</v>
      </c>
      <c r="M28" s="22"/>
      <c r="N28" s="24" t="e">
        <f>TIME(HOUR(#REF!),MINUTE(#REF!),SECOND(#REF!))-#REF!</f>
        <v>#REF!</v>
      </c>
      <c r="O28" s="39" t="e">
        <f>MIN(ABS($N$5-#REF!),ABS($N$5-N28))*1440*60</f>
        <v>#REF!</v>
      </c>
      <c r="P28" s="23"/>
      <c r="Q28" s="132" t="e">
        <f>VLOOKUP(A28&amp;"[]",#REF!,MATCH(#REF!&amp;" "&amp;$Q$6,#REF!,0),FALSE)</f>
        <v>#REF!</v>
      </c>
      <c r="R28" s="132" t="e">
        <f>VLOOKUP(A28&amp;"а[]",#REF!,MATCH(#REF!&amp;" "&amp;$Q$6,#REF!,0),FALSE)</f>
        <v>#REF!</v>
      </c>
      <c r="S28" s="37"/>
      <c r="T28" s="38" t="e">
        <f t="shared" si="53"/>
        <v>#REF!</v>
      </c>
      <c r="U28" s="132" t="e">
        <f>VLOOKUP(#REF!&amp;"[]",#REF!,MATCH(#REF!&amp;" "&amp;#REF!,#REF!,0),FALSE)</f>
        <v>#REF!</v>
      </c>
      <c r="V28" s="132" t="e">
        <f>VLOOKUP(#REF!&amp;"а[]",#REF!,MATCH(#REF!&amp;" "&amp;#REF!,#REF!,0),FALSE)</f>
        <v>#REF!</v>
      </c>
      <c r="W28" s="24" t="e">
        <f>TIME(HOUR(U28),MINUTE(U28),SECOND(U28))-T28</f>
        <v>#REF!</v>
      </c>
      <c r="X28" s="24" t="e">
        <f>TIME(HOUR(V28),MINUTE(V28),SECOND(V28))-T28</f>
        <v>#REF!</v>
      </c>
      <c r="Y28" s="39" t="e">
        <f>MIN(ABS(#REF!-W28),ABS(#REF!-X28))*1440*60</f>
        <v>#REF!</v>
      </c>
      <c r="Z28" s="132" t="e">
        <f>VLOOKUP(#REF!&amp;"[]",#REF!,MATCH(#REF!&amp;" "&amp;#REF!,#REF!,0),FALSE)</f>
        <v>#REF!</v>
      </c>
      <c r="AA28" s="132" t="e">
        <f>VLOOKUP(#REF!&amp;"а[]",#REF!,MATCH(#REF!&amp;" "&amp;#REF!,#REF!,0),FALSE)</f>
        <v>#REF!</v>
      </c>
      <c r="AB28" s="24" t="e">
        <f>TIME(HOUR(Z28),MINUTE(Z28),SECOND(Z28))-T28</f>
        <v>#REF!</v>
      </c>
      <c r="AC28" s="24" t="e">
        <f>TIME(HOUR(AA28),MINUTE(AA28),SECOND(AA28))-T28</f>
        <v>#REF!</v>
      </c>
      <c r="AD28" s="39" t="e">
        <f>MIN(ABS(#REF!-AB28),ABS(#REF!-AC28))*1440*60</f>
        <v>#REF!</v>
      </c>
      <c r="AE28" s="132" t="e">
        <f>VLOOKUP(#REF!&amp;"[]",#REF!,MATCH(#REF!&amp;" "&amp;#REF!,#REF!,0),FALSE)</f>
        <v>#REF!</v>
      </c>
      <c r="AF28" s="132" t="e">
        <f>VLOOKUP(#REF!&amp;"а[]",#REF!,MATCH(#REF!&amp;" "&amp;#REF!,#REF!,0),FALSE)</f>
        <v>#REF!</v>
      </c>
      <c r="AG28" s="24" t="e">
        <f>MIN(AE28-Z28,AE28-AA28)</f>
        <v>#REF!</v>
      </c>
      <c r="AH28" s="24" t="e">
        <f>MIN(AF28-Z28,AF28-AA28)</f>
        <v>#REF!</v>
      </c>
      <c r="AI28" s="39" t="e">
        <f>MIN(ABS(#REF!-AG28),ABS(#REF!-AH28))*1440*60</f>
        <v>#REF!</v>
      </c>
      <c r="AJ28" s="23"/>
      <c r="AK28" s="36" t="e">
        <f>#REF!+#REF!</f>
        <v>#REF!</v>
      </c>
      <c r="AL28" s="132" t="e">
        <f>VLOOKUP(#REF!&amp;"[]",#REF!,MATCH(#REF!&amp;""&amp;#REF!,#REF!,0),FALSE)</f>
        <v>#REF!</v>
      </c>
      <c r="AM28" s="132" t="e">
        <f>VLOOKUP(#REF!&amp;"а[]",#REF!,MATCH(#REF!&amp;""&amp;#REF!,#REF!,0),FALSE)</f>
        <v>#REF!</v>
      </c>
      <c r="AN28" s="37"/>
      <c r="AO28" s="38" t="e">
        <f t="shared" si="60"/>
        <v>#REF!</v>
      </c>
      <c r="AP28" s="21" t="e">
        <f t="shared" si="61"/>
        <v>#REF!</v>
      </c>
      <c r="AQ28" s="22"/>
      <c r="AR28" s="44"/>
      <c r="AS28" s="46"/>
      <c r="AT28" s="45">
        <f t="shared" si="59"/>
        <v>0</v>
      </c>
      <c r="AU28" s="22"/>
      <c r="AV28" s="134" t="e">
        <f>#REF!+#REF!+#REF!+#REF!+#REF!+#REF!+#REF!+#REF!+#REF!+#REF!+#REF!+#REF!+#REF!+#REF!+#REF!+#REF!+#REF!+P28+#REF!+O28+M28+L28+I28+H28+#REF!+#REF!</f>
        <v>#REF!</v>
      </c>
    </row>
    <row r="29" spans="1:48" s="1" customFormat="1" ht="15" hidden="1" customHeight="1">
      <c r="A29" s="31">
        <f>Старт.вед.!B29</f>
        <v>0</v>
      </c>
      <c r="B29" s="20" t="str">
        <f>VLOOKUP(A29,'Уч-ки'!$B$8:$H$39,2,FALSE)</f>
        <v xml:space="preserve"> </v>
      </c>
      <c r="C29" s="36" t="e">
        <f>#REF!+$C$5</f>
        <v>#REF!</v>
      </c>
      <c r="D29" s="132" t="e">
        <f>VLOOKUP(A29&amp;"[]",#REF!,MATCH($C$4&amp;""&amp;$D$6,#REF!,0),FALSE)</f>
        <v>#REF!</v>
      </c>
      <c r="E29" s="132" t="e">
        <f>VLOOKUP(A29&amp;"а[]",#REF!,MATCH($C$4&amp;""&amp;$D$6,#REF!,0),FALSE)</f>
        <v>#REF!</v>
      </c>
      <c r="F29" s="37"/>
      <c r="G29" s="38" t="e">
        <f t="shared" si="52"/>
        <v>#REF!</v>
      </c>
      <c r="H29" s="21" t="e">
        <f t="shared" si="62"/>
        <v>#REF!</v>
      </c>
      <c r="I29" s="22"/>
      <c r="J29" s="44"/>
      <c r="K29" s="46"/>
      <c r="L29" s="45">
        <f t="shared" si="36"/>
        <v>0</v>
      </c>
      <c r="M29" s="22"/>
      <c r="N29" s="24" t="e">
        <f>TIME(HOUR(#REF!),MINUTE(#REF!),SECOND(#REF!))-#REF!</f>
        <v>#REF!</v>
      </c>
      <c r="O29" s="39" t="e">
        <f>MIN(ABS($N$5-#REF!),ABS($N$5-N29))*1440*60</f>
        <v>#REF!</v>
      </c>
      <c r="P29" s="23"/>
      <c r="Q29" s="132" t="e">
        <f>VLOOKUP(A29&amp;"[]",#REF!,MATCH(#REF!&amp;" "&amp;$Q$6,#REF!,0),FALSE)</f>
        <v>#REF!</v>
      </c>
      <c r="R29" s="132" t="e">
        <f>VLOOKUP(A29&amp;"а[]",#REF!,MATCH(#REF!&amp;" "&amp;$Q$6,#REF!,0),FALSE)</f>
        <v>#REF!</v>
      </c>
      <c r="S29" s="37"/>
      <c r="T29" s="38" t="e">
        <f t="shared" si="53"/>
        <v>#REF!</v>
      </c>
      <c r="U29" s="132" t="e">
        <f>VLOOKUP(#REF!&amp;"[]",#REF!,MATCH(#REF!&amp;" "&amp;#REF!,#REF!,0),FALSE)</f>
        <v>#REF!</v>
      </c>
      <c r="V29" s="132" t="e">
        <f>VLOOKUP(#REF!&amp;"а[]",#REF!,MATCH(#REF!&amp;" "&amp;#REF!,#REF!,0),FALSE)</f>
        <v>#REF!</v>
      </c>
      <c r="W29" s="24" t="e">
        <f>TIME(HOUR(U29),MINUTE(U29),SECOND(U29))-T29</f>
        <v>#REF!</v>
      </c>
      <c r="X29" s="24" t="e">
        <f>TIME(HOUR(V29),MINUTE(V29),SECOND(V29))-T29</f>
        <v>#REF!</v>
      </c>
      <c r="Y29" s="39" t="e">
        <f>MIN(ABS(#REF!-W29),ABS(#REF!-X29))*1440*60</f>
        <v>#REF!</v>
      </c>
      <c r="Z29" s="132" t="e">
        <f>VLOOKUP(#REF!&amp;"[]",#REF!,MATCH(#REF!&amp;" "&amp;#REF!,#REF!,0),FALSE)</f>
        <v>#REF!</v>
      </c>
      <c r="AA29" s="132" t="e">
        <f>VLOOKUP(#REF!&amp;"а[]",#REF!,MATCH(#REF!&amp;" "&amp;#REF!,#REF!,0),FALSE)</f>
        <v>#REF!</v>
      </c>
      <c r="AB29" s="24" t="e">
        <f>TIME(HOUR(Z29),MINUTE(Z29),SECOND(Z29))-T29</f>
        <v>#REF!</v>
      </c>
      <c r="AC29" s="24" t="e">
        <f>TIME(HOUR(AA29),MINUTE(AA29),SECOND(AA29))-T29</f>
        <v>#REF!</v>
      </c>
      <c r="AD29" s="39" t="e">
        <f>MIN(ABS(#REF!-AB29),ABS(#REF!-AC29))*1440*60</f>
        <v>#REF!</v>
      </c>
      <c r="AE29" s="132" t="e">
        <f>VLOOKUP(#REF!&amp;"[]",#REF!,MATCH(#REF!&amp;" "&amp;#REF!,#REF!,0),FALSE)</f>
        <v>#REF!</v>
      </c>
      <c r="AF29" s="132" t="e">
        <f>VLOOKUP(#REF!&amp;"а[]",#REF!,MATCH(#REF!&amp;" "&amp;#REF!,#REF!,0),FALSE)</f>
        <v>#REF!</v>
      </c>
      <c r="AG29" s="24" t="e">
        <f>MIN(AE29-Z29,AE29-AA29)</f>
        <v>#REF!</v>
      </c>
      <c r="AH29" s="24" t="e">
        <f>MIN(AF29-Z29,AF29-AA29)</f>
        <v>#REF!</v>
      </c>
      <c r="AI29" s="39" t="e">
        <f>MIN(ABS(#REF!-AG29),ABS(#REF!-AH29))*1440*60</f>
        <v>#REF!</v>
      </c>
      <c r="AJ29" s="23"/>
      <c r="AK29" s="36" t="e">
        <f>#REF!+#REF!</f>
        <v>#REF!</v>
      </c>
      <c r="AL29" s="132" t="e">
        <f>VLOOKUP(#REF!&amp;"[]",#REF!,MATCH(#REF!&amp;""&amp;#REF!,#REF!,0),FALSE)</f>
        <v>#REF!</v>
      </c>
      <c r="AM29" s="132" t="e">
        <f>VLOOKUP(#REF!&amp;"а[]",#REF!,MATCH(#REF!&amp;""&amp;#REF!,#REF!,0),FALSE)</f>
        <v>#REF!</v>
      </c>
      <c r="AN29" s="37"/>
      <c r="AO29" s="38" t="e">
        <f t="shared" si="60"/>
        <v>#REF!</v>
      </c>
      <c r="AP29" s="21" t="e">
        <f t="shared" si="61"/>
        <v>#REF!</v>
      </c>
      <c r="AQ29" s="22"/>
      <c r="AR29" s="44"/>
      <c r="AS29" s="46"/>
      <c r="AT29" s="45">
        <f t="shared" si="59"/>
        <v>0</v>
      </c>
      <c r="AU29" s="22"/>
      <c r="AV29" s="134" t="e">
        <f>#REF!+#REF!+#REF!+#REF!+#REF!+#REF!+#REF!+#REF!+#REF!+#REF!+#REF!+#REF!+#REF!+#REF!+#REF!+#REF!+#REF!+P29+#REF!+O29+M29+L29+I29+H29+#REF!+#REF!</f>
        <v>#REF!</v>
      </c>
    </row>
    <row r="30" spans="1:48" s="1" customFormat="1" ht="15" hidden="1" customHeight="1">
      <c r="A30" s="31">
        <f>Старт.вед.!B30</f>
        <v>0</v>
      </c>
      <c r="B30" s="20" t="str">
        <f>VLOOKUP(A30,'Уч-ки'!$B$8:$H$39,2,FALSE)</f>
        <v xml:space="preserve"> </v>
      </c>
      <c r="C30" s="36" t="e">
        <f>#REF!+$C$5</f>
        <v>#REF!</v>
      </c>
      <c r="D30" s="132" t="e">
        <f>VLOOKUP(A30&amp;"[]",#REF!,MATCH($C$4&amp;""&amp;$D$6,#REF!,0),FALSE)</f>
        <v>#REF!</v>
      </c>
      <c r="E30" s="132" t="e">
        <f>VLOOKUP(A30&amp;"а[]",#REF!,MATCH($C$4&amp;""&amp;$D$6,#REF!,0),FALSE)</f>
        <v>#REF!</v>
      </c>
      <c r="F30" s="37"/>
      <c r="G30" s="38" t="e">
        <f t="shared" si="52"/>
        <v>#REF!</v>
      </c>
      <c r="H30" s="21" t="e">
        <f t="shared" si="62"/>
        <v>#REF!</v>
      </c>
      <c r="I30" s="22"/>
      <c r="J30" s="44"/>
      <c r="K30" s="46"/>
      <c r="L30" s="45">
        <f t="shared" si="36"/>
        <v>0</v>
      </c>
      <c r="M30" s="22"/>
      <c r="N30" s="24" t="e">
        <f>TIME(HOUR(#REF!),MINUTE(#REF!),SECOND(#REF!))-#REF!</f>
        <v>#REF!</v>
      </c>
      <c r="O30" s="39" t="e">
        <f>MIN(ABS($N$5-#REF!),ABS($N$5-N30))*1440*60</f>
        <v>#REF!</v>
      </c>
      <c r="P30" s="23"/>
      <c r="Q30" s="132" t="e">
        <f>VLOOKUP(A30&amp;"[]",#REF!,MATCH(#REF!&amp;" "&amp;$Q$6,#REF!,0),FALSE)</f>
        <v>#REF!</v>
      </c>
      <c r="R30" s="132" t="e">
        <f>VLOOKUP(A30&amp;"а[]",#REF!,MATCH(#REF!&amp;" "&amp;$Q$6,#REF!,0),FALSE)</f>
        <v>#REF!</v>
      </c>
      <c r="S30" s="37"/>
      <c r="T30" s="38" t="e">
        <f t="shared" si="53"/>
        <v>#REF!</v>
      </c>
      <c r="U30" s="132" t="e">
        <f>VLOOKUP(#REF!&amp;"[]",#REF!,MATCH(#REF!&amp;" "&amp;#REF!,#REF!,0),FALSE)</f>
        <v>#REF!</v>
      </c>
      <c r="V30" s="132" t="e">
        <f>VLOOKUP(#REF!&amp;"а[]",#REF!,MATCH(#REF!&amp;" "&amp;#REF!,#REF!,0),FALSE)</f>
        <v>#REF!</v>
      </c>
      <c r="W30" s="24" t="e">
        <f>TIME(HOUR(U30),MINUTE(U30),SECOND(U30))-T30</f>
        <v>#REF!</v>
      </c>
      <c r="X30" s="24" t="e">
        <f>TIME(HOUR(V30),MINUTE(V30),SECOND(V30))-T30</f>
        <v>#REF!</v>
      </c>
      <c r="Y30" s="39" t="e">
        <f>MIN(ABS(#REF!-W30),ABS(#REF!-X30))*1440*60</f>
        <v>#REF!</v>
      </c>
      <c r="Z30" s="132" t="e">
        <f>VLOOKUP(#REF!&amp;"[]",#REF!,MATCH(#REF!&amp;" "&amp;#REF!,#REF!,0),FALSE)</f>
        <v>#REF!</v>
      </c>
      <c r="AA30" s="132" t="e">
        <f>VLOOKUP(#REF!&amp;"а[]",#REF!,MATCH(#REF!&amp;" "&amp;#REF!,#REF!,0),FALSE)</f>
        <v>#REF!</v>
      </c>
      <c r="AB30" s="24" t="e">
        <f>TIME(HOUR(Z30),MINUTE(Z30),SECOND(Z30))-T30</f>
        <v>#REF!</v>
      </c>
      <c r="AC30" s="24" t="e">
        <f>TIME(HOUR(AA30),MINUTE(AA30),SECOND(AA30))-T30</f>
        <v>#REF!</v>
      </c>
      <c r="AD30" s="39" t="e">
        <f>MIN(ABS(#REF!-AB30),ABS(#REF!-AC30))*1440*60</f>
        <v>#REF!</v>
      </c>
      <c r="AE30" s="132" t="e">
        <f>VLOOKUP(#REF!&amp;"[]",#REF!,MATCH(#REF!&amp;" "&amp;#REF!,#REF!,0),FALSE)</f>
        <v>#REF!</v>
      </c>
      <c r="AF30" s="132" t="e">
        <f>VLOOKUP(#REF!&amp;"а[]",#REF!,MATCH(#REF!&amp;" "&amp;#REF!,#REF!,0),FALSE)</f>
        <v>#REF!</v>
      </c>
      <c r="AG30" s="24" t="e">
        <f>MIN(AE30-Z30,AE30-AA30)</f>
        <v>#REF!</v>
      </c>
      <c r="AH30" s="24" t="e">
        <f>MIN(AF30-Z30,AF30-AA30)</f>
        <v>#REF!</v>
      </c>
      <c r="AI30" s="39" t="e">
        <f>MIN(ABS(#REF!-AG30),ABS(#REF!-AH30))*1440*60</f>
        <v>#REF!</v>
      </c>
      <c r="AJ30" s="23"/>
      <c r="AK30" s="36" t="e">
        <f>#REF!+#REF!</f>
        <v>#REF!</v>
      </c>
      <c r="AL30" s="132" t="e">
        <f>VLOOKUP(#REF!&amp;"[]",#REF!,MATCH(#REF!&amp;""&amp;#REF!,#REF!,0),FALSE)</f>
        <v>#REF!</v>
      </c>
      <c r="AM30" s="132" t="e">
        <f>VLOOKUP(#REF!&amp;"а[]",#REF!,MATCH(#REF!&amp;""&amp;#REF!,#REF!,0),FALSE)</f>
        <v>#REF!</v>
      </c>
      <c r="AN30" s="37"/>
      <c r="AO30" s="38" t="e">
        <f t="shared" si="60"/>
        <v>#REF!</v>
      </c>
      <c r="AP30" s="21" t="e">
        <f t="shared" si="61"/>
        <v>#REF!</v>
      </c>
      <c r="AQ30" s="22"/>
      <c r="AR30" s="44"/>
      <c r="AS30" s="46"/>
      <c r="AT30" s="45">
        <f t="shared" si="59"/>
        <v>0</v>
      </c>
      <c r="AU30" s="22"/>
      <c r="AV30" s="134" t="e">
        <f>#REF!+#REF!+#REF!+#REF!+#REF!+#REF!+#REF!+#REF!+#REF!+#REF!+#REF!+#REF!+#REF!+#REF!+#REF!+#REF!+#REF!+P30+#REF!+O30+M30+L30+I30+H30+#REF!+#REF!</f>
        <v>#REF!</v>
      </c>
    </row>
    <row r="31" spans="1:48" s="1" customFormat="1" ht="15" hidden="1" customHeight="1">
      <c r="A31" s="31">
        <f>Старт.вед.!B31</f>
        <v>0</v>
      </c>
      <c r="B31" s="20" t="str">
        <f>VLOOKUP(A31,'Уч-ки'!$B$8:$H$39,2,FALSE)</f>
        <v xml:space="preserve"> </v>
      </c>
      <c r="C31" s="36" t="e">
        <f>#REF!+$C$5</f>
        <v>#REF!</v>
      </c>
      <c r="D31" s="132" t="e">
        <f>VLOOKUP(A31&amp;"[]",#REF!,MATCH($C$4&amp;""&amp;$D$6,#REF!,0),FALSE)</f>
        <v>#REF!</v>
      </c>
      <c r="E31" s="132" t="e">
        <f>VLOOKUP(A31&amp;"а[]",#REF!,MATCH($C$4&amp;""&amp;$D$6,#REF!,0),FALSE)</f>
        <v>#REF!</v>
      </c>
      <c r="F31" s="37"/>
      <c r="G31" s="38" t="e">
        <f t="shared" si="52"/>
        <v>#REF!</v>
      </c>
      <c r="H31" s="21" t="e">
        <f t="shared" si="62"/>
        <v>#REF!</v>
      </c>
      <c r="I31" s="22"/>
      <c r="J31" s="44"/>
      <c r="K31" s="46"/>
      <c r="L31" s="45">
        <f t="shared" si="36"/>
        <v>0</v>
      </c>
      <c r="M31" s="22"/>
      <c r="N31" s="24" t="e">
        <f>TIME(HOUR(#REF!),MINUTE(#REF!),SECOND(#REF!))-#REF!</f>
        <v>#REF!</v>
      </c>
      <c r="O31" s="39" t="e">
        <f>MIN(ABS($N$5-#REF!),ABS($N$5-N31))*1440*60</f>
        <v>#REF!</v>
      </c>
      <c r="P31" s="23"/>
      <c r="Q31" s="132" t="e">
        <f>VLOOKUP(A31&amp;"[]",#REF!,MATCH(#REF!&amp;" "&amp;$Q$6,#REF!,0),FALSE)</f>
        <v>#REF!</v>
      </c>
      <c r="R31" s="132" t="e">
        <f>VLOOKUP(A31&amp;"а[]",#REF!,MATCH(#REF!&amp;" "&amp;$Q$6,#REF!,0),FALSE)</f>
        <v>#REF!</v>
      </c>
      <c r="S31" s="37"/>
      <c r="T31" s="38" t="e">
        <f t="shared" si="53"/>
        <v>#REF!</v>
      </c>
      <c r="U31" s="132" t="e">
        <f>VLOOKUP(#REF!&amp;"[]",#REF!,MATCH(#REF!&amp;" "&amp;#REF!,#REF!,0),FALSE)</f>
        <v>#REF!</v>
      </c>
      <c r="V31" s="132" t="e">
        <f>VLOOKUP(#REF!&amp;"а[]",#REF!,MATCH(#REF!&amp;" "&amp;#REF!,#REF!,0),FALSE)</f>
        <v>#REF!</v>
      </c>
      <c r="W31" s="24" t="e">
        <f>TIME(HOUR(U31),MINUTE(U31),SECOND(U31))-T31</f>
        <v>#REF!</v>
      </c>
      <c r="X31" s="24" t="e">
        <f>TIME(HOUR(V31),MINUTE(V31),SECOND(V31))-T31</f>
        <v>#REF!</v>
      </c>
      <c r="Y31" s="39" t="e">
        <f>MIN(ABS(#REF!-W31),ABS(#REF!-X31))*1440*60</f>
        <v>#REF!</v>
      </c>
      <c r="Z31" s="132" t="e">
        <f>VLOOKUP(#REF!&amp;"[]",#REF!,MATCH(#REF!&amp;" "&amp;#REF!,#REF!,0),FALSE)</f>
        <v>#REF!</v>
      </c>
      <c r="AA31" s="132" t="e">
        <f>VLOOKUP(#REF!&amp;"а[]",#REF!,MATCH(#REF!&amp;" "&amp;#REF!,#REF!,0),FALSE)</f>
        <v>#REF!</v>
      </c>
      <c r="AB31" s="24" t="e">
        <f>TIME(HOUR(Z31),MINUTE(Z31),SECOND(Z31))-T31</f>
        <v>#REF!</v>
      </c>
      <c r="AC31" s="24" t="e">
        <f>TIME(HOUR(AA31),MINUTE(AA31),SECOND(AA31))-T31</f>
        <v>#REF!</v>
      </c>
      <c r="AD31" s="39" t="e">
        <f>MIN(ABS(#REF!-AB31),ABS(#REF!-AC31))*1440*60</f>
        <v>#REF!</v>
      </c>
      <c r="AE31" s="132" t="e">
        <f>VLOOKUP(#REF!&amp;"[]",#REF!,MATCH(#REF!&amp;" "&amp;#REF!,#REF!,0),FALSE)</f>
        <v>#REF!</v>
      </c>
      <c r="AF31" s="132" t="e">
        <f>VLOOKUP(#REF!&amp;"а[]",#REF!,MATCH(#REF!&amp;" "&amp;#REF!,#REF!,0),FALSE)</f>
        <v>#REF!</v>
      </c>
      <c r="AG31" s="24" t="e">
        <f>MIN(AE31-Z31,AE31-AA31)</f>
        <v>#REF!</v>
      </c>
      <c r="AH31" s="24" t="e">
        <f>MIN(AF31-Z31,AF31-AA31)</f>
        <v>#REF!</v>
      </c>
      <c r="AI31" s="39" t="e">
        <f>MIN(ABS(#REF!-AG31),ABS(#REF!-AH31))*1440*60</f>
        <v>#REF!</v>
      </c>
      <c r="AJ31" s="23"/>
      <c r="AK31" s="36" t="e">
        <f>#REF!+#REF!</f>
        <v>#REF!</v>
      </c>
      <c r="AL31" s="132" t="e">
        <f>VLOOKUP(#REF!&amp;"[]",#REF!,MATCH(#REF!&amp;""&amp;#REF!,#REF!,0),FALSE)</f>
        <v>#REF!</v>
      </c>
      <c r="AM31" s="132" t="e">
        <f>VLOOKUP(#REF!&amp;"а[]",#REF!,MATCH(#REF!&amp;""&amp;#REF!,#REF!,0),FALSE)</f>
        <v>#REF!</v>
      </c>
      <c r="AN31" s="37"/>
      <c r="AO31" s="38" t="e">
        <f t="shared" si="60"/>
        <v>#REF!</v>
      </c>
      <c r="AP31" s="21" t="e">
        <f t="shared" si="61"/>
        <v>#REF!</v>
      </c>
      <c r="AQ31" s="22"/>
      <c r="AR31" s="44"/>
      <c r="AS31" s="46"/>
      <c r="AT31" s="45">
        <f t="shared" si="59"/>
        <v>0</v>
      </c>
      <c r="AU31" s="22"/>
      <c r="AV31" s="134" t="e">
        <f>#REF!+#REF!+#REF!+#REF!+#REF!+#REF!+#REF!+#REF!+#REF!+#REF!+#REF!+#REF!+#REF!+#REF!+#REF!+#REF!+#REF!+P31+#REF!+O31+M31+L31+I31+H31+#REF!+#REF!</f>
        <v>#REF!</v>
      </c>
    </row>
    <row r="32" spans="1:48" s="1" customFormat="1" ht="15" hidden="1" customHeight="1">
      <c r="A32" s="31">
        <f>Старт.вед.!B32</f>
        <v>0</v>
      </c>
      <c r="B32" s="20" t="str">
        <f>VLOOKUP(A32,'Уч-ки'!$B$8:$H$39,2,FALSE)</f>
        <v xml:space="preserve"> </v>
      </c>
      <c r="C32" s="36" t="e">
        <f>#REF!+$C$5</f>
        <v>#REF!</v>
      </c>
      <c r="D32" s="132" t="e">
        <f>VLOOKUP(A32&amp;"[]",#REF!,MATCH($C$4&amp;""&amp;$D$6,#REF!,0),FALSE)</f>
        <v>#REF!</v>
      </c>
      <c r="E32" s="132" t="e">
        <f>VLOOKUP(A32&amp;"а[]",#REF!,MATCH($C$4&amp;""&amp;$D$6,#REF!,0),FALSE)</f>
        <v>#REF!</v>
      </c>
      <c r="F32" s="37"/>
      <c r="G32" s="38" t="e">
        <f t="shared" si="52"/>
        <v>#REF!</v>
      </c>
      <c r="H32" s="21" t="e">
        <f t="shared" si="62"/>
        <v>#REF!</v>
      </c>
      <c r="I32" s="22"/>
      <c r="J32" s="44"/>
      <c r="K32" s="46"/>
      <c r="L32" s="45">
        <f t="shared" si="36"/>
        <v>0</v>
      </c>
      <c r="M32" s="22"/>
      <c r="N32" s="24" t="e">
        <f>TIME(HOUR(#REF!),MINUTE(#REF!),SECOND(#REF!))-#REF!</f>
        <v>#REF!</v>
      </c>
      <c r="O32" s="39" t="e">
        <f>MIN(ABS($N$5-#REF!),ABS($N$5-N32))*1440*60</f>
        <v>#REF!</v>
      </c>
      <c r="P32" s="23"/>
      <c r="Q32" s="132" t="e">
        <f>VLOOKUP(A32&amp;"[]",#REF!,MATCH(#REF!&amp;" "&amp;$Q$6,#REF!,0),FALSE)</f>
        <v>#REF!</v>
      </c>
      <c r="R32" s="132" t="e">
        <f>VLOOKUP(A32&amp;"а[]",#REF!,MATCH(#REF!&amp;" "&amp;$Q$6,#REF!,0),FALSE)</f>
        <v>#REF!</v>
      </c>
      <c r="S32" s="37"/>
      <c r="T32" s="38" t="e">
        <f t="shared" si="53"/>
        <v>#REF!</v>
      </c>
      <c r="U32" s="132" t="e">
        <f>VLOOKUP(#REF!&amp;"[]",#REF!,MATCH(#REF!&amp;" "&amp;#REF!,#REF!,0),FALSE)</f>
        <v>#REF!</v>
      </c>
      <c r="V32" s="132" t="e">
        <f>VLOOKUP(#REF!&amp;"а[]",#REF!,MATCH(#REF!&amp;" "&amp;#REF!,#REF!,0),FALSE)</f>
        <v>#REF!</v>
      </c>
      <c r="W32" s="24" t="e">
        <f>TIME(HOUR(U32),MINUTE(U32),SECOND(U32))-T32</f>
        <v>#REF!</v>
      </c>
      <c r="X32" s="24" t="e">
        <f>TIME(HOUR(V32),MINUTE(V32),SECOND(V32))-T32</f>
        <v>#REF!</v>
      </c>
      <c r="Y32" s="39" t="e">
        <f>MIN(ABS(#REF!-W32),ABS(#REF!-X32))*1440*60</f>
        <v>#REF!</v>
      </c>
      <c r="Z32" s="132" t="e">
        <f>VLOOKUP(#REF!&amp;"[]",#REF!,MATCH(#REF!&amp;" "&amp;#REF!,#REF!,0),FALSE)</f>
        <v>#REF!</v>
      </c>
      <c r="AA32" s="132" t="e">
        <f>VLOOKUP(#REF!&amp;"а[]",#REF!,MATCH(#REF!&amp;" "&amp;#REF!,#REF!,0),FALSE)</f>
        <v>#REF!</v>
      </c>
      <c r="AB32" s="24" t="e">
        <f>TIME(HOUR(Z32),MINUTE(Z32),SECOND(Z32))-T32</f>
        <v>#REF!</v>
      </c>
      <c r="AC32" s="24" t="e">
        <f>TIME(HOUR(AA32),MINUTE(AA32),SECOND(AA32))-T32</f>
        <v>#REF!</v>
      </c>
      <c r="AD32" s="39" t="e">
        <f>MIN(ABS(#REF!-AB32),ABS(#REF!-AC32))*1440*60</f>
        <v>#REF!</v>
      </c>
      <c r="AE32" s="132" t="e">
        <f>VLOOKUP(#REF!&amp;"[]",#REF!,MATCH(#REF!&amp;" "&amp;#REF!,#REF!,0),FALSE)</f>
        <v>#REF!</v>
      </c>
      <c r="AF32" s="132" t="e">
        <f>VLOOKUP(#REF!&amp;"а[]",#REF!,MATCH(#REF!&amp;" "&amp;#REF!,#REF!,0),FALSE)</f>
        <v>#REF!</v>
      </c>
      <c r="AG32" s="24" t="e">
        <f>MIN(AE32-Z32,AE32-AA32)</f>
        <v>#REF!</v>
      </c>
      <c r="AH32" s="24" t="e">
        <f>MIN(AF32-Z32,AF32-AA32)</f>
        <v>#REF!</v>
      </c>
      <c r="AI32" s="39" t="e">
        <f>MIN(ABS(#REF!-AG32),ABS(#REF!-AH32))*1440*60</f>
        <v>#REF!</v>
      </c>
      <c r="AJ32" s="23"/>
      <c r="AK32" s="36" t="e">
        <f>#REF!+#REF!</f>
        <v>#REF!</v>
      </c>
      <c r="AL32" s="132" t="e">
        <f>VLOOKUP(#REF!&amp;"[]",#REF!,MATCH(#REF!&amp;""&amp;#REF!,#REF!,0),FALSE)</f>
        <v>#REF!</v>
      </c>
      <c r="AM32" s="132" t="e">
        <f>VLOOKUP(#REF!&amp;"а[]",#REF!,MATCH(#REF!&amp;""&amp;#REF!,#REF!,0),FALSE)</f>
        <v>#REF!</v>
      </c>
      <c r="AN32" s="37"/>
      <c r="AO32" s="38" t="e">
        <f t="shared" si="60"/>
        <v>#REF!</v>
      </c>
      <c r="AP32" s="21" t="e">
        <f t="shared" si="61"/>
        <v>#REF!</v>
      </c>
      <c r="AQ32" s="22"/>
      <c r="AR32" s="44"/>
      <c r="AS32" s="46"/>
      <c r="AT32" s="45">
        <f t="shared" si="59"/>
        <v>0</v>
      </c>
      <c r="AU32" s="22"/>
      <c r="AV32" s="134" t="e">
        <f>#REF!+#REF!+#REF!+#REF!+#REF!+#REF!+#REF!+#REF!+#REF!+#REF!+#REF!+#REF!+#REF!+#REF!+#REF!+#REF!+#REF!+P32+#REF!+O32+M32+L32+I32+H32+#REF!+#REF!</f>
        <v>#REF!</v>
      </c>
    </row>
    <row r="33" spans="1:48" s="1" customFormat="1" ht="15" hidden="1" customHeight="1">
      <c r="A33" s="31">
        <f>Старт.вед.!B33</f>
        <v>0</v>
      </c>
      <c r="B33" s="20" t="str">
        <f>VLOOKUP(A33,'Уч-ки'!$B$8:$H$39,2,FALSE)</f>
        <v xml:space="preserve"> </v>
      </c>
      <c r="C33" s="36" t="e">
        <f>#REF!+$C$5</f>
        <v>#REF!</v>
      </c>
      <c r="D33" s="132" t="e">
        <f>VLOOKUP(A33&amp;"[]",#REF!,MATCH($C$4&amp;""&amp;$D$6,#REF!,0),FALSE)</f>
        <v>#REF!</v>
      </c>
      <c r="E33" s="132" t="e">
        <f>VLOOKUP(A33&amp;"а[]",#REF!,MATCH($C$4&amp;""&amp;$D$6,#REF!,0),FALSE)</f>
        <v>#REF!</v>
      </c>
      <c r="F33" s="37"/>
      <c r="G33" s="38" t="e">
        <f t="shared" si="52"/>
        <v>#REF!</v>
      </c>
      <c r="H33" s="21" t="e">
        <f t="shared" si="62"/>
        <v>#REF!</v>
      </c>
      <c r="I33" s="22"/>
      <c r="J33" s="44"/>
      <c r="K33" s="46"/>
      <c r="L33" s="45">
        <f t="shared" si="36"/>
        <v>0</v>
      </c>
      <c r="M33" s="22"/>
      <c r="N33" s="24" t="e">
        <f>TIME(HOUR(#REF!),MINUTE(#REF!),SECOND(#REF!))-#REF!</f>
        <v>#REF!</v>
      </c>
      <c r="O33" s="39" t="e">
        <f>MIN(ABS($N$5-#REF!),ABS($N$5-N33))*1440*60</f>
        <v>#REF!</v>
      </c>
      <c r="P33" s="23"/>
      <c r="Q33" s="132" t="e">
        <f>VLOOKUP(A33&amp;"[]",#REF!,MATCH(#REF!&amp;" "&amp;$Q$6,#REF!,0),FALSE)</f>
        <v>#REF!</v>
      </c>
      <c r="R33" s="132" t="e">
        <f>VLOOKUP(A33&amp;"а[]",#REF!,MATCH(#REF!&amp;" "&amp;$Q$6,#REF!,0),FALSE)</f>
        <v>#REF!</v>
      </c>
      <c r="S33" s="37"/>
      <c r="T33" s="38" t="e">
        <f t="shared" si="53"/>
        <v>#REF!</v>
      </c>
      <c r="U33" s="132" t="e">
        <f>VLOOKUP(#REF!&amp;"[]",#REF!,MATCH(#REF!&amp;" "&amp;#REF!,#REF!,0),FALSE)</f>
        <v>#REF!</v>
      </c>
      <c r="V33" s="132" t="e">
        <f>VLOOKUP(#REF!&amp;"а[]",#REF!,MATCH(#REF!&amp;" "&amp;#REF!,#REF!,0),FALSE)</f>
        <v>#REF!</v>
      </c>
      <c r="W33" s="24" t="e">
        <f>TIME(HOUR(U33),MINUTE(U33),SECOND(U33))-T33</f>
        <v>#REF!</v>
      </c>
      <c r="X33" s="24" t="e">
        <f>TIME(HOUR(V33),MINUTE(V33),SECOND(V33))-T33</f>
        <v>#REF!</v>
      </c>
      <c r="Y33" s="39" t="e">
        <f>MIN(ABS(#REF!-W33),ABS(#REF!-X33))*1440*60</f>
        <v>#REF!</v>
      </c>
      <c r="Z33" s="132" t="e">
        <f>VLOOKUP(#REF!&amp;"[]",#REF!,MATCH(#REF!&amp;" "&amp;#REF!,#REF!,0),FALSE)</f>
        <v>#REF!</v>
      </c>
      <c r="AA33" s="132" t="e">
        <f>VLOOKUP(#REF!&amp;"а[]",#REF!,MATCH(#REF!&amp;" "&amp;#REF!,#REF!,0),FALSE)</f>
        <v>#REF!</v>
      </c>
      <c r="AB33" s="24" t="e">
        <f>TIME(HOUR(Z33),MINUTE(Z33),SECOND(Z33))-T33</f>
        <v>#REF!</v>
      </c>
      <c r="AC33" s="24" t="e">
        <f>TIME(HOUR(AA33),MINUTE(AA33),SECOND(AA33))-T33</f>
        <v>#REF!</v>
      </c>
      <c r="AD33" s="39" t="e">
        <f>MIN(ABS(#REF!-AB33),ABS(#REF!-AC33))*1440*60</f>
        <v>#REF!</v>
      </c>
      <c r="AE33" s="132" t="e">
        <f>VLOOKUP(#REF!&amp;"[]",#REF!,MATCH(#REF!&amp;" "&amp;#REF!,#REF!,0),FALSE)</f>
        <v>#REF!</v>
      </c>
      <c r="AF33" s="132" t="e">
        <f>VLOOKUP(#REF!&amp;"а[]",#REF!,MATCH(#REF!&amp;" "&amp;#REF!,#REF!,0),FALSE)</f>
        <v>#REF!</v>
      </c>
      <c r="AG33" s="24" t="e">
        <f>MIN(AE33-Z33,AE33-AA33)</f>
        <v>#REF!</v>
      </c>
      <c r="AH33" s="24" t="e">
        <f>MIN(AF33-Z33,AF33-AA33)</f>
        <v>#REF!</v>
      </c>
      <c r="AI33" s="39" t="e">
        <f>MIN(ABS(#REF!-AG33),ABS(#REF!-AH33))*1440*60</f>
        <v>#REF!</v>
      </c>
      <c r="AJ33" s="23"/>
      <c r="AK33" s="36" t="e">
        <f>#REF!+#REF!</f>
        <v>#REF!</v>
      </c>
      <c r="AL33" s="132" t="e">
        <f>VLOOKUP(#REF!&amp;"[]",#REF!,MATCH(#REF!&amp;""&amp;#REF!,#REF!,0),FALSE)</f>
        <v>#REF!</v>
      </c>
      <c r="AM33" s="132" t="e">
        <f>VLOOKUP(#REF!&amp;"а[]",#REF!,MATCH(#REF!&amp;""&amp;#REF!,#REF!,0),FALSE)</f>
        <v>#REF!</v>
      </c>
      <c r="AN33" s="37"/>
      <c r="AO33" s="38" t="e">
        <f t="shared" si="60"/>
        <v>#REF!</v>
      </c>
      <c r="AP33" s="21" t="e">
        <f t="shared" si="61"/>
        <v>#REF!</v>
      </c>
      <c r="AQ33" s="22"/>
      <c r="AR33" s="44"/>
      <c r="AS33" s="46"/>
      <c r="AT33" s="45">
        <f t="shared" si="59"/>
        <v>0</v>
      </c>
      <c r="AU33" s="22"/>
      <c r="AV33" s="134" t="e">
        <f>#REF!+#REF!+#REF!+#REF!+#REF!+#REF!+#REF!+#REF!+#REF!+#REF!+#REF!+#REF!+#REF!+#REF!+#REF!+#REF!+#REF!+P33+#REF!+O33+M33+L33+I33+H33+#REF!+#REF!</f>
        <v>#REF!</v>
      </c>
    </row>
    <row r="34" spans="1:48" s="1" customFormat="1" ht="15" hidden="1" customHeight="1">
      <c r="A34" s="31">
        <f>Старт.вед.!B34</f>
        <v>0</v>
      </c>
      <c r="B34" s="20" t="str">
        <f>VLOOKUP(A34,'Уч-ки'!$B$8:$H$39,2,FALSE)</f>
        <v xml:space="preserve"> </v>
      </c>
      <c r="C34" s="36" t="e">
        <f>#REF!+$C$5</f>
        <v>#REF!</v>
      </c>
      <c r="D34" s="132" t="e">
        <f>VLOOKUP(A34&amp;"[]",#REF!,MATCH($C$4&amp;""&amp;$D$6,#REF!,0),FALSE)</f>
        <v>#REF!</v>
      </c>
      <c r="E34" s="132" t="e">
        <f>VLOOKUP(A34&amp;"а[]",#REF!,MATCH($C$4&amp;""&amp;$D$6,#REF!,0),FALSE)</f>
        <v>#REF!</v>
      </c>
      <c r="F34" s="37"/>
      <c r="G34" s="38" t="e">
        <f t="shared" si="52"/>
        <v>#REF!</v>
      </c>
      <c r="H34" s="21" t="e">
        <f t="shared" si="62"/>
        <v>#REF!</v>
      </c>
      <c r="I34" s="22"/>
      <c r="J34" s="44"/>
      <c r="K34" s="46"/>
      <c r="L34" s="45">
        <f t="shared" si="36"/>
        <v>0</v>
      </c>
      <c r="M34" s="22"/>
      <c r="N34" s="24" t="e">
        <f>TIME(HOUR(#REF!),MINUTE(#REF!),SECOND(#REF!))-#REF!</f>
        <v>#REF!</v>
      </c>
      <c r="O34" s="39" t="e">
        <f>MIN(ABS($N$5-#REF!),ABS($N$5-N34))*1440*60</f>
        <v>#REF!</v>
      </c>
      <c r="P34" s="23"/>
      <c r="Q34" s="132" t="e">
        <f>VLOOKUP(A34&amp;"[]",#REF!,MATCH(#REF!&amp;" "&amp;$Q$6,#REF!,0),FALSE)</f>
        <v>#REF!</v>
      </c>
      <c r="R34" s="132" t="e">
        <f>VLOOKUP(A34&amp;"а[]",#REF!,MATCH(#REF!&amp;" "&amp;$Q$6,#REF!,0),FALSE)</f>
        <v>#REF!</v>
      </c>
      <c r="S34" s="37"/>
      <c r="T34" s="38" t="e">
        <f t="shared" si="53"/>
        <v>#REF!</v>
      </c>
      <c r="U34" s="132" t="e">
        <f>VLOOKUP(#REF!&amp;"[]",#REF!,MATCH(#REF!&amp;" "&amp;#REF!,#REF!,0),FALSE)</f>
        <v>#REF!</v>
      </c>
      <c r="V34" s="132" t="e">
        <f>VLOOKUP(#REF!&amp;"а[]",#REF!,MATCH(#REF!&amp;" "&amp;#REF!,#REF!,0),FALSE)</f>
        <v>#REF!</v>
      </c>
      <c r="W34" s="24" t="e">
        <f>TIME(HOUR(U34),MINUTE(U34),SECOND(U34))-T34</f>
        <v>#REF!</v>
      </c>
      <c r="X34" s="24" t="e">
        <f>TIME(HOUR(V34),MINUTE(V34),SECOND(V34))-T34</f>
        <v>#REF!</v>
      </c>
      <c r="Y34" s="39" t="e">
        <f>MIN(ABS(#REF!-W34),ABS(#REF!-X34))*1440*60</f>
        <v>#REF!</v>
      </c>
      <c r="Z34" s="132" t="e">
        <f>VLOOKUP(#REF!&amp;"[]",#REF!,MATCH(#REF!&amp;" "&amp;#REF!,#REF!,0),FALSE)</f>
        <v>#REF!</v>
      </c>
      <c r="AA34" s="132" t="e">
        <f>VLOOKUP(#REF!&amp;"а[]",#REF!,MATCH(#REF!&amp;" "&amp;#REF!,#REF!,0),FALSE)</f>
        <v>#REF!</v>
      </c>
      <c r="AB34" s="24" t="e">
        <f>TIME(HOUR(Z34),MINUTE(Z34),SECOND(Z34))-T34</f>
        <v>#REF!</v>
      </c>
      <c r="AC34" s="24" t="e">
        <f>TIME(HOUR(AA34),MINUTE(AA34),SECOND(AA34))-T34</f>
        <v>#REF!</v>
      </c>
      <c r="AD34" s="39" t="e">
        <f>MIN(ABS(#REF!-AB34),ABS(#REF!-AC34))*1440*60</f>
        <v>#REF!</v>
      </c>
      <c r="AE34" s="132" t="e">
        <f>VLOOKUP(#REF!&amp;"[]",#REF!,MATCH(#REF!&amp;" "&amp;#REF!,#REF!,0),FALSE)</f>
        <v>#REF!</v>
      </c>
      <c r="AF34" s="132" t="e">
        <f>VLOOKUP(#REF!&amp;"а[]",#REF!,MATCH(#REF!&amp;" "&amp;#REF!,#REF!,0),FALSE)</f>
        <v>#REF!</v>
      </c>
      <c r="AG34" s="24" t="e">
        <f>MIN(AE34-Z34,AE34-AA34)</f>
        <v>#REF!</v>
      </c>
      <c r="AH34" s="24" t="e">
        <f>MIN(AF34-Z34,AF34-AA34)</f>
        <v>#REF!</v>
      </c>
      <c r="AI34" s="39" t="e">
        <f>MIN(ABS(#REF!-AG34),ABS(#REF!-AH34))*1440*60</f>
        <v>#REF!</v>
      </c>
      <c r="AJ34" s="23"/>
      <c r="AK34" s="36" t="e">
        <f>#REF!+#REF!</f>
        <v>#REF!</v>
      </c>
      <c r="AL34" s="132" t="e">
        <f>VLOOKUP(#REF!&amp;"[]",#REF!,MATCH(#REF!&amp;""&amp;#REF!,#REF!,0),FALSE)</f>
        <v>#REF!</v>
      </c>
      <c r="AM34" s="132" t="e">
        <f>VLOOKUP(#REF!&amp;"а[]",#REF!,MATCH(#REF!&amp;""&amp;#REF!,#REF!,0),FALSE)</f>
        <v>#REF!</v>
      </c>
      <c r="AN34" s="37"/>
      <c r="AO34" s="38" t="e">
        <f t="shared" si="60"/>
        <v>#REF!</v>
      </c>
      <c r="AP34" s="21" t="e">
        <f t="shared" si="61"/>
        <v>#REF!</v>
      </c>
      <c r="AQ34" s="22"/>
      <c r="AR34" s="44"/>
      <c r="AS34" s="46"/>
      <c r="AT34" s="45">
        <f t="shared" si="59"/>
        <v>0</v>
      </c>
      <c r="AU34" s="22"/>
      <c r="AV34" s="134" t="e">
        <f>#REF!+#REF!+#REF!+#REF!+#REF!+#REF!+#REF!+#REF!+#REF!+#REF!+#REF!+#REF!+#REF!+#REF!+#REF!+#REF!+#REF!+P34+#REF!+O34+M34+L34+I34+H34+#REF!+#REF!</f>
        <v>#REF!</v>
      </c>
    </row>
    <row r="35" spans="1:48" s="1" customFormat="1" ht="15" hidden="1" customHeight="1">
      <c r="A35" s="31">
        <f>Старт.вед.!B35</f>
        <v>0</v>
      </c>
      <c r="B35" s="20" t="str">
        <f>VLOOKUP(A35,'Уч-ки'!$B$8:$H$39,2,FALSE)</f>
        <v xml:space="preserve"> </v>
      </c>
      <c r="C35" s="36" t="e">
        <f>#REF!+$C$5</f>
        <v>#REF!</v>
      </c>
      <c r="D35" s="132" t="e">
        <f>VLOOKUP(A35&amp;"[]",#REF!,MATCH($C$4&amp;""&amp;$D$6,#REF!,0),FALSE)</f>
        <v>#REF!</v>
      </c>
      <c r="E35" s="132" t="e">
        <f>VLOOKUP(A35&amp;"а[]",#REF!,MATCH($C$4&amp;""&amp;$D$6,#REF!,0),FALSE)</f>
        <v>#REF!</v>
      </c>
      <c r="F35" s="37"/>
      <c r="G35" s="38" t="e">
        <f t="shared" si="52"/>
        <v>#REF!</v>
      </c>
      <c r="H35" s="21" t="e">
        <f t="shared" si="62"/>
        <v>#REF!</v>
      </c>
      <c r="I35" s="22"/>
      <c r="J35" s="44"/>
      <c r="K35" s="46"/>
      <c r="L35" s="45">
        <f t="shared" si="36"/>
        <v>0</v>
      </c>
      <c r="M35" s="22"/>
      <c r="N35" s="24" t="e">
        <f>TIME(HOUR(#REF!),MINUTE(#REF!),SECOND(#REF!))-#REF!</f>
        <v>#REF!</v>
      </c>
      <c r="O35" s="39" t="e">
        <f>MIN(ABS($N$5-#REF!),ABS($N$5-N35))*1440*60</f>
        <v>#REF!</v>
      </c>
      <c r="P35" s="23"/>
      <c r="Q35" s="132" t="e">
        <f>VLOOKUP(A35&amp;"[]",#REF!,MATCH(#REF!&amp;" "&amp;$Q$6,#REF!,0),FALSE)</f>
        <v>#REF!</v>
      </c>
      <c r="R35" s="132" t="e">
        <f>VLOOKUP(A35&amp;"а[]",#REF!,MATCH(#REF!&amp;" "&amp;$Q$6,#REF!,0),FALSE)</f>
        <v>#REF!</v>
      </c>
      <c r="S35" s="37"/>
      <c r="T35" s="38" t="e">
        <f t="shared" si="53"/>
        <v>#REF!</v>
      </c>
      <c r="U35" s="132" t="e">
        <f>VLOOKUP(#REF!&amp;"[]",#REF!,MATCH(#REF!&amp;" "&amp;#REF!,#REF!,0),FALSE)</f>
        <v>#REF!</v>
      </c>
      <c r="V35" s="132" t="e">
        <f>VLOOKUP(#REF!&amp;"а[]",#REF!,MATCH(#REF!&amp;" "&amp;#REF!,#REF!,0),FALSE)</f>
        <v>#REF!</v>
      </c>
      <c r="W35" s="24" t="e">
        <f>TIME(HOUR(U35),MINUTE(U35),SECOND(U35))-T35</f>
        <v>#REF!</v>
      </c>
      <c r="X35" s="24" t="e">
        <f>TIME(HOUR(V35),MINUTE(V35),SECOND(V35))-T35</f>
        <v>#REF!</v>
      </c>
      <c r="Y35" s="39" t="e">
        <f>MIN(ABS(#REF!-W35),ABS(#REF!-X35))*1440*60</f>
        <v>#REF!</v>
      </c>
      <c r="Z35" s="132" t="e">
        <f>VLOOKUP(#REF!&amp;"[]",#REF!,MATCH(#REF!&amp;" "&amp;#REF!,#REF!,0),FALSE)</f>
        <v>#REF!</v>
      </c>
      <c r="AA35" s="132" t="e">
        <f>VLOOKUP(#REF!&amp;"а[]",#REF!,MATCH(#REF!&amp;" "&amp;#REF!,#REF!,0),FALSE)</f>
        <v>#REF!</v>
      </c>
      <c r="AB35" s="24" t="e">
        <f>TIME(HOUR(Z35),MINUTE(Z35),SECOND(Z35))-T35</f>
        <v>#REF!</v>
      </c>
      <c r="AC35" s="24" t="e">
        <f>TIME(HOUR(AA35),MINUTE(AA35),SECOND(AA35))-T35</f>
        <v>#REF!</v>
      </c>
      <c r="AD35" s="39" t="e">
        <f>MIN(ABS(#REF!-AB35),ABS(#REF!-AC35))*1440*60</f>
        <v>#REF!</v>
      </c>
      <c r="AE35" s="132" t="e">
        <f>VLOOKUP(#REF!&amp;"[]",#REF!,MATCH(#REF!&amp;" "&amp;#REF!,#REF!,0),FALSE)</f>
        <v>#REF!</v>
      </c>
      <c r="AF35" s="132" t="e">
        <f>VLOOKUP(#REF!&amp;"а[]",#REF!,MATCH(#REF!&amp;" "&amp;#REF!,#REF!,0),FALSE)</f>
        <v>#REF!</v>
      </c>
      <c r="AG35" s="24" t="e">
        <f>MIN(AE35-Z35,AE35-AA35)</f>
        <v>#REF!</v>
      </c>
      <c r="AH35" s="24" t="e">
        <f>MIN(AF35-Z35,AF35-AA35)</f>
        <v>#REF!</v>
      </c>
      <c r="AI35" s="39" t="e">
        <f>MIN(ABS(#REF!-AG35),ABS(#REF!-AH35))*1440*60</f>
        <v>#REF!</v>
      </c>
      <c r="AJ35" s="23"/>
      <c r="AK35" s="36" t="e">
        <f>#REF!+#REF!</f>
        <v>#REF!</v>
      </c>
      <c r="AL35" s="132" t="e">
        <f>VLOOKUP(#REF!&amp;"[]",#REF!,MATCH(#REF!&amp;""&amp;#REF!,#REF!,0),FALSE)</f>
        <v>#REF!</v>
      </c>
      <c r="AM35" s="132" t="e">
        <f>VLOOKUP(#REF!&amp;"а[]",#REF!,MATCH(#REF!&amp;""&amp;#REF!,#REF!,0),FALSE)</f>
        <v>#REF!</v>
      </c>
      <c r="AN35" s="37"/>
      <c r="AO35" s="38" t="e">
        <f t="shared" si="60"/>
        <v>#REF!</v>
      </c>
      <c r="AP35" s="21" t="e">
        <f t="shared" si="61"/>
        <v>#REF!</v>
      </c>
      <c r="AQ35" s="22"/>
      <c r="AR35" s="44"/>
      <c r="AS35" s="46"/>
      <c r="AT35" s="45">
        <f t="shared" si="59"/>
        <v>0</v>
      </c>
      <c r="AU35" s="22"/>
      <c r="AV35" s="134" t="e">
        <f>#REF!+#REF!+#REF!+#REF!+#REF!+#REF!+#REF!+#REF!+#REF!+#REF!+#REF!+#REF!+#REF!+#REF!+#REF!+#REF!+#REF!+P35+#REF!+O35+M35+L35+I35+H35+#REF!+#REF!</f>
        <v>#REF!</v>
      </c>
    </row>
    <row r="36" spans="1:48" s="1" customFormat="1" ht="15" hidden="1" customHeight="1">
      <c r="A36" s="31">
        <f>Старт.вед.!B36</f>
        <v>0</v>
      </c>
      <c r="B36" s="20" t="str">
        <f>VLOOKUP(A36,'Уч-ки'!$B$8:$H$39,2,FALSE)</f>
        <v xml:space="preserve"> </v>
      </c>
      <c r="C36" s="36" t="e">
        <f>#REF!+$C$5</f>
        <v>#REF!</v>
      </c>
      <c r="D36" s="132" t="e">
        <f>VLOOKUP(A36&amp;"[]",#REF!,MATCH($C$4&amp;""&amp;$D$6,#REF!,0),FALSE)</f>
        <v>#REF!</v>
      </c>
      <c r="E36" s="132" t="e">
        <f>VLOOKUP(A36&amp;"а[]",#REF!,MATCH($C$4&amp;""&amp;$D$6,#REF!,0),FALSE)</f>
        <v>#REF!</v>
      </c>
      <c r="F36" s="37"/>
      <c r="G36" s="38" t="e">
        <f t="shared" si="52"/>
        <v>#REF!</v>
      </c>
      <c r="H36" s="21" t="e">
        <f t="shared" si="62"/>
        <v>#REF!</v>
      </c>
      <c r="I36" s="22"/>
      <c r="J36" s="44"/>
      <c r="K36" s="46"/>
      <c r="L36" s="45">
        <f t="shared" si="36"/>
        <v>0</v>
      </c>
      <c r="M36" s="22"/>
      <c r="N36" s="24" t="e">
        <f>TIME(HOUR(#REF!),MINUTE(#REF!),SECOND(#REF!))-#REF!</f>
        <v>#REF!</v>
      </c>
      <c r="O36" s="39" t="e">
        <f>MIN(ABS($N$5-#REF!),ABS($N$5-N36))*1440*60</f>
        <v>#REF!</v>
      </c>
      <c r="P36" s="23"/>
      <c r="Q36" s="132" t="e">
        <f>VLOOKUP(A36&amp;"[]",#REF!,MATCH(#REF!&amp;" "&amp;$Q$6,#REF!,0),FALSE)</f>
        <v>#REF!</v>
      </c>
      <c r="R36" s="132" t="e">
        <f>VLOOKUP(A36&amp;"а[]",#REF!,MATCH(#REF!&amp;" "&amp;$Q$6,#REF!,0),FALSE)</f>
        <v>#REF!</v>
      </c>
      <c r="S36" s="37"/>
      <c r="T36" s="38" t="e">
        <f t="shared" si="53"/>
        <v>#REF!</v>
      </c>
      <c r="U36" s="132" t="e">
        <f>VLOOKUP(#REF!&amp;"[]",#REF!,MATCH(#REF!&amp;" "&amp;#REF!,#REF!,0),FALSE)</f>
        <v>#REF!</v>
      </c>
      <c r="V36" s="132" t="e">
        <f>VLOOKUP(#REF!&amp;"а[]",#REF!,MATCH(#REF!&amp;" "&amp;#REF!,#REF!,0),FALSE)</f>
        <v>#REF!</v>
      </c>
      <c r="W36" s="24" t="e">
        <f>TIME(HOUR(U36),MINUTE(U36),SECOND(U36))-T36</f>
        <v>#REF!</v>
      </c>
      <c r="X36" s="24" t="e">
        <f>TIME(HOUR(V36),MINUTE(V36),SECOND(V36))-T36</f>
        <v>#REF!</v>
      </c>
      <c r="Y36" s="39" t="e">
        <f>MIN(ABS(#REF!-W36),ABS(#REF!-X36))*1440*60</f>
        <v>#REF!</v>
      </c>
      <c r="Z36" s="132" t="e">
        <f>VLOOKUP(#REF!&amp;"[]",#REF!,MATCH(#REF!&amp;" "&amp;#REF!,#REF!,0),FALSE)</f>
        <v>#REF!</v>
      </c>
      <c r="AA36" s="132" t="e">
        <f>VLOOKUP(#REF!&amp;"а[]",#REF!,MATCH(#REF!&amp;" "&amp;#REF!,#REF!,0),FALSE)</f>
        <v>#REF!</v>
      </c>
      <c r="AB36" s="24" t="e">
        <f>TIME(HOUR(Z36),MINUTE(Z36),SECOND(Z36))-T36</f>
        <v>#REF!</v>
      </c>
      <c r="AC36" s="24" t="e">
        <f>TIME(HOUR(AA36),MINUTE(AA36),SECOND(AA36))-T36</f>
        <v>#REF!</v>
      </c>
      <c r="AD36" s="39" t="e">
        <f>MIN(ABS(#REF!-AB36),ABS(#REF!-AC36))*1440*60</f>
        <v>#REF!</v>
      </c>
      <c r="AE36" s="132" t="e">
        <f>VLOOKUP(#REF!&amp;"[]",#REF!,MATCH(#REF!&amp;" "&amp;#REF!,#REF!,0),FALSE)</f>
        <v>#REF!</v>
      </c>
      <c r="AF36" s="132" t="e">
        <f>VLOOKUP(#REF!&amp;"а[]",#REF!,MATCH(#REF!&amp;" "&amp;#REF!,#REF!,0),FALSE)</f>
        <v>#REF!</v>
      </c>
      <c r="AG36" s="24" t="e">
        <f>MIN(AE36-Z36,AE36-AA36)</f>
        <v>#REF!</v>
      </c>
      <c r="AH36" s="24" t="e">
        <f>MIN(AF36-Z36,AF36-AA36)</f>
        <v>#REF!</v>
      </c>
      <c r="AI36" s="39" t="e">
        <f>MIN(ABS(#REF!-AG36),ABS(#REF!-AH36))*1440*60</f>
        <v>#REF!</v>
      </c>
      <c r="AJ36" s="23"/>
      <c r="AK36" s="36" t="e">
        <f>#REF!+#REF!</f>
        <v>#REF!</v>
      </c>
      <c r="AL36" s="132" t="e">
        <f>VLOOKUP(#REF!&amp;"[]",#REF!,MATCH(#REF!&amp;""&amp;#REF!,#REF!,0),FALSE)</f>
        <v>#REF!</v>
      </c>
      <c r="AM36" s="132" t="e">
        <f>VLOOKUP(#REF!&amp;"а[]",#REF!,MATCH(#REF!&amp;""&amp;#REF!,#REF!,0),FALSE)</f>
        <v>#REF!</v>
      </c>
      <c r="AN36" s="37"/>
      <c r="AO36" s="38" t="e">
        <f t="shared" si="60"/>
        <v>#REF!</v>
      </c>
      <c r="AP36" s="21" t="e">
        <f t="shared" si="61"/>
        <v>#REF!</v>
      </c>
      <c r="AQ36" s="22"/>
      <c r="AR36" s="44"/>
      <c r="AS36" s="46"/>
      <c r="AT36" s="45">
        <f t="shared" si="59"/>
        <v>0</v>
      </c>
      <c r="AU36" s="22"/>
      <c r="AV36" s="134" t="e">
        <f>#REF!+#REF!+#REF!+#REF!+#REF!+#REF!+#REF!+#REF!+#REF!+#REF!+#REF!+#REF!+#REF!+#REF!+#REF!+#REF!+#REF!+P36+#REF!+O36+M36+L36+I36+H36+#REF!+#REF!</f>
        <v>#REF!</v>
      </c>
    </row>
    <row r="37" spans="1:48" s="1" customFormat="1" ht="15" hidden="1" customHeight="1">
      <c r="A37" s="31">
        <f>Старт.вед.!B37</f>
        <v>0</v>
      </c>
      <c r="B37" s="20" t="str">
        <f>VLOOKUP(A37,'Уч-ки'!$B$8:$H$39,2,FALSE)</f>
        <v xml:space="preserve"> </v>
      </c>
      <c r="C37" s="36" t="e">
        <f>#REF!+$C$5</f>
        <v>#REF!</v>
      </c>
      <c r="D37" s="132" t="e">
        <f>VLOOKUP(A37&amp;"[]",#REF!,MATCH($C$4&amp;""&amp;$D$6,#REF!,0),FALSE)</f>
        <v>#REF!</v>
      </c>
      <c r="E37" s="132" t="e">
        <f>VLOOKUP(A37&amp;"а[]",#REF!,MATCH($C$4&amp;""&amp;$D$6,#REF!,0),FALSE)</f>
        <v>#REF!</v>
      </c>
      <c r="F37" s="37"/>
      <c r="G37" s="38" t="e">
        <f t="shared" si="52"/>
        <v>#REF!</v>
      </c>
      <c r="H37" s="21" t="e">
        <f t="shared" si="62"/>
        <v>#REF!</v>
      </c>
      <c r="I37" s="22"/>
      <c r="J37" s="44"/>
      <c r="K37" s="46"/>
      <c r="L37" s="45">
        <f t="shared" si="36"/>
        <v>0</v>
      </c>
      <c r="M37" s="22"/>
      <c r="N37" s="24" t="e">
        <f>TIME(HOUR(#REF!),MINUTE(#REF!),SECOND(#REF!))-#REF!</f>
        <v>#REF!</v>
      </c>
      <c r="O37" s="39" t="e">
        <f>MIN(ABS($N$5-#REF!),ABS($N$5-N37))*1440*60</f>
        <v>#REF!</v>
      </c>
      <c r="P37" s="23"/>
      <c r="Q37" s="132" t="e">
        <f>VLOOKUP(A37&amp;"[]",#REF!,MATCH(#REF!&amp;" "&amp;$Q$6,#REF!,0),FALSE)</f>
        <v>#REF!</v>
      </c>
      <c r="R37" s="132" t="e">
        <f>VLOOKUP(A37&amp;"а[]",#REF!,MATCH(#REF!&amp;" "&amp;$Q$6,#REF!,0),FALSE)</f>
        <v>#REF!</v>
      </c>
      <c r="S37" s="37"/>
      <c r="T37" s="38" t="e">
        <f t="shared" si="53"/>
        <v>#REF!</v>
      </c>
      <c r="U37" s="132" t="e">
        <f>VLOOKUP(#REF!&amp;"[]",#REF!,MATCH(#REF!&amp;" "&amp;#REF!,#REF!,0),FALSE)</f>
        <v>#REF!</v>
      </c>
      <c r="V37" s="132" t="e">
        <f>VLOOKUP(#REF!&amp;"а[]",#REF!,MATCH(#REF!&amp;" "&amp;#REF!,#REF!,0),FALSE)</f>
        <v>#REF!</v>
      </c>
      <c r="W37" s="24" t="e">
        <f>TIME(HOUR(U37),MINUTE(U37),SECOND(U37))-T37</f>
        <v>#REF!</v>
      </c>
      <c r="X37" s="24" t="e">
        <f>TIME(HOUR(V37),MINUTE(V37),SECOND(V37))-T37</f>
        <v>#REF!</v>
      </c>
      <c r="Y37" s="39" t="e">
        <f>MIN(ABS(#REF!-W37),ABS(#REF!-X37))*1440*60</f>
        <v>#REF!</v>
      </c>
      <c r="Z37" s="132" t="e">
        <f>VLOOKUP(#REF!&amp;"[]",#REF!,MATCH(#REF!&amp;" "&amp;#REF!,#REF!,0),FALSE)</f>
        <v>#REF!</v>
      </c>
      <c r="AA37" s="132" t="e">
        <f>VLOOKUP(#REF!&amp;"а[]",#REF!,MATCH(#REF!&amp;" "&amp;#REF!,#REF!,0),FALSE)</f>
        <v>#REF!</v>
      </c>
      <c r="AB37" s="24" t="e">
        <f>TIME(HOUR(Z37),MINUTE(Z37),SECOND(Z37))-T37</f>
        <v>#REF!</v>
      </c>
      <c r="AC37" s="24" t="e">
        <f>TIME(HOUR(AA37),MINUTE(AA37),SECOND(AA37))-T37</f>
        <v>#REF!</v>
      </c>
      <c r="AD37" s="39" t="e">
        <f>MIN(ABS(#REF!-AB37),ABS(#REF!-AC37))*1440*60</f>
        <v>#REF!</v>
      </c>
      <c r="AE37" s="132" t="e">
        <f>VLOOKUP(#REF!&amp;"[]",#REF!,MATCH(#REF!&amp;" "&amp;#REF!,#REF!,0),FALSE)</f>
        <v>#REF!</v>
      </c>
      <c r="AF37" s="132" t="e">
        <f>VLOOKUP(#REF!&amp;"а[]",#REF!,MATCH(#REF!&amp;" "&amp;#REF!,#REF!,0),FALSE)</f>
        <v>#REF!</v>
      </c>
      <c r="AG37" s="24" t="e">
        <f>MIN(AE37-Z37,AE37-AA37)</f>
        <v>#REF!</v>
      </c>
      <c r="AH37" s="24" t="e">
        <f>MIN(AF37-Z37,AF37-AA37)</f>
        <v>#REF!</v>
      </c>
      <c r="AI37" s="39" t="e">
        <f>MIN(ABS(#REF!-AG37),ABS(#REF!-AH37))*1440*60</f>
        <v>#REF!</v>
      </c>
      <c r="AJ37" s="23"/>
      <c r="AK37" s="36" t="e">
        <f>#REF!+#REF!</f>
        <v>#REF!</v>
      </c>
      <c r="AL37" s="132" t="e">
        <f>VLOOKUP(#REF!&amp;"[]",#REF!,MATCH(#REF!&amp;""&amp;#REF!,#REF!,0),FALSE)</f>
        <v>#REF!</v>
      </c>
      <c r="AM37" s="132" t="e">
        <f>VLOOKUP(#REF!&amp;"а[]",#REF!,MATCH(#REF!&amp;""&amp;#REF!,#REF!,0),FALSE)</f>
        <v>#REF!</v>
      </c>
      <c r="AN37" s="37"/>
      <c r="AO37" s="38" t="e">
        <f t="shared" si="60"/>
        <v>#REF!</v>
      </c>
      <c r="AP37" s="21" t="e">
        <f t="shared" si="61"/>
        <v>#REF!</v>
      </c>
      <c r="AQ37" s="22"/>
      <c r="AR37" s="44"/>
      <c r="AS37" s="46"/>
      <c r="AT37" s="45">
        <f t="shared" si="59"/>
        <v>0</v>
      </c>
      <c r="AU37" s="22"/>
      <c r="AV37" s="134" t="e">
        <f>#REF!+#REF!+#REF!+#REF!+#REF!+#REF!+#REF!+#REF!+#REF!+#REF!+#REF!+#REF!+#REF!+#REF!+#REF!+#REF!+#REF!+P37+#REF!+O37+M37+L37+I37+H37+#REF!+#REF!</f>
        <v>#REF!</v>
      </c>
    </row>
    <row r="38" spans="1:48" s="1" customFormat="1" ht="15" hidden="1" customHeight="1">
      <c r="A38" s="31">
        <f>Старт.вед.!B38</f>
        <v>0</v>
      </c>
      <c r="B38" s="20" t="str">
        <f>VLOOKUP(A38,'Уч-ки'!$B$8:$H$39,2,FALSE)</f>
        <v xml:space="preserve"> </v>
      </c>
      <c r="C38" s="36" t="e">
        <f>#REF!+$C$5</f>
        <v>#REF!</v>
      </c>
      <c r="D38" s="132" t="e">
        <f>VLOOKUP(A38&amp;"[]",#REF!,MATCH($C$4&amp;""&amp;$D$6,#REF!,0),FALSE)</f>
        <v>#REF!</v>
      </c>
      <c r="E38" s="132" t="e">
        <f>VLOOKUP(A38&amp;"а[]",#REF!,MATCH($C$4&amp;""&amp;$D$6,#REF!,0),FALSE)</f>
        <v>#REF!</v>
      </c>
      <c r="F38" s="37"/>
      <c r="G38" s="38" t="e">
        <f t="shared" si="52"/>
        <v>#REF!</v>
      </c>
      <c r="H38" s="21" t="e">
        <f t="shared" si="62"/>
        <v>#REF!</v>
      </c>
      <c r="I38" s="22"/>
      <c r="J38" s="44"/>
      <c r="K38" s="46"/>
      <c r="L38" s="45">
        <f t="shared" si="36"/>
        <v>0</v>
      </c>
      <c r="M38" s="22"/>
      <c r="N38" s="24" t="e">
        <f>TIME(HOUR(#REF!),MINUTE(#REF!),SECOND(#REF!))-#REF!</f>
        <v>#REF!</v>
      </c>
      <c r="O38" s="39" t="e">
        <f>MIN(ABS($N$5-#REF!),ABS($N$5-N38))*1440*60</f>
        <v>#REF!</v>
      </c>
      <c r="P38" s="23"/>
      <c r="Q38" s="132" t="e">
        <f>VLOOKUP(A38&amp;"[]",#REF!,MATCH(#REF!&amp;" "&amp;$Q$6,#REF!,0),FALSE)</f>
        <v>#REF!</v>
      </c>
      <c r="R38" s="132" t="e">
        <f>VLOOKUP(A38&amp;"а[]",#REF!,MATCH(#REF!&amp;" "&amp;$Q$6,#REF!,0),FALSE)</f>
        <v>#REF!</v>
      </c>
      <c r="S38" s="37"/>
      <c r="T38" s="38" t="e">
        <f t="shared" si="53"/>
        <v>#REF!</v>
      </c>
      <c r="U38" s="132" t="e">
        <f>VLOOKUP(#REF!&amp;"[]",#REF!,MATCH(#REF!&amp;" "&amp;#REF!,#REF!,0),FALSE)</f>
        <v>#REF!</v>
      </c>
      <c r="V38" s="132" t="e">
        <f>VLOOKUP(#REF!&amp;"а[]",#REF!,MATCH(#REF!&amp;" "&amp;#REF!,#REF!,0),FALSE)</f>
        <v>#REF!</v>
      </c>
      <c r="W38" s="24" t="e">
        <f>TIME(HOUR(U38),MINUTE(U38),SECOND(U38))-T38</f>
        <v>#REF!</v>
      </c>
      <c r="X38" s="24" t="e">
        <f>TIME(HOUR(V38),MINUTE(V38),SECOND(V38))-T38</f>
        <v>#REF!</v>
      </c>
      <c r="Y38" s="39" t="e">
        <f>MIN(ABS(#REF!-W38),ABS(#REF!-X38))*1440*60</f>
        <v>#REF!</v>
      </c>
      <c r="Z38" s="132" t="e">
        <f>VLOOKUP(#REF!&amp;"[]",#REF!,MATCH(#REF!&amp;" "&amp;#REF!,#REF!,0),FALSE)</f>
        <v>#REF!</v>
      </c>
      <c r="AA38" s="132" t="e">
        <f>VLOOKUP(#REF!&amp;"а[]",#REF!,MATCH(#REF!&amp;" "&amp;#REF!,#REF!,0),FALSE)</f>
        <v>#REF!</v>
      </c>
      <c r="AB38" s="24" t="e">
        <f>TIME(HOUR(Z38),MINUTE(Z38),SECOND(Z38))-T38</f>
        <v>#REF!</v>
      </c>
      <c r="AC38" s="24" t="e">
        <f>TIME(HOUR(AA38),MINUTE(AA38),SECOND(AA38))-T38</f>
        <v>#REF!</v>
      </c>
      <c r="AD38" s="39" t="e">
        <f>MIN(ABS(#REF!-AB38),ABS(#REF!-AC38))*1440*60</f>
        <v>#REF!</v>
      </c>
      <c r="AE38" s="132" t="e">
        <f>VLOOKUP(#REF!&amp;"[]",#REF!,MATCH(#REF!&amp;" "&amp;#REF!,#REF!,0),FALSE)</f>
        <v>#REF!</v>
      </c>
      <c r="AF38" s="132" t="e">
        <f>VLOOKUP(#REF!&amp;"а[]",#REF!,MATCH(#REF!&amp;" "&amp;#REF!,#REF!,0),FALSE)</f>
        <v>#REF!</v>
      </c>
      <c r="AG38" s="24" t="e">
        <f>MIN(AE38-Z38,AE38-AA38)</f>
        <v>#REF!</v>
      </c>
      <c r="AH38" s="24" t="e">
        <f>MIN(AF38-Z38,AF38-AA38)</f>
        <v>#REF!</v>
      </c>
      <c r="AI38" s="39" t="e">
        <f>MIN(ABS(#REF!-AG38),ABS(#REF!-AH38))*1440*60</f>
        <v>#REF!</v>
      </c>
      <c r="AJ38" s="23"/>
      <c r="AK38" s="36" t="e">
        <f>#REF!+#REF!</f>
        <v>#REF!</v>
      </c>
      <c r="AL38" s="132" t="e">
        <f>VLOOKUP(#REF!&amp;"[]",#REF!,MATCH(#REF!&amp;""&amp;#REF!,#REF!,0),FALSE)</f>
        <v>#REF!</v>
      </c>
      <c r="AM38" s="132" t="e">
        <f>VLOOKUP(#REF!&amp;"а[]",#REF!,MATCH(#REF!&amp;""&amp;#REF!,#REF!,0),FALSE)</f>
        <v>#REF!</v>
      </c>
      <c r="AN38" s="37"/>
      <c r="AO38" s="38" t="e">
        <f t="shared" si="60"/>
        <v>#REF!</v>
      </c>
      <c r="AP38" s="21" t="e">
        <f t="shared" si="61"/>
        <v>#REF!</v>
      </c>
      <c r="AQ38" s="22"/>
      <c r="AR38" s="44"/>
      <c r="AS38" s="46"/>
      <c r="AT38" s="45">
        <f t="shared" si="59"/>
        <v>0</v>
      </c>
      <c r="AU38" s="22"/>
      <c r="AV38" s="134" t="e">
        <f>#REF!+#REF!+#REF!+#REF!+#REF!+#REF!+#REF!+#REF!+#REF!+#REF!+#REF!+#REF!+#REF!+#REF!+#REF!+#REF!+#REF!+P38+#REF!+O38+M38+L38+I38+H38+#REF!+#REF!</f>
        <v>#REF!</v>
      </c>
    </row>
    <row r="39" spans="1:48" ht="12.75" hidden="1" customHeight="1">
      <c r="A39" s="31">
        <f>Старт.вед.!B39</f>
        <v>0</v>
      </c>
      <c r="B39" s="20" t="str">
        <f>VLOOKUP(A39,'Уч-ки'!$B$8:$H$39,2,FALSE)</f>
        <v xml:space="preserve"> </v>
      </c>
      <c r="C39" s="36" t="e">
        <f>#REF!+$C$5</f>
        <v>#REF!</v>
      </c>
      <c r="D39" s="132" t="e">
        <f>VLOOKUP(A39&amp;"[]",#REF!,MATCH($C$4&amp;""&amp;$D$6,#REF!,0),FALSE)</f>
        <v>#REF!</v>
      </c>
      <c r="E39" s="132" t="e">
        <f>VLOOKUP(A39&amp;"а[]",#REF!,MATCH($C$4&amp;""&amp;$D$6,#REF!,0),FALSE)</f>
        <v>#REF!</v>
      </c>
      <c r="F39" s="37"/>
      <c r="G39" s="38" t="e">
        <f t="shared" si="52"/>
        <v>#REF!</v>
      </c>
      <c r="H39" s="21" t="e">
        <f t="shared" si="62"/>
        <v>#REF!</v>
      </c>
      <c r="I39" s="22"/>
      <c r="J39" s="44"/>
      <c r="K39" s="46"/>
      <c r="L39" s="45">
        <f t="shared" si="36"/>
        <v>0</v>
      </c>
      <c r="M39" s="22"/>
      <c r="N39" s="24" t="e">
        <f>TIME(HOUR(#REF!),MINUTE(#REF!),SECOND(#REF!))-#REF!</f>
        <v>#REF!</v>
      </c>
      <c r="O39" s="39" t="e">
        <f>MIN(ABS($N$5-#REF!),ABS($N$5-N39))*1440*60</f>
        <v>#REF!</v>
      </c>
      <c r="P39" s="23"/>
      <c r="Q39" s="132" t="e">
        <f>VLOOKUP(A39&amp;"[]",#REF!,MATCH(#REF!&amp;" "&amp;$Q$6,#REF!,0),FALSE)</f>
        <v>#REF!</v>
      </c>
      <c r="R39" s="132" t="e">
        <f>VLOOKUP(A39&amp;"а[]",#REF!,MATCH(#REF!&amp;" "&amp;$Q$6,#REF!,0),FALSE)</f>
        <v>#REF!</v>
      </c>
      <c r="S39" s="37"/>
      <c r="T39" s="38" t="e">
        <f t="shared" si="53"/>
        <v>#REF!</v>
      </c>
      <c r="U39" s="132" t="e">
        <f>VLOOKUP(#REF!&amp;"[]",#REF!,MATCH(#REF!&amp;" "&amp;#REF!,#REF!,0),FALSE)</f>
        <v>#REF!</v>
      </c>
      <c r="V39" s="132" t="e">
        <f>VLOOKUP(#REF!&amp;"а[]",#REF!,MATCH(#REF!&amp;" "&amp;#REF!,#REF!,0),FALSE)</f>
        <v>#REF!</v>
      </c>
      <c r="W39" s="24" t="e">
        <f>TIME(HOUR(U39),MINUTE(U39),SECOND(U39))-T39</f>
        <v>#REF!</v>
      </c>
      <c r="X39" s="24" t="e">
        <f>TIME(HOUR(V39),MINUTE(V39),SECOND(V39))-T39</f>
        <v>#REF!</v>
      </c>
      <c r="Y39" s="39" t="e">
        <f>MIN(ABS(#REF!-W39),ABS(#REF!-X39))*1440*60</f>
        <v>#REF!</v>
      </c>
      <c r="Z39" s="132" t="e">
        <f>VLOOKUP(#REF!&amp;"[]",#REF!,MATCH(#REF!&amp;" "&amp;#REF!,#REF!,0),FALSE)</f>
        <v>#REF!</v>
      </c>
      <c r="AA39" s="132" t="e">
        <f>VLOOKUP(#REF!&amp;"а[]",#REF!,MATCH(#REF!&amp;" "&amp;#REF!,#REF!,0),FALSE)</f>
        <v>#REF!</v>
      </c>
      <c r="AB39" s="24" t="e">
        <f>TIME(HOUR(Z39),MINUTE(Z39),SECOND(Z39))-T39</f>
        <v>#REF!</v>
      </c>
      <c r="AC39" s="24" t="e">
        <f>TIME(HOUR(AA39),MINUTE(AA39),SECOND(AA39))-T39</f>
        <v>#REF!</v>
      </c>
      <c r="AD39" s="39" t="e">
        <f>MIN(ABS(#REF!-AB39),ABS(#REF!-AC39))*1440*60</f>
        <v>#REF!</v>
      </c>
      <c r="AE39" s="132" t="e">
        <f>VLOOKUP(#REF!&amp;"[]",#REF!,MATCH(#REF!&amp;" "&amp;#REF!,#REF!,0),FALSE)</f>
        <v>#REF!</v>
      </c>
      <c r="AF39" s="132" t="e">
        <f>VLOOKUP(#REF!&amp;"а[]",#REF!,MATCH(#REF!&amp;" "&amp;#REF!,#REF!,0),FALSE)</f>
        <v>#REF!</v>
      </c>
      <c r="AG39" s="24" t="e">
        <f>MIN(AE39-Z39,AE39-AA39)</f>
        <v>#REF!</v>
      </c>
      <c r="AH39" s="24" t="e">
        <f>MIN(AF39-Z39,AF39-AA39)</f>
        <v>#REF!</v>
      </c>
      <c r="AI39" s="39" t="e">
        <f>MIN(ABS(#REF!-AG39),ABS(#REF!-AH39))*1440*60</f>
        <v>#REF!</v>
      </c>
      <c r="AJ39" s="23"/>
      <c r="AK39" s="36" t="e">
        <f>#REF!+#REF!</f>
        <v>#REF!</v>
      </c>
      <c r="AL39" s="132" t="e">
        <f>VLOOKUP(#REF!&amp;"[]",#REF!,MATCH(#REF!&amp;""&amp;#REF!,#REF!,0),FALSE)</f>
        <v>#REF!</v>
      </c>
      <c r="AM39" s="132" t="e">
        <f>VLOOKUP(#REF!&amp;"а[]",#REF!,MATCH(#REF!&amp;""&amp;#REF!,#REF!,0),FALSE)</f>
        <v>#REF!</v>
      </c>
      <c r="AN39" s="37"/>
      <c r="AO39" s="38" t="e">
        <f t="shared" si="60"/>
        <v>#REF!</v>
      </c>
      <c r="AP39" s="21" t="e">
        <f t="shared" si="61"/>
        <v>#REF!</v>
      </c>
      <c r="AQ39" s="22"/>
      <c r="AR39" s="44"/>
      <c r="AS39" s="46"/>
      <c r="AT39" s="45">
        <f t="shared" si="59"/>
        <v>0</v>
      </c>
      <c r="AU39" s="22"/>
      <c r="AV39" s="134" t="e">
        <f>#REF!+#REF!+#REF!+#REF!+#REF!+#REF!+#REF!+#REF!+#REF!+#REF!+#REF!+#REF!+#REF!+#REF!+#REF!+#REF!+#REF!+P39+#REF!+O39+M39+L39+I39+H39+#REF!+#REF!</f>
        <v>#REF!</v>
      </c>
    </row>
    <row r="42" spans="1:48">
      <c r="W42" s="18"/>
      <c r="X42" s="18"/>
      <c r="Y42" s="18"/>
      <c r="AB42" s="18"/>
      <c r="AC42" s="18"/>
    </row>
    <row r="43" spans="1:48">
      <c r="W43" s="18"/>
      <c r="X43" s="18"/>
      <c r="Y43" s="18"/>
      <c r="AB43" s="18"/>
      <c r="AC43" s="18"/>
    </row>
    <row r="44" spans="1:48">
      <c r="W44" s="18"/>
      <c r="X44" s="18"/>
      <c r="Y44" s="18"/>
      <c r="AB44" s="18"/>
      <c r="AC44" s="18"/>
    </row>
    <row r="45" spans="1:48">
      <c r="W45" s="18"/>
      <c r="X45" s="18"/>
      <c r="Y45" s="18"/>
      <c r="AB45" s="18"/>
      <c r="AC45" s="18"/>
    </row>
    <row r="46" spans="1:48">
      <c r="W46" s="18"/>
      <c r="X46" s="18"/>
      <c r="Y46" s="18"/>
      <c r="AB46" s="18"/>
      <c r="AC46" s="18"/>
    </row>
    <row r="47" spans="1:48">
      <c r="W47" s="18"/>
      <c r="X47" s="18"/>
      <c r="Y47" s="18"/>
      <c r="AB47" s="18"/>
      <c r="AC47" s="18"/>
    </row>
    <row r="48" spans="1:48">
      <c r="W48" s="18"/>
      <c r="X48" s="18"/>
      <c r="Y48" s="18"/>
      <c r="AB48" s="18"/>
      <c r="AC48" s="18"/>
    </row>
  </sheetData>
  <mergeCells count="13">
    <mergeCell ref="AE6:AF6"/>
    <mergeCell ref="AL6:AM6"/>
    <mergeCell ref="Q4:AJ4"/>
    <mergeCell ref="AK4:AQ4"/>
    <mergeCell ref="AV4:AV6"/>
    <mergeCell ref="AR4:AU4"/>
    <mergeCell ref="Z6:AA6"/>
    <mergeCell ref="Q6:R6"/>
    <mergeCell ref="U6:V6"/>
    <mergeCell ref="C4:I4"/>
    <mergeCell ref="J4:M4"/>
    <mergeCell ref="N4:P4"/>
    <mergeCell ref="D6:E6"/>
  </mergeCells>
  <phoneticPr fontId="2" type="noConversion"/>
  <dataValidations count="2">
    <dataValidation type="textLength" operator="equal" allowBlank="1" showInputMessage="1" showErrorMessage="1" sqref="S8:S39 F8:F39 AN8:AN39">
      <formula1>4</formula1>
    </dataValidation>
    <dataValidation operator="equal" allowBlank="1" showInputMessage="1" showErrorMessage="1" sqref="U8:V39 D8:E39 AL8:AM39 AE8:AF39 Q8:R39 Z8:AA39"/>
  </dataValidations>
  <pageMargins left="0.75" right="0.75" top="1" bottom="1" header="0.5" footer="0.5"/>
  <pageSetup paperSize="9" orientation="portrait" r:id="rId1"/>
  <headerFooter alignWithMargins="0"/>
  <cellWatches>
    <cellWatch r="F8"/>
  </cellWatche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view="pageBreakPreview" topLeftCell="A3" zoomScale="75" zoomScaleNormal="100" workbookViewId="0">
      <pane xSplit="2" ySplit="5" topLeftCell="C8" activePane="bottomRight" state="frozen"/>
      <selection activeCell="A3" sqref="A3"/>
      <selection pane="topRight" activeCell="C3" sqref="C3"/>
      <selection pane="bottomLeft" activeCell="A8" sqref="A8"/>
      <selection pane="bottomRight" activeCell="A7" sqref="A7"/>
    </sheetView>
  </sheetViews>
  <sheetFormatPr defaultRowHeight="12.75"/>
  <cols>
    <col min="1" max="1" width="4.7109375" customWidth="1"/>
    <col min="2" max="2" width="22.7109375" customWidth="1"/>
    <col min="3" max="5" width="7.7109375" customWidth="1"/>
    <col min="6" max="6" width="6.7109375" customWidth="1"/>
    <col min="7" max="7" width="5.7109375" customWidth="1"/>
    <col min="8" max="8" width="7.28515625" customWidth="1"/>
    <col min="9" max="9" width="6.85546875" customWidth="1"/>
    <col min="10" max="10" width="5.7109375" customWidth="1"/>
    <col min="11" max="11" width="6.7109375" customWidth="1"/>
    <col min="12" max="12" width="8.7109375" customWidth="1"/>
    <col min="13" max="13" width="7.5703125" customWidth="1"/>
    <col min="14" max="14" width="10.7109375" customWidth="1"/>
    <col min="16" max="16" width="10.7109375" bestFit="1" customWidth="1"/>
  </cols>
  <sheetData>
    <row r="1" spans="1:16" ht="3" hidden="1" customHeight="1"/>
    <row r="2" spans="1:16" ht="12" hidden="1" customHeight="1"/>
    <row r="3" spans="1:16" ht="21" thickBot="1">
      <c r="A3" s="25" t="s">
        <v>86</v>
      </c>
    </row>
    <row r="4" spans="1:16" ht="19.149999999999999" customHeight="1" thickBot="1">
      <c r="A4" s="128" t="s">
        <v>8</v>
      </c>
      <c r="E4" s="201"/>
      <c r="G4" s="131"/>
      <c r="H4" s="228" t="s">
        <v>115</v>
      </c>
      <c r="I4" s="230"/>
      <c r="J4" s="229"/>
    </row>
    <row r="5" spans="1:16" ht="3.6" hidden="1" customHeight="1" thickBot="1">
      <c r="E5" s="1"/>
      <c r="F5" s="1"/>
      <c r="G5" s="130"/>
      <c r="H5" s="129"/>
      <c r="I5" s="131"/>
      <c r="J5" s="131"/>
      <c r="K5" s="1"/>
      <c r="L5" s="1"/>
      <c r="M5" s="1"/>
      <c r="N5" s="1"/>
      <c r="O5" s="1"/>
    </row>
    <row r="6" spans="1:16" ht="12" hidden="1" customHeight="1" thickBot="1">
      <c r="E6" s="1"/>
      <c r="F6" s="1"/>
      <c r="G6" s="130"/>
      <c r="H6" s="129"/>
      <c r="I6" s="131"/>
      <c r="J6" s="131"/>
      <c r="K6" s="1"/>
      <c r="L6" s="1"/>
      <c r="M6" s="1"/>
      <c r="N6" s="1"/>
    </row>
    <row r="7" spans="1:16" ht="40.9" customHeight="1" thickBot="1">
      <c r="A7" s="124" t="s">
        <v>35</v>
      </c>
      <c r="B7" s="161" t="s">
        <v>14</v>
      </c>
      <c r="C7" s="125" t="s">
        <v>114</v>
      </c>
      <c r="D7" s="125" t="s">
        <v>57</v>
      </c>
      <c r="E7" s="156" t="s">
        <v>15</v>
      </c>
      <c r="F7" s="124" t="s">
        <v>91</v>
      </c>
      <c r="G7" s="125" t="s">
        <v>60</v>
      </c>
      <c r="H7" s="125" t="s">
        <v>58</v>
      </c>
      <c r="I7" s="125" t="s">
        <v>98</v>
      </c>
      <c r="J7" s="125" t="s">
        <v>47</v>
      </c>
      <c r="K7" s="161" t="s">
        <v>100</v>
      </c>
      <c r="L7" s="157" t="s">
        <v>15</v>
      </c>
      <c r="M7" s="126" t="s">
        <v>85</v>
      </c>
      <c r="N7" s="127" t="s">
        <v>22</v>
      </c>
      <c r="P7" s="40" t="s">
        <v>23</v>
      </c>
    </row>
    <row r="8" spans="1:16">
      <c r="A8" s="121">
        <f>Секц.1!A8</f>
        <v>1</v>
      </c>
      <c r="B8" s="122" t="str">
        <f>VLOOKUP(A8,'Уч-ки'!$B$8:$H$38,2,FALSE)</f>
        <v>ЛЕБЕДЬКО Дмитрий</v>
      </c>
      <c r="C8" s="195">
        <f>VLOOKUP(A8,Секц.1!$A$8:$AV$38,8,FALSE)</f>
        <v>0</v>
      </c>
      <c r="D8" s="123">
        <f>VLOOKUP(A8,Секц.1!$A$8:$AV$38,42,FALSE)</f>
        <v>0</v>
      </c>
      <c r="E8" s="162">
        <f>SUM(C8:D8)</f>
        <v>0</v>
      </c>
      <c r="F8" s="196">
        <f>VLOOKUP(A8,Секц.1!$A$8:$AV$38,12,FALSE)</f>
        <v>49.4</v>
      </c>
      <c r="G8" s="123">
        <f>VLOOKUP(A8,Секц.1!$A$8:$AV$38,15,FALSE)</f>
        <v>31.000000000000149</v>
      </c>
      <c r="H8" s="123">
        <f>VLOOKUP(A8,Секц.1!$A$8:$AV$38,25,FALSE)</f>
        <v>76.999999999997542</v>
      </c>
      <c r="I8" s="123">
        <f>VLOOKUP(A8,Секц.1!$A$8:$AV$38,30,FALSE)</f>
        <v>124.00000000000264</v>
      </c>
      <c r="J8" s="123">
        <f>VLOOKUP(A8,Секц.1!$A$8:$AV$38,35,FALSE)</f>
        <v>271.00000000000426</v>
      </c>
      <c r="K8" s="255">
        <f>VLOOKUP(A8,Секц.1!$A$8:$AV$38,46,FALSE)</f>
        <v>50.7</v>
      </c>
      <c r="L8" s="163">
        <f>SUM(F8:K8)</f>
        <v>603.10000000000468</v>
      </c>
      <c r="M8" s="26">
        <v>0</v>
      </c>
      <c r="N8" s="27">
        <f>M8+L8+E8</f>
        <v>603.10000000000468</v>
      </c>
      <c r="P8" t="str">
        <f>IF(N8=Секц.1!AV8,"Ок","Ошибка")</f>
        <v>Ошибка</v>
      </c>
    </row>
    <row r="9" spans="1:16">
      <c r="A9" s="121">
        <f>Секц.1!A9</f>
        <v>2</v>
      </c>
      <c r="B9" s="122" t="str">
        <f>VLOOKUP(A9,'Уч-ки'!$B$8:$H$38,2,FALSE)</f>
        <v>ПЕТРОВ Георгий</v>
      </c>
      <c r="C9" s="195">
        <f>VLOOKUP(A9,Секц.1!$A$8:$AV$38,8,FALSE)</f>
        <v>0</v>
      </c>
      <c r="D9" s="123">
        <f>VLOOKUP(A9,Секц.1!$A$8:$AV$38,42,FALSE)</f>
        <v>0</v>
      </c>
      <c r="E9" s="162">
        <f t="shared" ref="E9:E13" si="0">SUM(C9:D9)</f>
        <v>0</v>
      </c>
      <c r="F9" s="165">
        <f>VLOOKUP(A9,Секц.1!$A$8:$AV$38,12,FALSE)</f>
        <v>51</v>
      </c>
      <c r="G9" s="164">
        <f>VLOOKUP(A9,Секц.1!$A$8:$AV$38,15,FALSE)</f>
        <v>387.99999999999989</v>
      </c>
      <c r="H9" s="164">
        <f>VLOOKUP(A9,Секц.1!$A$8:$AV$38,25,FALSE)</f>
        <v>6.0000000000024372</v>
      </c>
      <c r="I9" s="164">
        <f>VLOOKUP(A9,Секц.1!$A$8:$AV$38,30,FALSE)</f>
        <v>25.000000000001574</v>
      </c>
      <c r="J9" s="164">
        <f>VLOOKUP(A9,Секц.1!$A$8:$AV$38,35,FALSE)</f>
        <v>11.000000000003569</v>
      </c>
      <c r="K9" s="198">
        <f>VLOOKUP(A9,Секц.1!$A$8:$AV$38,46,FALSE)</f>
        <v>54</v>
      </c>
      <c r="L9" s="163">
        <f t="shared" ref="L9:L13" si="1">SUM(F9:K9)</f>
        <v>535.0000000000075</v>
      </c>
      <c r="M9" s="26">
        <v>0</v>
      </c>
      <c r="N9" s="27">
        <f t="shared" ref="N9:N13" si="2">M9+L9+E9</f>
        <v>535.0000000000075</v>
      </c>
      <c r="P9" t="str">
        <f>IF(N9=Секц.1!AV9,"Ок","Ошибка")</f>
        <v>Ок</v>
      </c>
    </row>
    <row r="10" spans="1:16">
      <c r="A10" s="121">
        <f>Секц.1!A10</f>
        <v>3</v>
      </c>
      <c r="B10" s="122" t="str">
        <f>VLOOKUP(A10,'Уч-ки'!$B$8:$H$38,2,FALSE)</f>
        <v>ЮРАХНО Евгений</v>
      </c>
      <c r="C10" s="195">
        <f>VLOOKUP(A10,Секц.1!$A$8:$AV$38,8,FALSE)</f>
        <v>0</v>
      </c>
      <c r="D10" s="123">
        <f>VLOOKUP(A10,Секц.1!$A$8:$AV$38,42,FALSE)</f>
        <v>0</v>
      </c>
      <c r="E10" s="162">
        <f t="shared" si="0"/>
        <v>0</v>
      </c>
      <c r="F10" s="165">
        <f>VLOOKUP(A10,Секц.1!$A$8:$AV$38,12,FALSE)</f>
        <v>67</v>
      </c>
      <c r="G10" s="164">
        <f>VLOOKUP(A10,Секц.1!$A$8:$AV$38,15,FALSE)</f>
        <v>490.00000000000028</v>
      </c>
      <c r="H10" s="164">
        <f>VLOOKUP(A10,Секц.1!$A$8:$AV$38,25,FALSE)</f>
        <v>27.000000000000924</v>
      </c>
      <c r="I10" s="164">
        <f>VLOOKUP(A10,Секц.1!$A$8:$AV$38,30,FALSE)</f>
        <v>36.99999999999865</v>
      </c>
      <c r="J10" s="164">
        <f>VLOOKUP(A10,Секц.1!$A$8:$AV$38,35,FALSE)</f>
        <v>2.9999999999991198</v>
      </c>
      <c r="K10" s="198">
        <f>VLOOKUP(A10,Секц.1!$A$8:$AV$38,46,FALSE)</f>
        <v>54.5</v>
      </c>
      <c r="L10" s="163">
        <f t="shared" si="1"/>
        <v>678.49999999999886</v>
      </c>
      <c r="M10" s="26">
        <v>0</v>
      </c>
      <c r="N10" s="27">
        <f t="shared" si="2"/>
        <v>678.49999999999886</v>
      </c>
      <c r="P10" t="str">
        <f>IF(N10=Секц.1!AV10,"Ок","Ошибка")</f>
        <v>Ок</v>
      </c>
    </row>
    <row r="11" spans="1:16">
      <c r="A11" s="121">
        <f>Секц.1!A11</f>
        <v>4</v>
      </c>
      <c r="B11" s="122" t="str">
        <f>VLOOKUP(A11,'Уч-ки'!$B$8:$H$38,2,FALSE)</f>
        <v>КОРОЛЕВА Любовь</v>
      </c>
      <c r="C11" s="195">
        <f>VLOOKUP(A11,Секц.1!$A$8:$AV$38,8,FALSE)</f>
        <v>0</v>
      </c>
      <c r="D11" s="123">
        <f>VLOOKUP(A11,Секц.1!$A$8:$AV$38,42,FALSE)</f>
        <v>0</v>
      </c>
      <c r="E11" s="162">
        <f t="shared" si="0"/>
        <v>0</v>
      </c>
      <c r="F11" s="165">
        <f>VLOOKUP(A11,Секц.1!$A$8:$AV$38,12,FALSE)</f>
        <v>70</v>
      </c>
      <c r="G11" s="164">
        <f>VLOOKUP(A11,Секц.1!$A$8:$AV$38,15,FALSE)</f>
        <v>900</v>
      </c>
      <c r="H11" s="164">
        <f>VLOOKUP(A11,Секц.1!$A$8:$AV$38,25,FALSE)</f>
        <v>104.99999999999872</v>
      </c>
      <c r="I11" s="164">
        <f>VLOOKUP(A11,Секц.1!$A$8:$AV$38,30,FALSE)</f>
        <v>9.9999999999975024</v>
      </c>
      <c r="J11" s="164">
        <f>VLOOKUP(A11,Секц.1!$A$8:$AV$38,35,FALSE)</f>
        <v>36.000000000002174</v>
      </c>
      <c r="K11" s="198">
        <f>VLOOKUP(A11,Секц.1!$A$8:$AV$38,46,FALSE)</f>
        <v>68.599999999999994</v>
      </c>
      <c r="L11" s="163">
        <f t="shared" si="1"/>
        <v>1189.5999999999983</v>
      </c>
      <c r="M11" s="26">
        <v>0</v>
      </c>
      <c r="N11" s="27">
        <f t="shared" si="2"/>
        <v>1189.5999999999983</v>
      </c>
      <c r="P11" t="str">
        <f>IF(N11=Секц.1!AV11,"Ок","Ошибка")</f>
        <v>Ок</v>
      </c>
    </row>
    <row r="12" spans="1:16">
      <c r="A12" s="121">
        <f>Секц.1!A12</f>
        <v>5</v>
      </c>
      <c r="B12" s="122" t="str">
        <f>VLOOKUP(A12,'Уч-ки'!$B$8:$H$38,2,FALSE)</f>
        <v>ХАПОНЕН Татьяна</v>
      </c>
      <c r="C12" s="195">
        <f>VLOOKUP(A12,Секц.1!$A$8:$AV$38,8,FALSE)</f>
        <v>0</v>
      </c>
      <c r="D12" s="123">
        <f>VLOOKUP(A12,Секц.1!$A$8:$AV$38,42,FALSE)</f>
        <v>0</v>
      </c>
      <c r="E12" s="162">
        <f t="shared" si="0"/>
        <v>0</v>
      </c>
      <c r="F12" s="165">
        <f>VLOOKUP(A12,Секц.1!$A$8:$AV$38,12,FALSE)</f>
        <v>70</v>
      </c>
      <c r="G12" s="164">
        <f>VLOOKUP(A12,Секц.1!$A$8:$AV$38,15,FALSE)</f>
        <v>199.00000000000034</v>
      </c>
      <c r="H12" s="164">
        <f>VLOOKUP(A12,Секц.1!$A$8:$AV$38,25,FALSE)</f>
        <v>31.000000000003148</v>
      </c>
      <c r="I12" s="164">
        <f>VLOOKUP(A12,Секц.1!$A$8:$AV$38,30,FALSE)</f>
        <v>6.9999999999987583</v>
      </c>
      <c r="J12" s="164">
        <f>VLOOKUP(A12,Секц.1!$A$8:$AV$38,35,FALSE)</f>
        <v>5.9999999999974909</v>
      </c>
      <c r="K12" s="198">
        <f>VLOOKUP(A12,Секц.1!$A$8:$AV$38,46,FALSE)</f>
        <v>56.3</v>
      </c>
      <c r="L12" s="163">
        <f t="shared" si="1"/>
        <v>369.29999999999973</v>
      </c>
      <c r="M12" s="26">
        <v>0</v>
      </c>
      <c r="N12" s="27">
        <f t="shared" si="2"/>
        <v>369.29999999999973</v>
      </c>
      <c r="P12" t="str">
        <f>IF(N12=Секц.1!AV12,"Ок","Ошибка")</f>
        <v>Ок</v>
      </c>
    </row>
    <row r="13" spans="1:16">
      <c r="A13" s="121">
        <f>Секц.1!A13</f>
        <v>13</v>
      </c>
      <c r="B13" s="122" t="str">
        <f>VLOOKUP(A13,'Уч-ки'!$B$8:$H$38,2,FALSE)</f>
        <v>ВИТВИЦКИЙ Денис</v>
      </c>
      <c r="C13" s="195">
        <f>VLOOKUP(A13,Секц.1!$A$8:$AV$38,8,FALSE)</f>
        <v>0</v>
      </c>
      <c r="D13" s="123">
        <f>VLOOKUP(A13,Секц.1!$A$8:$AV$38,42,FALSE)</f>
        <v>0</v>
      </c>
      <c r="E13" s="162">
        <f t="shared" si="0"/>
        <v>0</v>
      </c>
      <c r="F13" s="165">
        <f>VLOOKUP(A13,Секц.1!$A$8:$AV$38,12,FALSE)</f>
        <v>71</v>
      </c>
      <c r="G13" s="164">
        <f>VLOOKUP(A13,Секц.1!$A$8:$AV$38,15,FALSE)</f>
        <v>462.99999999999994</v>
      </c>
      <c r="H13" s="164">
        <f>VLOOKUP(A13,Секц.1!$A$8:$AV$38,25,FALSE)</f>
        <v>79.000000000001052</v>
      </c>
      <c r="I13" s="164">
        <f>VLOOKUP(A13,Секц.1!$A$8:$AV$38,30,FALSE)</f>
        <v>16.999999999997126</v>
      </c>
      <c r="J13" s="164">
        <f>VLOOKUP(A13,Секц.1!$A$8:$AV$38,35,FALSE)</f>
        <v>95.999999999997172</v>
      </c>
      <c r="K13" s="198">
        <f>VLOOKUP(A13,Секц.1!$A$8:$AV$38,46,FALSE)</f>
        <v>53.3</v>
      </c>
      <c r="L13" s="163">
        <f t="shared" si="1"/>
        <v>779.29999999999529</v>
      </c>
      <c r="M13" s="26">
        <v>0</v>
      </c>
      <c r="N13" s="27">
        <f t="shared" si="2"/>
        <v>779.29999999999529</v>
      </c>
      <c r="P13" t="str">
        <f>IF(N13=Секц.1!AV13,"Ок","Ошибка")</f>
        <v>Ок</v>
      </c>
    </row>
    <row r="14" spans="1:16" hidden="1">
      <c r="A14" s="121">
        <f>Секц.1!A14</f>
        <v>0</v>
      </c>
      <c r="B14" s="122" t="str">
        <f>VLOOKUP(A14,'Уч-ки'!$B$8:$H$38,2,FALSE)</f>
        <v xml:space="preserve"> </v>
      </c>
      <c r="C14" s="195"/>
      <c r="D14" s="123"/>
      <c r="E14" s="162"/>
      <c r="F14" s="165"/>
      <c r="G14" s="164"/>
      <c r="H14" s="164"/>
      <c r="I14" s="164"/>
      <c r="J14" s="164"/>
      <c r="K14" s="198"/>
      <c r="L14" s="163"/>
      <c r="M14" s="26"/>
      <c r="N14" s="27"/>
      <c r="P14" t="e">
        <f>IF(N14=Секц.1!AV14,"Ок","Ошибка")</f>
        <v>#REF!</v>
      </c>
    </row>
    <row r="15" spans="1:16" hidden="1">
      <c r="A15" s="121">
        <f>Секц.1!A15</f>
        <v>0</v>
      </c>
      <c r="B15" s="122" t="str">
        <f>VLOOKUP(A15,'Уч-ки'!$B$8:$H$38,2,FALSE)</f>
        <v xml:space="preserve"> </v>
      </c>
      <c r="C15" s="195"/>
      <c r="D15" s="123"/>
      <c r="E15" s="162"/>
      <c r="F15" s="165"/>
      <c r="G15" s="164"/>
      <c r="H15" s="164"/>
      <c r="I15" s="164"/>
      <c r="J15" s="164"/>
      <c r="K15" s="198"/>
      <c r="L15" s="163"/>
      <c r="M15" s="26"/>
      <c r="N15" s="27"/>
      <c r="P15" t="e">
        <f>IF(N15=Секц.1!AV15,"Ок","Ошибка")</f>
        <v>#REF!</v>
      </c>
    </row>
    <row r="16" spans="1:16" hidden="1">
      <c r="A16" s="121">
        <f>Секц.1!A16</f>
        <v>0</v>
      </c>
      <c r="B16" s="122" t="str">
        <f>VLOOKUP(A16,'Уч-ки'!$B$8:$H$38,2,FALSE)</f>
        <v xml:space="preserve"> </v>
      </c>
      <c r="C16" s="123"/>
      <c r="D16" s="123"/>
      <c r="E16" s="162"/>
      <c r="F16" s="196"/>
      <c r="G16" s="123"/>
      <c r="H16" s="123"/>
      <c r="I16" s="123"/>
      <c r="J16" s="123"/>
      <c r="K16" s="197"/>
      <c r="L16" s="163"/>
      <c r="M16" s="26"/>
      <c r="N16" s="27"/>
      <c r="P16" t="e">
        <f>IF(N16=Секц.1!AV16,"Ок","Ошибка")</f>
        <v>#REF!</v>
      </c>
    </row>
    <row r="17" spans="1:16" hidden="1">
      <c r="A17" s="121">
        <f>Секц.1!A17</f>
        <v>0</v>
      </c>
      <c r="B17" s="122" t="str">
        <f>VLOOKUP(A17,'Уч-ки'!$B$8:$H$38,2,FALSE)</f>
        <v xml:space="preserve"> </v>
      </c>
      <c r="C17" s="123"/>
      <c r="D17" s="123"/>
      <c r="E17" s="162"/>
      <c r="F17" s="165"/>
      <c r="G17" s="164"/>
      <c r="H17" s="164"/>
      <c r="I17" s="164"/>
      <c r="J17" s="164"/>
      <c r="K17" s="194"/>
      <c r="L17" s="163"/>
      <c r="M17" s="26"/>
      <c r="N17" s="27"/>
      <c r="P17" t="e">
        <f>IF(N17=Секц.1!AV17,"Ок","Ошибка")</f>
        <v>#REF!</v>
      </c>
    </row>
    <row r="18" spans="1:16" hidden="1">
      <c r="A18" s="121">
        <f>Секц.1!A18</f>
        <v>0</v>
      </c>
      <c r="B18" s="122" t="str">
        <f>VLOOKUP(A18,'Уч-ки'!$B$8:$H$38,2,FALSE)</f>
        <v xml:space="preserve"> </v>
      </c>
      <c r="C18" s="123"/>
      <c r="D18" s="123"/>
      <c r="E18" s="162"/>
      <c r="F18" s="165"/>
      <c r="G18" s="164"/>
      <c r="H18" s="164"/>
      <c r="I18" s="164"/>
      <c r="J18" s="164"/>
      <c r="K18" s="194"/>
      <c r="L18" s="163"/>
      <c r="M18" s="26"/>
      <c r="N18" s="27"/>
      <c r="P18" t="e">
        <f>IF(N18=Секц.1!AV18,"Ок","Ошибка")</f>
        <v>#REF!</v>
      </c>
    </row>
    <row r="19" spans="1:16" hidden="1">
      <c r="A19" s="121">
        <f>Секц.1!A19</f>
        <v>0</v>
      </c>
      <c r="B19" s="122" t="str">
        <f>VLOOKUP(A19,'Уч-ки'!$B$8:$H$38,2,FALSE)</f>
        <v xml:space="preserve"> </v>
      </c>
      <c r="C19" s="123"/>
      <c r="D19" s="123"/>
      <c r="E19" s="162"/>
      <c r="F19" s="165"/>
      <c r="G19" s="164"/>
      <c r="H19" s="164"/>
      <c r="I19" s="164"/>
      <c r="J19" s="164"/>
      <c r="K19" s="194"/>
      <c r="L19" s="163"/>
      <c r="M19" s="26"/>
      <c r="N19" s="27"/>
      <c r="P19" t="e">
        <f>IF(N19=Секц.1!AV19,"Ок","Ошибка")</f>
        <v>#REF!</v>
      </c>
    </row>
    <row r="20" spans="1:16" hidden="1">
      <c r="A20" s="121">
        <f>Секц.1!A20</f>
        <v>0</v>
      </c>
      <c r="B20" s="122" t="str">
        <f>VLOOKUP(A20,'Уч-ки'!$B$8:$H$38,2,FALSE)</f>
        <v xml:space="preserve"> </v>
      </c>
      <c r="C20" s="123"/>
      <c r="D20" s="123"/>
      <c r="E20" s="162"/>
      <c r="F20" s="165"/>
      <c r="G20" s="164"/>
      <c r="H20" s="164"/>
      <c r="I20" s="164"/>
      <c r="J20" s="164"/>
      <c r="K20" s="194"/>
      <c r="L20" s="163"/>
      <c r="M20" s="26"/>
      <c r="N20" s="27"/>
      <c r="P20" t="e">
        <f>IF(N20=Секц.1!AV20,"Ок","Ошибка")</f>
        <v>#REF!</v>
      </c>
    </row>
    <row r="21" spans="1:16" hidden="1">
      <c r="A21" s="121">
        <f>Секц.1!A21</f>
        <v>0</v>
      </c>
      <c r="B21" s="122" t="str">
        <f>VLOOKUP(A21,'Уч-ки'!$B$8:$H$38,2,FALSE)</f>
        <v xml:space="preserve"> </v>
      </c>
      <c r="C21" s="123"/>
      <c r="D21" s="123"/>
      <c r="E21" s="162"/>
      <c r="F21" s="165"/>
      <c r="G21" s="164"/>
      <c r="H21" s="164"/>
      <c r="I21" s="164"/>
      <c r="J21" s="164"/>
      <c r="K21" s="194"/>
      <c r="L21" s="163"/>
      <c r="M21" s="26"/>
      <c r="N21" s="27"/>
      <c r="P21" t="e">
        <f>IF(N21=Секц.1!AV21,"Ок","Ошибка")</f>
        <v>#REF!</v>
      </c>
    </row>
    <row r="22" spans="1:16" hidden="1">
      <c r="A22" s="121">
        <f>Секц.1!A22</f>
        <v>0</v>
      </c>
      <c r="B22" s="122" t="str">
        <f>VLOOKUP(A22,'Уч-ки'!$B$8:$H$38,2,FALSE)</f>
        <v xml:space="preserve"> </v>
      </c>
      <c r="C22" s="123"/>
      <c r="D22" s="123"/>
      <c r="E22" s="162"/>
      <c r="F22" s="165"/>
      <c r="G22" s="164"/>
      <c r="H22" s="164"/>
      <c r="I22" s="164"/>
      <c r="J22" s="164"/>
      <c r="K22" s="194"/>
      <c r="L22" s="163"/>
      <c r="M22" s="26"/>
      <c r="N22" s="27"/>
      <c r="P22" t="e">
        <f>IF(N22=Секц.1!AV22,"Ок","Ошибка")</f>
        <v>#REF!</v>
      </c>
    </row>
    <row r="23" spans="1:16" hidden="1">
      <c r="A23" s="121">
        <f>Секц.1!A23</f>
        <v>0</v>
      </c>
      <c r="B23" s="122" t="str">
        <f>VLOOKUP(A23,'Уч-ки'!$B$8:$H$38,2,FALSE)</f>
        <v xml:space="preserve"> </v>
      </c>
      <c r="C23" s="123"/>
      <c r="D23" s="123"/>
      <c r="E23" s="162"/>
      <c r="F23" s="165"/>
      <c r="G23" s="164"/>
      <c r="H23" s="164"/>
      <c r="I23" s="164"/>
      <c r="J23" s="164"/>
      <c r="K23" s="194"/>
      <c r="L23" s="163"/>
      <c r="M23" s="26"/>
      <c r="N23" s="27"/>
      <c r="P23" t="str">
        <f>IF(N23=Секц.1!AV23,"Ок","Ошибка")</f>
        <v>Ошибка</v>
      </c>
    </row>
    <row r="24" spans="1:16" hidden="1">
      <c r="A24" s="121">
        <f>Секц.1!A24</f>
        <v>0</v>
      </c>
      <c r="B24" s="122" t="str">
        <f>VLOOKUP(A24,'Уч-ки'!$B$8:$H$38,2,FALSE)</f>
        <v xml:space="preserve"> </v>
      </c>
      <c r="C24" s="123"/>
      <c r="D24" s="123"/>
      <c r="E24" s="162"/>
      <c r="F24" s="165"/>
      <c r="G24" s="164"/>
      <c r="H24" s="164"/>
      <c r="I24" s="164"/>
      <c r="J24" s="164"/>
      <c r="K24" s="194"/>
      <c r="L24" s="163"/>
      <c r="M24" s="26"/>
      <c r="N24" s="27"/>
      <c r="P24" t="e">
        <f>IF(N24=Секц.1!AV24,"Ок","Ошибка")</f>
        <v>#REF!</v>
      </c>
    </row>
    <row r="25" spans="1:16" hidden="1">
      <c r="A25" s="121">
        <f>Секц.1!A25</f>
        <v>0</v>
      </c>
      <c r="B25" s="122" t="str">
        <f>VLOOKUP(A25,'Уч-ки'!$B$8:$H$38,2,FALSE)</f>
        <v xml:space="preserve"> </v>
      </c>
      <c r="C25" s="123"/>
      <c r="D25" s="123"/>
      <c r="E25" s="162"/>
      <c r="F25" s="165"/>
      <c r="G25" s="164"/>
      <c r="H25" s="164"/>
      <c r="I25" s="164"/>
      <c r="J25" s="164"/>
      <c r="K25" s="165"/>
      <c r="L25" s="163"/>
      <c r="M25" s="26"/>
      <c r="N25" s="27"/>
      <c r="P25" t="e">
        <f>IF(N25=Секц.1!AV25,"Ок","Ошибка")</f>
        <v>#REF!</v>
      </c>
    </row>
    <row r="26" spans="1:16" hidden="1">
      <c r="A26" s="121">
        <f>Секц.1!A26</f>
        <v>0</v>
      </c>
      <c r="B26" s="122" t="str">
        <f>VLOOKUP(A26,'Уч-ки'!$B$8:$H$38,2,FALSE)</f>
        <v xml:space="preserve"> </v>
      </c>
      <c r="C26" s="123"/>
      <c r="D26" s="123"/>
      <c r="E26" s="162"/>
      <c r="F26" s="165"/>
      <c r="G26" s="164"/>
      <c r="H26" s="164"/>
      <c r="I26" s="164"/>
      <c r="J26" s="164"/>
      <c r="K26" s="165"/>
      <c r="L26" s="163"/>
      <c r="M26" s="26"/>
      <c r="N26" s="27"/>
      <c r="P26" t="e">
        <f>IF(N26=Секц.1!AV26,"Ок","Ошибка")</f>
        <v>#REF!</v>
      </c>
    </row>
    <row r="27" spans="1:16" hidden="1">
      <c r="A27" s="121">
        <f>Секц.1!A27</f>
        <v>0</v>
      </c>
      <c r="B27" s="122" t="str">
        <f>VLOOKUP(A27,'Уч-ки'!$B$8:$H$38,2,FALSE)</f>
        <v xml:space="preserve"> </v>
      </c>
      <c r="C27" s="123"/>
      <c r="D27" s="123"/>
      <c r="E27" s="162"/>
      <c r="F27" s="165"/>
      <c r="G27" s="164"/>
      <c r="H27" s="164"/>
      <c r="I27" s="164"/>
      <c r="J27" s="164"/>
      <c r="K27" s="165"/>
      <c r="L27" s="163"/>
      <c r="M27" s="26"/>
      <c r="N27" s="27"/>
      <c r="P27" t="e">
        <f>IF(N27=Секц.1!AV27,"Ок","Ошибка")</f>
        <v>#REF!</v>
      </c>
    </row>
    <row r="28" spans="1:16" hidden="1">
      <c r="A28" s="121">
        <f>Секц.1!A28</f>
        <v>0</v>
      </c>
      <c r="B28" s="122" t="str">
        <f>VLOOKUP(A28,'Уч-ки'!$B$8:$H$38,2,FALSE)</f>
        <v xml:space="preserve"> </v>
      </c>
      <c r="C28" s="123"/>
      <c r="D28" s="123"/>
      <c r="E28" s="162"/>
      <c r="F28" s="165"/>
      <c r="G28" s="164"/>
      <c r="H28" s="164"/>
      <c r="I28" s="164"/>
      <c r="J28" s="164"/>
      <c r="K28" s="165"/>
      <c r="L28" s="163"/>
      <c r="M28" s="26"/>
      <c r="N28" s="27"/>
      <c r="P28" t="e">
        <f>IF(N28=Секц.1!AV28,"Ок","Ошибка")</f>
        <v>#REF!</v>
      </c>
    </row>
    <row r="29" spans="1:16" hidden="1">
      <c r="A29" s="121">
        <f>Секц.1!A29</f>
        <v>0</v>
      </c>
      <c r="B29" s="122" t="str">
        <f>VLOOKUP(A29,'Уч-ки'!$B$8:$H$38,2,FALSE)</f>
        <v xml:space="preserve"> </v>
      </c>
      <c r="C29" s="123"/>
      <c r="D29" s="123"/>
      <c r="E29" s="162"/>
      <c r="F29" s="165"/>
      <c r="G29" s="164"/>
      <c r="H29" s="164"/>
      <c r="I29" s="164"/>
      <c r="J29" s="164"/>
      <c r="K29" s="165"/>
      <c r="L29" s="163"/>
      <c r="M29" s="26"/>
      <c r="N29" s="27"/>
      <c r="P29" t="e">
        <f>IF(N29=Секц.1!AV29,"Ок","Ошибка")</f>
        <v>#REF!</v>
      </c>
    </row>
    <row r="30" spans="1:16" hidden="1">
      <c r="A30" s="121">
        <f>Секц.1!A30</f>
        <v>0</v>
      </c>
      <c r="B30" s="122" t="str">
        <f>VLOOKUP(A30,'Уч-ки'!$B$8:$H$38,2,FALSE)</f>
        <v xml:space="preserve"> </v>
      </c>
      <c r="C30" s="123"/>
      <c r="D30" s="123"/>
      <c r="E30" s="162"/>
      <c r="F30" s="165"/>
      <c r="G30" s="164"/>
      <c r="H30" s="164"/>
      <c r="I30" s="164"/>
      <c r="J30" s="164"/>
      <c r="K30" s="165"/>
      <c r="L30" s="163"/>
      <c r="M30" s="26"/>
      <c r="N30" s="27"/>
      <c r="P30" t="e">
        <f>IF(N30=Секц.1!AV30,"Ок","Ошибка")</f>
        <v>#REF!</v>
      </c>
    </row>
    <row r="31" spans="1:16" hidden="1">
      <c r="A31" s="121">
        <f>Секц.1!A31</f>
        <v>0</v>
      </c>
      <c r="B31" s="122" t="str">
        <f>VLOOKUP(A31,'Уч-ки'!$B$8:$H$38,2,FALSE)</f>
        <v xml:space="preserve"> </v>
      </c>
      <c r="C31" s="123"/>
      <c r="D31" s="123"/>
      <c r="E31" s="162"/>
      <c r="F31" s="165"/>
      <c r="G31" s="164"/>
      <c r="H31" s="164"/>
      <c r="I31" s="164"/>
      <c r="J31" s="164"/>
      <c r="K31" s="165"/>
      <c r="L31" s="163"/>
      <c r="M31" s="26"/>
      <c r="N31" s="27"/>
      <c r="P31" t="e">
        <f>IF(N31=Секц.1!AV31,"Ок","Ошибка")</f>
        <v>#REF!</v>
      </c>
    </row>
    <row r="32" spans="1:16" hidden="1">
      <c r="A32" s="121">
        <f>Секц.1!A32</f>
        <v>0</v>
      </c>
      <c r="B32" s="122" t="str">
        <f>VLOOKUP(A32,'Уч-ки'!$B$8:$H$38,2,FALSE)</f>
        <v xml:space="preserve"> </v>
      </c>
      <c r="C32" s="123"/>
      <c r="D32" s="123"/>
      <c r="E32" s="162"/>
      <c r="F32" s="165"/>
      <c r="G32" s="164"/>
      <c r="H32" s="164"/>
      <c r="I32" s="164"/>
      <c r="J32" s="164"/>
      <c r="K32" s="165"/>
      <c r="L32" s="163"/>
      <c r="M32" s="26"/>
      <c r="N32" s="27"/>
      <c r="P32" t="e">
        <f>IF(N32=Секц.1!AV32,"Ок","Ошибка")</f>
        <v>#REF!</v>
      </c>
    </row>
    <row r="33" spans="1:16" hidden="1">
      <c r="A33" s="121">
        <f>Секц.1!A33</f>
        <v>0</v>
      </c>
      <c r="B33" s="122" t="str">
        <f>VLOOKUP(A33,'Уч-ки'!$B$8:$H$38,2,FALSE)</f>
        <v xml:space="preserve"> </v>
      </c>
      <c r="C33" s="123"/>
      <c r="D33" s="123"/>
      <c r="E33" s="162"/>
      <c r="F33" s="165"/>
      <c r="G33" s="164"/>
      <c r="H33" s="164"/>
      <c r="I33" s="164"/>
      <c r="J33" s="164"/>
      <c r="K33" s="165"/>
      <c r="L33" s="163"/>
      <c r="M33" s="26"/>
      <c r="N33" s="27"/>
      <c r="P33" t="e">
        <f>IF(N33=Секц.1!AV33,"Ок","Ошибка")</f>
        <v>#REF!</v>
      </c>
    </row>
    <row r="34" spans="1:16" hidden="1">
      <c r="A34" s="121">
        <f>Секц.1!A34</f>
        <v>0</v>
      </c>
      <c r="B34" s="122" t="str">
        <f>VLOOKUP(A34,'Уч-ки'!$B$8:$H$38,2,FALSE)</f>
        <v xml:space="preserve"> </v>
      </c>
      <c r="C34" s="123"/>
      <c r="D34" s="123"/>
      <c r="E34" s="162"/>
      <c r="F34" s="165"/>
      <c r="G34" s="164"/>
      <c r="H34" s="164"/>
      <c r="I34" s="164"/>
      <c r="J34" s="164"/>
      <c r="K34" s="165"/>
      <c r="L34" s="163"/>
      <c r="M34" s="26"/>
      <c r="N34" s="27"/>
      <c r="P34" t="e">
        <f>IF(N34=Секц.1!AV34,"Ок","Ошибка")</f>
        <v>#REF!</v>
      </c>
    </row>
    <row r="35" spans="1:16" hidden="1">
      <c r="A35" s="121">
        <f>Секц.1!A35</f>
        <v>0</v>
      </c>
      <c r="B35" s="122" t="str">
        <f>VLOOKUP(A35,'Уч-ки'!$B$8:$H$38,2,FALSE)</f>
        <v xml:space="preserve"> </v>
      </c>
      <c r="C35" s="123"/>
      <c r="D35" s="123"/>
      <c r="E35" s="162"/>
      <c r="F35" s="165"/>
      <c r="G35" s="164"/>
      <c r="H35" s="164"/>
      <c r="I35" s="164"/>
      <c r="J35" s="164"/>
      <c r="K35" s="165"/>
      <c r="L35" s="163"/>
      <c r="M35" s="26"/>
      <c r="N35" s="27"/>
      <c r="P35" t="e">
        <f>IF(N35=Секц.1!AV35,"Ок","Ошибка")</f>
        <v>#REF!</v>
      </c>
    </row>
    <row r="36" spans="1:16" hidden="1">
      <c r="A36" s="121">
        <f>Секц.1!A36</f>
        <v>0</v>
      </c>
      <c r="B36" s="122" t="str">
        <f>VLOOKUP(A36,'Уч-ки'!$B$8:$H$38,2,FALSE)</f>
        <v xml:space="preserve"> </v>
      </c>
      <c r="C36" s="123"/>
      <c r="D36" s="123"/>
      <c r="E36" s="162"/>
      <c r="F36" s="165"/>
      <c r="G36" s="164"/>
      <c r="H36" s="164"/>
      <c r="I36" s="164"/>
      <c r="J36" s="164"/>
      <c r="K36" s="165"/>
      <c r="L36" s="163"/>
      <c r="M36" s="26"/>
      <c r="N36" s="27"/>
      <c r="P36" t="e">
        <f>IF(N36=Секц.1!AV36,"Ок","Ошибка")</f>
        <v>#REF!</v>
      </c>
    </row>
    <row r="37" spans="1:16" hidden="1">
      <c r="A37" s="121">
        <f>Секц.1!A37</f>
        <v>0</v>
      </c>
      <c r="B37" s="122" t="str">
        <f>VLOOKUP(A37,'Уч-ки'!$B$8:$H$38,2,FALSE)</f>
        <v xml:space="preserve"> </v>
      </c>
      <c r="C37" s="123"/>
      <c r="D37" s="123"/>
      <c r="E37" s="162"/>
      <c r="F37" s="165"/>
      <c r="G37" s="164"/>
      <c r="H37" s="164"/>
      <c r="I37" s="164"/>
      <c r="J37" s="164"/>
      <c r="K37" s="165"/>
      <c r="L37" s="163"/>
      <c r="M37" s="26"/>
      <c r="N37" s="27"/>
      <c r="P37" t="e">
        <f>IF(N37=Секц.1!AV37,"Ок","Ошибка")</f>
        <v>#REF!</v>
      </c>
    </row>
    <row r="38" spans="1:16" hidden="1">
      <c r="A38" s="121">
        <f>Секц.1!A38</f>
        <v>0</v>
      </c>
      <c r="B38" s="122" t="str">
        <f>VLOOKUP(A38,'Уч-ки'!$B$8:$H$38,2,FALSE)</f>
        <v xml:space="preserve"> </v>
      </c>
      <c r="C38" s="123"/>
      <c r="D38" s="123"/>
      <c r="E38" s="162"/>
      <c r="F38" s="165"/>
      <c r="G38" s="164"/>
      <c r="H38" s="164"/>
      <c r="I38" s="164"/>
      <c r="J38" s="164"/>
      <c r="K38" s="165"/>
      <c r="L38" s="163"/>
      <c r="M38" s="26"/>
      <c r="N38" s="27"/>
      <c r="P38" t="e">
        <f>IF(N38=Секц.1!AV38,"Ок","Ошибка")</f>
        <v>#REF!</v>
      </c>
    </row>
    <row r="39" spans="1:16" ht="3" customHeight="1"/>
    <row r="40" spans="1:16" ht="17.45" customHeight="1">
      <c r="B40" s="11" t="s">
        <v>30</v>
      </c>
      <c r="C40" s="1"/>
      <c r="D40" s="1"/>
    </row>
    <row r="41" spans="1:16" ht="1.1499999999999999" customHeight="1"/>
    <row r="42" spans="1:16" ht="18">
      <c r="B42" s="28" t="s">
        <v>16</v>
      </c>
    </row>
  </sheetData>
  <mergeCells count="1">
    <mergeCell ref="H4:J4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horizontalDpi="7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Q48"/>
  <sheetViews>
    <sheetView topLeftCell="T1" workbookViewId="0">
      <selection activeCell="AB8" sqref="AB8"/>
    </sheetView>
  </sheetViews>
  <sheetFormatPr defaultRowHeight="12.75"/>
  <cols>
    <col min="1" max="1" width="5.42578125" style="16" customWidth="1"/>
    <col min="2" max="2" width="23.7109375" customWidth="1"/>
    <col min="3" max="3" width="6.7109375" customWidth="1"/>
    <col min="4" max="5" width="8.7109375" customWidth="1"/>
    <col min="6" max="6" width="5.7109375" customWidth="1"/>
    <col min="7" max="7" width="6.85546875" customWidth="1"/>
    <col min="8" max="9" width="5.7109375" customWidth="1"/>
    <col min="10" max="11" width="9.85546875" style="18" customWidth="1"/>
    <col min="12" max="12" width="5.7109375" customWidth="1"/>
    <col min="13" max="13" width="6.7109375" customWidth="1"/>
    <col min="14" max="14" width="10.85546875" style="18" customWidth="1"/>
    <col min="15" max="15" width="10.5703125" style="18" customWidth="1"/>
    <col min="16" max="16" width="9.42578125" customWidth="1"/>
    <col min="17" max="17" width="8.28515625" customWidth="1"/>
    <col min="18" max="18" width="5.7109375" customWidth="1"/>
    <col min="19" max="20" width="9.7109375" style="18" customWidth="1"/>
    <col min="21" max="22" width="8.28515625" customWidth="1"/>
    <col min="23" max="23" width="5.7109375" customWidth="1"/>
    <col min="24" max="25" width="9.7109375" style="18" customWidth="1"/>
    <col min="26" max="27" width="8.28515625" customWidth="1"/>
    <col min="28" max="28" width="5.7109375" customWidth="1"/>
    <col min="29" max="29" width="5.85546875" customWidth="1"/>
    <col min="30" max="30" width="6.7109375" customWidth="1"/>
    <col min="31" max="32" width="9.7109375" style="18" customWidth="1"/>
    <col min="33" max="33" width="5.7109375" customWidth="1"/>
    <col min="34" max="34" width="9.7109375" customWidth="1"/>
    <col min="35" max="38" width="5.7109375" customWidth="1"/>
    <col min="39" max="39" width="6.7109375" style="18" customWidth="1"/>
    <col min="40" max="40" width="5.7109375" style="18" customWidth="1"/>
    <col min="41" max="41" width="7.7109375" style="18" customWidth="1"/>
    <col min="42" max="42" width="5.7109375" style="18" customWidth="1"/>
    <col min="43" max="43" width="10.28515625" bestFit="1" customWidth="1"/>
  </cols>
  <sheetData>
    <row r="1" spans="1:43">
      <c r="A1" s="160">
        <v>1</v>
      </c>
      <c r="B1">
        <f t="shared" ref="B1:AQ1" si="0">1+A1</f>
        <v>2</v>
      </c>
      <c r="C1">
        <f t="shared" si="0"/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I1">
        <f t="shared" si="0"/>
        <v>9</v>
      </c>
      <c r="J1">
        <f t="shared" ref="J1" si="1">1+I1</f>
        <v>10</v>
      </c>
      <c r="K1">
        <f t="shared" ref="K1" si="2">1+J1</f>
        <v>11</v>
      </c>
      <c r="L1">
        <f t="shared" ref="L1" si="3">1+K1</f>
        <v>12</v>
      </c>
      <c r="M1">
        <f t="shared" ref="M1" si="4">1+L1</f>
        <v>13</v>
      </c>
      <c r="N1">
        <f t="shared" ref="N1" si="5">1+M1</f>
        <v>14</v>
      </c>
      <c r="O1">
        <f t="shared" ref="O1" si="6">1+N1</f>
        <v>15</v>
      </c>
      <c r="P1">
        <f t="shared" ref="P1" si="7">1+O1</f>
        <v>16</v>
      </c>
      <c r="Q1">
        <f t="shared" ref="Q1" si="8">1+P1</f>
        <v>17</v>
      </c>
      <c r="R1">
        <f t="shared" ref="R1" si="9">1+Q1</f>
        <v>18</v>
      </c>
      <c r="S1">
        <f t="shared" ref="S1" si="10">1+R1</f>
        <v>19</v>
      </c>
      <c r="T1">
        <f t="shared" ref="T1" si="11">1+S1</f>
        <v>20</v>
      </c>
      <c r="U1">
        <f t="shared" ref="U1" si="12">1+T1</f>
        <v>21</v>
      </c>
      <c r="V1">
        <f t="shared" ref="V1" si="13">1+U1</f>
        <v>22</v>
      </c>
      <c r="W1">
        <f t="shared" ref="W1" si="14">1+V1</f>
        <v>23</v>
      </c>
      <c r="X1">
        <f t="shared" ref="X1" si="15">1+W1</f>
        <v>24</v>
      </c>
      <c r="Y1">
        <f t="shared" ref="Y1" si="16">1+X1</f>
        <v>25</v>
      </c>
      <c r="Z1">
        <f t="shared" ref="Z1" si="17">1+Y1</f>
        <v>26</v>
      </c>
      <c r="AA1">
        <f t="shared" ref="AA1" si="18">1+Z1</f>
        <v>27</v>
      </c>
      <c r="AB1">
        <f t="shared" ref="AB1" si="19">1+AA1</f>
        <v>28</v>
      </c>
      <c r="AC1">
        <f t="shared" ref="AC1" si="20">1+AB1</f>
        <v>29</v>
      </c>
      <c r="AD1">
        <f t="shared" ref="AD1" si="21">1+AC1</f>
        <v>30</v>
      </c>
      <c r="AE1">
        <f t="shared" ref="AE1" si="22">1+AD1</f>
        <v>31</v>
      </c>
      <c r="AF1">
        <f t="shared" ref="AF1" si="23">1+AE1</f>
        <v>32</v>
      </c>
      <c r="AG1">
        <f t="shared" ref="AG1" si="24">1+AF1</f>
        <v>33</v>
      </c>
      <c r="AH1">
        <f t="shared" ref="AH1" si="25">1+AG1</f>
        <v>34</v>
      </c>
      <c r="AI1">
        <f t="shared" ref="AI1" si="26">1+AH1</f>
        <v>35</v>
      </c>
      <c r="AJ1">
        <f t="shared" ref="AJ1" si="27">1+AI1</f>
        <v>36</v>
      </c>
      <c r="AK1">
        <f t="shared" ref="AK1" si="28">1+AJ1</f>
        <v>37</v>
      </c>
      <c r="AL1">
        <f t="shared" ref="AL1" si="29">1+AK1</f>
        <v>38</v>
      </c>
      <c r="AM1">
        <f t="shared" ref="AM1" si="30">1+AL1</f>
        <v>39</v>
      </c>
      <c r="AN1">
        <f t="shared" ref="AN1" si="31">1+AM1</f>
        <v>40</v>
      </c>
      <c r="AO1">
        <f t="shared" ref="AO1" si="32">1+AN1</f>
        <v>41</v>
      </c>
      <c r="AP1">
        <f t="shared" ref="AP1" si="33">1+AO1</f>
        <v>42</v>
      </c>
      <c r="AQ1">
        <f t="shared" ref="AQ1" si="34">1+AP1</f>
        <v>43</v>
      </c>
    </row>
    <row r="2" spans="1:43" ht="20.25">
      <c r="A2" s="19" t="s">
        <v>86</v>
      </c>
    </row>
    <row r="3" spans="1:43" ht="18">
      <c r="A3" s="11" t="s">
        <v>113</v>
      </c>
      <c r="P3" s="18"/>
      <c r="Q3" s="18"/>
      <c r="R3" s="18"/>
      <c r="U3" s="18"/>
      <c r="V3" s="18"/>
      <c r="W3" s="18"/>
      <c r="Z3" s="18"/>
      <c r="AA3" s="18"/>
      <c r="AB3" s="18"/>
    </row>
    <row r="4" spans="1:43" s="1" customFormat="1">
      <c r="A4" s="16"/>
      <c r="B4"/>
      <c r="C4" s="219" t="s">
        <v>99</v>
      </c>
      <c r="D4" s="219"/>
      <c r="E4" s="219"/>
      <c r="F4" s="219"/>
      <c r="G4" s="219"/>
      <c r="H4" s="219"/>
      <c r="I4" s="219"/>
      <c r="J4" s="219" t="s">
        <v>62</v>
      </c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 t="s">
        <v>63</v>
      </c>
      <c r="AE4" s="219"/>
      <c r="AF4" s="219"/>
      <c r="AG4" s="219"/>
      <c r="AH4" s="219"/>
      <c r="AI4" s="219"/>
      <c r="AJ4" s="223"/>
      <c r="AK4" s="251" t="s">
        <v>116</v>
      </c>
      <c r="AL4" s="251" t="s">
        <v>117</v>
      </c>
      <c r="AM4" s="220" t="s">
        <v>118</v>
      </c>
      <c r="AN4" s="220"/>
      <c r="AO4" s="220"/>
      <c r="AP4" s="221"/>
      <c r="AQ4" s="225" t="s">
        <v>21</v>
      </c>
    </row>
    <row r="5" spans="1:43" s="1" customFormat="1">
      <c r="A5" s="16"/>
      <c r="B5"/>
      <c r="C5" s="176"/>
      <c r="D5" s="6"/>
      <c r="E5" s="6"/>
      <c r="F5" s="6"/>
      <c r="G5" s="6"/>
      <c r="H5" s="6"/>
      <c r="I5" s="173"/>
      <c r="J5" s="169"/>
      <c r="K5" s="169"/>
      <c r="L5" s="171"/>
      <c r="M5" s="171"/>
      <c r="N5" s="169"/>
      <c r="O5" s="169"/>
      <c r="P5" s="172"/>
      <c r="Q5" s="192">
        <v>2.6620370370370374E-3</v>
      </c>
      <c r="R5" s="135"/>
      <c r="S5" s="169"/>
      <c r="T5" s="169"/>
      <c r="U5" s="172"/>
      <c r="V5" s="199">
        <v>2.4189814814814816E-3</v>
      </c>
      <c r="W5" s="135"/>
      <c r="X5" s="169"/>
      <c r="Y5" s="169"/>
      <c r="Z5" s="172"/>
      <c r="AA5" s="199">
        <v>1.0763888888888891E-2</v>
      </c>
      <c r="AB5" s="135"/>
      <c r="AC5" s="173"/>
      <c r="AD5" s="185">
        <v>6.9444444444444434E-2</v>
      </c>
      <c r="AE5" s="169"/>
      <c r="AF5" s="169"/>
      <c r="AG5" s="6"/>
      <c r="AH5" s="6"/>
      <c r="AI5" s="6"/>
      <c r="AJ5" s="6"/>
      <c r="AK5" s="252"/>
      <c r="AL5" s="252"/>
      <c r="AM5" s="170"/>
      <c r="AN5" s="170"/>
      <c r="AO5" s="170"/>
      <c r="AP5" s="178"/>
      <c r="AQ5" s="226"/>
    </row>
    <row r="6" spans="1:43" s="1" customFormat="1">
      <c r="A6" s="16"/>
      <c r="B6"/>
      <c r="C6" s="177"/>
      <c r="D6" s="223"/>
      <c r="E6" s="224"/>
      <c r="F6" s="174"/>
      <c r="G6" s="174"/>
      <c r="H6" s="174"/>
      <c r="I6" s="175"/>
      <c r="J6" s="217" t="s">
        <v>64</v>
      </c>
      <c r="K6" s="218"/>
      <c r="L6" s="181"/>
      <c r="M6" s="181"/>
      <c r="N6" s="217" t="s">
        <v>58</v>
      </c>
      <c r="O6" s="218"/>
      <c r="P6" s="182"/>
      <c r="Q6" s="184"/>
      <c r="R6" s="183"/>
      <c r="S6" s="217" t="s">
        <v>98</v>
      </c>
      <c r="T6" s="218"/>
      <c r="U6" s="182"/>
      <c r="V6" s="182"/>
      <c r="W6" s="183"/>
      <c r="X6" s="217" t="s">
        <v>65</v>
      </c>
      <c r="Y6" s="218"/>
      <c r="Z6" s="182"/>
      <c r="AA6" s="182"/>
      <c r="AB6" s="183"/>
      <c r="AC6" s="175"/>
      <c r="AD6" s="186"/>
      <c r="AE6" s="217"/>
      <c r="AF6" s="218"/>
      <c r="AG6" s="174"/>
      <c r="AH6" s="174"/>
      <c r="AI6" s="174"/>
      <c r="AJ6" s="174"/>
      <c r="AK6" s="253"/>
      <c r="AL6" s="253"/>
      <c r="AM6" s="179"/>
      <c r="AN6" s="179"/>
      <c r="AO6" s="179"/>
      <c r="AP6" s="180"/>
      <c r="AQ6" s="227"/>
    </row>
    <row r="7" spans="1:43" s="1" customFormat="1" ht="45">
      <c r="A7" s="29" t="s">
        <v>35</v>
      </c>
      <c r="B7" s="30" t="s">
        <v>17</v>
      </c>
      <c r="C7" s="32" t="s">
        <v>19</v>
      </c>
      <c r="D7" s="33" t="s">
        <v>49</v>
      </c>
      <c r="E7" s="33" t="s">
        <v>50</v>
      </c>
      <c r="F7" s="33" t="s">
        <v>18</v>
      </c>
      <c r="G7" s="33" t="s">
        <v>10</v>
      </c>
      <c r="H7" s="34" t="s">
        <v>11</v>
      </c>
      <c r="I7" s="35" t="s">
        <v>12</v>
      </c>
      <c r="J7" s="33" t="s">
        <v>49</v>
      </c>
      <c r="K7" s="33" t="s">
        <v>50</v>
      </c>
      <c r="L7" s="33" t="s">
        <v>18</v>
      </c>
      <c r="M7" s="167" t="s">
        <v>20</v>
      </c>
      <c r="N7" s="33" t="s">
        <v>49</v>
      </c>
      <c r="O7" s="33" t="s">
        <v>50</v>
      </c>
      <c r="P7" s="34" t="s">
        <v>101</v>
      </c>
      <c r="Q7" s="34" t="s">
        <v>102</v>
      </c>
      <c r="R7" s="34" t="s">
        <v>105</v>
      </c>
      <c r="S7" s="33" t="s">
        <v>49</v>
      </c>
      <c r="T7" s="33" t="s">
        <v>50</v>
      </c>
      <c r="U7" s="34" t="s">
        <v>103</v>
      </c>
      <c r="V7" s="34" t="s">
        <v>104</v>
      </c>
      <c r="W7" s="34" t="s">
        <v>106</v>
      </c>
      <c r="X7" s="33" t="s">
        <v>49</v>
      </c>
      <c r="Y7" s="33" t="s">
        <v>50</v>
      </c>
      <c r="Z7" s="34" t="s">
        <v>69</v>
      </c>
      <c r="AA7" s="34" t="s">
        <v>67</v>
      </c>
      <c r="AB7" s="34" t="s">
        <v>68</v>
      </c>
      <c r="AC7" s="35" t="s">
        <v>12</v>
      </c>
      <c r="AD7" s="32" t="s">
        <v>19</v>
      </c>
      <c r="AE7" s="33" t="s">
        <v>49</v>
      </c>
      <c r="AF7" s="33" t="s">
        <v>50</v>
      </c>
      <c r="AG7" s="33" t="s">
        <v>18</v>
      </c>
      <c r="AH7" s="33" t="s">
        <v>10</v>
      </c>
      <c r="AI7" s="34" t="s">
        <v>11</v>
      </c>
      <c r="AJ7" s="246" t="s">
        <v>12</v>
      </c>
      <c r="AK7" s="248"/>
      <c r="AL7" s="248"/>
      <c r="AM7" s="193" t="s">
        <v>31</v>
      </c>
      <c r="AN7" s="159" t="s">
        <v>11</v>
      </c>
      <c r="AO7" s="159" t="s">
        <v>13</v>
      </c>
      <c r="AP7" s="159" t="s">
        <v>12</v>
      </c>
      <c r="AQ7" s="168" t="s">
        <v>12</v>
      </c>
    </row>
    <row r="8" spans="1:43" s="1" customFormat="1">
      <c r="A8" s="31">
        <f>Старт.вед.!B8</f>
        <v>1</v>
      </c>
      <c r="B8" s="20" t="str">
        <f>VLOOKUP(A8,'Уч-ки'!$B$8:$H$39,2,FALSE)</f>
        <v>ЛЕБЕДЬКО Дмитрий</v>
      </c>
      <c r="C8" s="36">
        <f>VLOOKUP(A8,Старт.вед.!$B$8:$I$57,8,FALSE)</f>
        <v>0.42291666666666666</v>
      </c>
      <c r="D8" s="132"/>
      <c r="E8" s="132"/>
      <c r="F8" s="37" t="s">
        <v>107</v>
      </c>
      <c r="G8" s="38">
        <f>IF(ISBLANK(F8),TIME(HOUR(D8),MINUTE(D8),0),TIME(LEFT(F8,2),RIGHT(F8,2),0))</f>
        <v>0.5131944444444444</v>
      </c>
      <c r="H8" s="21">
        <v>0</v>
      </c>
      <c r="I8" s="22"/>
      <c r="J8" s="132">
        <v>0.57372685185185179</v>
      </c>
      <c r="K8" s="132">
        <v>0.57372685185185179</v>
      </c>
      <c r="L8" s="37"/>
      <c r="M8" s="38">
        <f>IF(ISBLANK(L8),TIME(HOUR(J8),MINUTE(J8),0),TIME(LEFT(L8,2),RIGHT(L8,2),0))</f>
        <v>0.57361111111111118</v>
      </c>
      <c r="N8" s="132">
        <v>0.5763194444444445</v>
      </c>
      <c r="O8" s="132">
        <v>0.57630787037037035</v>
      </c>
      <c r="P8" s="24">
        <f>TIME(HOUR(N8),MINUTE(N8),SECOND(N8))-M8</f>
        <v>2.7083333333333126E-3</v>
      </c>
      <c r="Q8" s="24">
        <f>TIME(HOUR(O8),MINUTE(O8),SECOND(O8))-M8</f>
        <v>2.6967592592591627E-3</v>
      </c>
      <c r="R8" s="39">
        <f>MIN(ABS($Q$5-P8),ABS($Q$5-Q8))*1440*60</f>
        <v>2.9999999999916263</v>
      </c>
      <c r="S8" s="132">
        <v>0.57856481481481481</v>
      </c>
      <c r="T8" s="132">
        <v>0.57857638888888896</v>
      </c>
      <c r="U8" s="24">
        <f>MIN(S8-N8,S8-O8)</f>
        <v>2.2453703703703143E-3</v>
      </c>
      <c r="V8" s="24">
        <f>MIN(T8-O8,T8-N8)</f>
        <v>2.2569444444444642E-3</v>
      </c>
      <c r="W8" s="39">
        <f>MIN(ABS($V$5-U8),ABS($V$5-V8))*1440*60</f>
        <v>13.999999999998305</v>
      </c>
      <c r="X8" s="132">
        <v>0.59046296296296297</v>
      </c>
      <c r="Y8" s="132">
        <v>0.59045138888888882</v>
      </c>
      <c r="Z8" s="24">
        <f>MIN(X8-S8,X8-T8)</f>
        <v>1.1886574074074008E-2</v>
      </c>
      <c r="AA8" s="24">
        <f>MIN(Y8-T8,Y8-S8)</f>
        <v>1.1874999999999858E-2</v>
      </c>
      <c r="AB8" s="39">
        <f>MIN(ABS($V$5-Z8),ABS($V$5-AA8))*1440*60</f>
        <v>816.99999999998772</v>
      </c>
      <c r="AC8" s="23"/>
      <c r="AD8" s="36">
        <f>G8+$AD$5</f>
        <v>0.58263888888888882</v>
      </c>
      <c r="AE8" s="132" t="e">
        <f>VLOOKUP(A8&amp;"[]",#REF!,MATCH($AD$4&amp;""&amp;$AE$6,#REF!,0),FALSE)</f>
        <v>#REF!</v>
      </c>
      <c r="AF8" s="132" t="e">
        <f>VLOOKUP(A8&amp;"а[]",#REF!,MATCH($AD$4&amp;""&amp;$AE$6,#REF!,0),FALSE)</f>
        <v>#REF!</v>
      </c>
      <c r="AG8" s="37" t="s">
        <v>120</v>
      </c>
      <c r="AH8" s="38">
        <f>IF(ISBLANK(AG8),TIME(HOUR(AE8),MINUTE(AE8),0),TIME(LEFT(AG8,2),RIGHT(AG8,2),0))</f>
        <v>0.61597222222222225</v>
      </c>
      <c r="AI8" s="21">
        <f>IF(AH8=AD8,0,IF((AH8-AD8)&gt;0,IF((ABS(AH8-AD8)*1440*10)&lt;1800,ABS(AH8-AD8)*1440*10,1800),ABS(AH8-AD8)*1440*0))</f>
        <v>480.00000000000148</v>
      </c>
      <c r="AJ8" s="247"/>
      <c r="AK8" s="249">
        <v>0</v>
      </c>
      <c r="AL8" s="249">
        <v>0</v>
      </c>
      <c r="AM8" s="250">
        <v>68.5</v>
      </c>
      <c r="AN8" s="46"/>
      <c r="AO8" s="45">
        <f>AM8+AN8</f>
        <v>68.5</v>
      </c>
      <c r="AP8" s="22"/>
      <c r="AQ8" s="134">
        <f>AP8+AO8+AL8+AK8+AJ8+AI8+AC8+AB8+W8+R8+I8+H8</f>
        <v>1382.4999999999791</v>
      </c>
    </row>
    <row r="9" spans="1:43" s="1" customFormat="1">
      <c r="A9" s="31">
        <f>Старт.вед.!B9</f>
        <v>2</v>
      </c>
      <c r="B9" s="20" t="str">
        <f>VLOOKUP(A9,'Уч-ки'!$B$8:$H$39,2,FALSE)</f>
        <v>ПЕТРОВ Георгий</v>
      </c>
      <c r="C9" s="36">
        <f>VLOOKUP(A9,Старт.вед.!$B$8:$I$57,8,FALSE)</f>
        <v>0.42430555555555555</v>
      </c>
      <c r="D9" s="132"/>
      <c r="E9" s="132"/>
      <c r="F9" s="37" t="s">
        <v>110</v>
      </c>
      <c r="G9" s="38">
        <f>IF(ISBLANK(F9),TIME(HOUR(D9),MINUTE(D9),0),TIME(LEFT(F9,2),RIGHT(F9,2),0))</f>
        <v>0.51388888888888895</v>
      </c>
      <c r="H9" s="21">
        <v>0</v>
      </c>
      <c r="I9" s="22"/>
      <c r="J9" s="132" t="e">
        <f>VLOOKUP(A9&amp;"[]",#REF!,MATCH(#REF!&amp;" "&amp;$J$6,#REF!,0),FALSE)</f>
        <v>#REF!</v>
      </c>
      <c r="K9" s="132" t="e">
        <f>VLOOKUP(A9&amp;"а[]",#REF!,MATCH(#REF!&amp;" "&amp;$J$6,#REF!,0),FALSE)</f>
        <v>#REF!</v>
      </c>
      <c r="L9" s="37"/>
      <c r="M9" s="38" t="e">
        <f t="shared" ref="M9:M39" si="35">IF(ISBLANK(L9),TIME(HOUR(J9),MINUTE(J9),0),TIME(LEFT(L9,2),RIGHT(L9,2),0))</f>
        <v>#REF!</v>
      </c>
      <c r="N9" s="132" t="e">
        <f>VLOOKUP(A9&amp;"[]",#REF!,MATCH(#REF!&amp;" "&amp;$N$6,#REF!,0),FALSE)</f>
        <v>#REF!</v>
      </c>
      <c r="O9" s="132" t="e">
        <f>VLOOKUP(A9&amp;"а[]",#REF!,MATCH(#REF!&amp;" "&amp;$N$6,#REF!,0),FALSE)</f>
        <v>#REF!</v>
      </c>
      <c r="P9" s="24" t="e">
        <f t="shared" ref="P9:P13" si="36">TIME(HOUR(N9),MINUTE(N9),SECOND(N9))-M9</f>
        <v>#REF!</v>
      </c>
      <c r="Q9" s="24" t="e">
        <f t="shared" ref="Q9:Q13" si="37">TIME(HOUR(O9),MINUTE(O9),SECOND(O9))-M9</f>
        <v>#REF!</v>
      </c>
      <c r="R9" s="254">
        <v>900</v>
      </c>
      <c r="S9" s="132" t="e">
        <f>VLOOKUP(A9&amp;"[]",#REF!,MATCH(#REF!&amp;" "&amp;$S$6,#REF!,0),FALSE)</f>
        <v>#REF!</v>
      </c>
      <c r="T9" s="132" t="e">
        <f>VLOOKUP(A9&amp;"а[]",#REF!,MATCH(#REF!&amp;" "&amp;$S$6,#REF!,0),FALSE)</f>
        <v>#REF!</v>
      </c>
      <c r="U9" s="24" t="e">
        <f t="shared" ref="U9:U13" si="38">MIN(S9-N9,S9-O9)</f>
        <v>#REF!</v>
      </c>
      <c r="V9" s="24" t="e">
        <f t="shared" ref="V9:V13" si="39">MIN(T9-O9,T9-N9)</f>
        <v>#REF!</v>
      </c>
      <c r="W9" s="254">
        <v>900</v>
      </c>
      <c r="X9" s="132" t="e">
        <f>VLOOKUP(A9&amp;"[]",#REF!,MATCH(#REF!&amp;" "&amp;$X$6,#REF!,0),FALSE)</f>
        <v>#REF!</v>
      </c>
      <c r="Y9" s="132" t="e">
        <f>VLOOKUP(A9&amp;"а[]",#REF!,MATCH(#REF!&amp;" "&amp;$X$6,#REF!,0),FALSE)</f>
        <v>#REF!</v>
      </c>
      <c r="Z9" s="24" t="e">
        <f t="shared" ref="Z9:Z13" si="40">MIN(X9-S9,X9-T9)</f>
        <v>#REF!</v>
      </c>
      <c r="AA9" s="24" t="e">
        <f t="shared" ref="AA9:AA13" si="41">MIN(Y9-T9,Y9-S9)</f>
        <v>#REF!</v>
      </c>
      <c r="AB9" s="254">
        <v>900</v>
      </c>
      <c r="AC9" s="23"/>
      <c r="AD9" s="36">
        <f t="shared" ref="AD9:AD13" si="42">G9+$AD$5</f>
        <v>0.58333333333333337</v>
      </c>
      <c r="AE9" s="132" t="e">
        <f>VLOOKUP(A9&amp;"[]",#REF!,MATCH($AD$4&amp;""&amp;$AE$6,#REF!,0),FALSE)</f>
        <v>#REF!</v>
      </c>
      <c r="AF9" s="132" t="e">
        <f>VLOOKUP(A9&amp;"а[]",#REF!,MATCH($AD$4&amp;""&amp;$AE$6,#REF!,0),FALSE)</f>
        <v>#REF!</v>
      </c>
      <c r="AG9" s="37" t="s">
        <v>121</v>
      </c>
      <c r="AH9" s="38">
        <f t="shared" ref="AH9:AH39" si="43">IF(ISBLANK(AG9),TIME(HOUR(AE9),MINUTE(AE9),0),TIME(LEFT(AG9,2),RIGHT(AG9,2),0))</f>
        <v>0.60833333333333328</v>
      </c>
      <c r="AI9" s="21">
        <f t="shared" ref="AI9:AI13" si="44">IF(AH9=AD9,0,IF((AH9-AD9)&gt;0,IF((ABS(AH9-AD9)*1440*10)&lt;1800,ABS(AH9-AD9)*1440*10,1800),ABS(AH9-AD9)*1440*0))</f>
        <v>359.99999999999875</v>
      </c>
      <c r="AJ9" s="247"/>
      <c r="AK9" s="249">
        <v>0</v>
      </c>
      <c r="AL9" s="249">
        <v>900</v>
      </c>
      <c r="AM9" s="250">
        <v>67.5</v>
      </c>
      <c r="AN9" s="46"/>
      <c r="AO9" s="45">
        <f t="shared" ref="AO9:AO39" si="45">AM9+AN9</f>
        <v>67.5</v>
      </c>
      <c r="AP9" s="22"/>
      <c r="AQ9" s="134">
        <f t="shared" ref="AQ9:AQ13" si="46">AP9+AO9+AL9+AK9+AJ9+AI9+AC9+AB9+W9+R9+I9+H9</f>
        <v>4027.4999999999986</v>
      </c>
    </row>
    <row r="10" spans="1:43" s="1" customFormat="1">
      <c r="A10" s="31">
        <f>Старт.вед.!B10</f>
        <v>3</v>
      </c>
      <c r="B10" s="20" t="str">
        <f>VLOOKUP(A10,'Уч-ки'!$B$8:$H$39,2,FALSE)</f>
        <v>ЮРАХНО Евгений</v>
      </c>
      <c r="C10" s="36">
        <f>VLOOKUP(A10,Старт.вед.!$B$8:$I$57,8,FALSE)</f>
        <v>0.42569444444444443</v>
      </c>
      <c r="D10" s="132"/>
      <c r="E10" s="132"/>
      <c r="F10" s="37" t="s">
        <v>108</v>
      </c>
      <c r="G10" s="38">
        <f t="shared" ref="G10:G39" si="47">IF(ISBLANK(F10),TIME(HOUR(D10),MINUTE(D10),0),TIME(LEFT(F10,2),RIGHT(F10,2),0))</f>
        <v>0.51458333333333328</v>
      </c>
      <c r="H10" s="21">
        <v>0</v>
      </c>
      <c r="I10" s="22"/>
      <c r="J10" s="132">
        <v>0.6083912037037037</v>
      </c>
      <c r="K10" s="132">
        <v>0.6083912037037037</v>
      </c>
      <c r="L10" s="37"/>
      <c r="M10" s="38">
        <f t="shared" si="35"/>
        <v>0.60833333333333328</v>
      </c>
      <c r="N10" s="132">
        <v>0.61152777777777778</v>
      </c>
      <c r="O10" s="132">
        <v>0.61151620370370374</v>
      </c>
      <c r="P10" s="24">
        <f t="shared" si="36"/>
        <v>3.1944444444444997E-3</v>
      </c>
      <c r="Q10" s="24">
        <f t="shared" si="37"/>
        <v>3.1828703703704608E-3</v>
      </c>
      <c r="R10" s="39">
        <f t="shared" ref="R9:R13" si="48">MIN(ABS($Q$5-P10),ABS($Q$5-Q10))*1440*60</f>
        <v>45.00000000000778</v>
      </c>
      <c r="S10" s="132">
        <v>0.61395833333333327</v>
      </c>
      <c r="T10" s="132">
        <v>0.61394675925925923</v>
      </c>
      <c r="U10" s="24">
        <f t="shared" si="38"/>
        <v>2.4305555555554914E-3</v>
      </c>
      <c r="V10" s="24">
        <f t="shared" si="39"/>
        <v>2.4189814814814525E-3</v>
      </c>
      <c r="W10" s="39">
        <f t="shared" ref="W9:W13" si="49">MIN(ABS($V$5-U10),ABS($V$5-V10))*1440*60</f>
        <v>2.5104918144336352E-12</v>
      </c>
      <c r="X10" s="132">
        <v>0.62782407407407403</v>
      </c>
      <c r="Y10" s="132">
        <v>0.6278125</v>
      </c>
      <c r="Z10" s="24">
        <f t="shared" si="40"/>
        <v>1.3865740740740762E-2</v>
      </c>
      <c r="AA10" s="24">
        <f t="shared" si="41"/>
        <v>1.3854166666666723E-2</v>
      </c>
      <c r="AB10" s="39">
        <f t="shared" ref="AB9:AB13" si="50">MIN(ABS($V$5-Z10),ABS($V$5-AA10))*1440*60</f>
        <v>988.00000000000477</v>
      </c>
      <c r="AC10" s="23"/>
      <c r="AD10" s="36">
        <f t="shared" si="42"/>
        <v>0.5840277777777777</v>
      </c>
      <c r="AE10" s="132" t="e">
        <f>VLOOKUP(A10&amp;"[]",#REF!,MATCH($AD$4&amp;""&amp;$AE$6,#REF!,0),FALSE)</f>
        <v>#REF!</v>
      </c>
      <c r="AF10" s="132" t="e">
        <f>VLOOKUP(A10&amp;"а[]",#REF!,MATCH($AD$4&amp;""&amp;$AE$6,#REF!,0),FALSE)</f>
        <v>#REF!</v>
      </c>
      <c r="AG10" s="37" t="s">
        <v>122</v>
      </c>
      <c r="AH10" s="38">
        <f t="shared" si="43"/>
        <v>0.64583333333333337</v>
      </c>
      <c r="AI10" s="21">
        <f t="shared" si="44"/>
        <v>890.00000000000171</v>
      </c>
      <c r="AJ10" s="247"/>
      <c r="AK10" s="249">
        <v>0</v>
      </c>
      <c r="AL10" s="249">
        <v>900</v>
      </c>
      <c r="AM10" s="250">
        <v>68.8</v>
      </c>
      <c r="AN10" s="46"/>
      <c r="AO10" s="45">
        <f t="shared" si="45"/>
        <v>68.8</v>
      </c>
      <c r="AP10" s="22"/>
      <c r="AQ10" s="134">
        <f t="shared" si="46"/>
        <v>2891.800000000017</v>
      </c>
    </row>
    <row r="11" spans="1:43" s="1" customFormat="1">
      <c r="A11" s="31">
        <f>Старт.вед.!B11</f>
        <v>4</v>
      </c>
      <c r="B11" s="20" t="str">
        <f>VLOOKUP(A11,'Уч-ки'!$B$8:$H$39,2,FALSE)</f>
        <v>КОРОЛЕВА Любовь</v>
      </c>
      <c r="C11" s="36">
        <f>VLOOKUP(A11,Старт.вед.!$B$8:$I$57,8,FALSE)</f>
        <v>0.42708333333333331</v>
      </c>
      <c r="D11" s="132"/>
      <c r="E11" s="132"/>
      <c r="F11" s="37" t="s">
        <v>73</v>
      </c>
      <c r="G11" s="38">
        <f t="shared" si="47"/>
        <v>0.52361111111111114</v>
      </c>
      <c r="H11" s="21">
        <v>0</v>
      </c>
      <c r="I11" s="22"/>
      <c r="J11" s="132">
        <v>0.54583333333333328</v>
      </c>
      <c r="K11" s="132">
        <v>0.54583333333333328</v>
      </c>
      <c r="L11" s="37"/>
      <c r="M11" s="38">
        <f t="shared" si="35"/>
        <v>0.54583333333333328</v>
      </c>
      <c r="N11" s="132">
        <v>0.54898148148148151</v>
      </c>
      <c r="O11" s="132">
        <v>0.54898148148148151</v>
      </c>
      <c r="P11" s="24">
        <f t="shared" si="36"/>
        <v>3.1481481481482332E-3</v>
      </c>
      <c r="Q11" s="24">
        <f t="shared" si="37"/>
        <v>3.1481481481482332E-3</v>
      </c>
      <c r="R11" s="39">
        <f t="shared" si="48"/>
        <v>42.000000000007311</v>
      </c>
      <c r="S11" s="132">
        <v>0.55199074074074073</v>
      </c>
      <c r="T11" s="132">
        <v>0.55199074074074073</v>
      </c>
      <c r="U11" s="24">
        <f t="shared" si="38"/>
        <v>3.0092592592592116E-3</v>
      </c>
      <c r="V11" s="24">
        <f t="shared" si="39"/>
        <v>3.0092592592592116E-3</v>
      </c>
      <c r="W11" s="39">
        <f t="shared" si="49"/>
        <v>50.999999999995872</v>
      </c>
      <c r="X11" s="132">
        <v>0.56384259259259262</v>
      </c>
      <c r="Y11" s="132">
        <v>0.5638657407407407</v>
      </c>
      <c r="Z11" s="24">
        <f t="shared" si="40"/>
        <v>1.1851851851851891E-2</v>
      </c>
      <c r="AA11" s="24">
        <f t="shared" si="41"/>
        <v>1.1874999999999969E-2</v>
      </c>
      <c r="AB11" s="39">
        <f t="shared" si="50"/>
        <v>815.0000000000033</v>
      </c>
      <c r="AC11" s="23"/>
      <c r="AD11" s="36">
        <f t="shared" si="42"/>
        <v>0.59305555555555556</v>
      </c>
      <c r="AE11" s="132" t="e">
        <f>VLOOKUP(A11&amp;"[]",#REF!,MATCH($AD$4&amp;""&amp;$AE$6,#REF!,0),FALSE)</f>
        <v>#REF!</v>
      </c>
      <c r="AF11" s="132" t="e">
        <f>VLOOKUP(A11&amp;"а[]",#REF!,MATCH($AD$4&amp;""&amp;$AE$6,#REF!,0),FALSE)</f>
        <v>#REF!</v>
      </c>
      <c r="AG11" s="37" t="s">
        <v>123</v>
      </c>
      <c r="AH11" s="38">
        <f t="shared" si="43"/>
        <v>0.6118055555555556</v>
      </c>
      <c r="AI11" s="21">
        <f t="shared" si="44"/>
        <v>270.00000000000063</v>
      </c>
      <c r="AJ11" s="247"/>
      <c r="AK11" s="249">
        <v>0</v>
      </c>
      <c r="AL11" s="249">
        <v>0</v>
      </c>
      <c r="AM11" s="250">
        <v>80.3</v>
      </c>
      <c r="AN11" s="46"/>
      <c r="AO11" s="45">
        <f t="shared" si="45"/>
        <v>80.3</v>
      </c>
      <c r="AP11" s="22"/>
      <c r="AQ11" s="134">
        <f t="shared" si="46"/>
        <v>1258.300000000007</v>
      </c>
    </row>
    <row r="12" spans="1:43" s="1" customFormat="1">
      <c r="A12" s="31">
        <f>Старт.вед.!B12</f>
        <v>5</v>
      </c>
      <c r="B12" s="20" t="str">
        <f>VLOOKUP(A12,'Уч-ки'!$B$8:$H$39,2,FALSE)</f>
        <v>ХАПОНЕН Татьяна</v>
      </c>
      <c r="C12" s="36">
        <f>VLOOKUP(A12,Старт.вед.!$B$8:$I$57,8,FALSE)</f>
        <v>0.4284722222222222</v>
      </c>
      <c r="D12" s="132"/>
      <c r="E12" s="132"/>
      <c r="F12" s="37" t="s">
        <v>109</v>
      </c>
      <c r="G12" s="38">
        <f t="shared" si="47"/>
        <v>0.51527777777777783</v>
      </c>
      <c r="H12" s="21">
        <v>0</v>
      </c>
      <c r="I12" s="22"/>
      <c r="J12" s="132">
        <v>0.54999999999999993</v>
      </c>
      <c r="K12" s="132">
        <v>0.54999999999999993</v>
      </c>
      <c r="L12" s="37"/>
      <c r="M12" s="38">
        <f t="shared" si="35"/>
        <v>0.54999999999999993</v>
      </c>
      <c r="N12" s="132">
        <v>0.55283564814814812</v>
      </c>
      <c r="O12" s="132">
        <v>0.55283564814814812</v>
      </c>
      <c r="P12" s="24">
        <f t="shared" si="36"/>
        <v>2.8356481481481843E-3</v>
      </c>
      <c r="Q12" s="24">
        <f t="shared" si="37"/>
        <v>2.8356481481481843E-3</v>
      </c>
      <c r="R12" s="39">
        <f t="shared" si="48"/>
        <v>15.000000000003094</v>
      </c>
      <c r="S12" s="132">
        <v>0.55521990740740745</v>
      </c>
      <c r="T12" s="132">
        <v>0.55523148148148149</v>
      </c>
      <c r="U12" s="24">
        <f t="shared" si="38"/>
        <v>2.3842592592593359E-3</v>
      </c>
      <c r="V12" s="24">
        <f t="shared" si="39"/>
        <v>2.3958333333333748E-3</v>
      </c>
      <c r="W12" s="39">
        <f t="shared" si="49"/>
        <v>1.9999999999964282</v>
      </c>
      <c r="X12" s="132">
        <v>0.56604166666666667</v>
      </c>
      <c r="Y12" s="132">
        <v>0.56604166666666667</v>
      </c>
      <c r="Z12" s="24">
        <f t="shared" si="40"/>
        <v>1.0810185185185173E-2</v>
      </c>
      <c r="AA12" s="24">
        <f t="shared" si="41"/>
        <v>1.0810185185185173E-2</v>
      </c>
      <c r="AB12" s="39">
        <f t="shared" si="50"/>
        <v>724.99999999999886</v>
      </c>
      <c r="AC12" s="23"/>
      <c r="AD12" s="36">
        <f t="shared" si="42"/>
        <v>0.58472222222222225</v>
      </c>
      <c r="AE12" s="132" t="e">
        <f>VLOOKUP(A12&amp;"[]",#REF!,MATCH($AD$4&amp;""&amp;$AE$6,#REF!,0),FALSE)</f>
        <v>#REF!</v>
      </c>
      <c r="AF12" s="132" t="e">
        <f>VLOOKUP(A12&amp;"а[]",#REF!,MATCH($AD$4&amp;""&amp;$AE$6,#REF!,0),FALSE)</f>
        <v>#REF!</v>
      </c>
      <c r="AG12" s="37" t="s">
        <v>124</v>
      </c>
      <c r="AH12" s="38">
        <f t="shared" si="43"/>
        <v>0.59305555555555556</v>
      </c>
      <c r="AI12" s="21">
        <f t="shared" si="44"/>
        <v>119.99999999999957</v>
      </c>
      <c r="AJ12" s="247"/>
      <c r="AK12" s="249">
        <v>0</v>
      </c>
      <c r="AL12" s="249">
        <v>900</v>
      </c>
      <c r="AM12" s="250">
        <v>65.2</v>
      </c>
      <c r="AN12" s="46"/>
      <c r="AO12" s="45">
        <f t="shared" si="45"/>
        <v>65.2</v>
      </c>
      <c r="AP12" s="22"/>
      <c r="AQ12" s="134">
        <f t="shared" si="46"/>
        <v>1827.199999999998</v>
      </c>
    </row>
    <row r="13" spans="1:43" s="1" customFormat="1">
      <c r="A13" s="31">
        <f>Старт.вед.!B13</f>
        <v>13</v>
      </c>
      <c r="B13" s="20" t="str">
        <f>VLOOKUP(A13,'Уч-ки'!$B$8:$H$39,2,FALSE)</f>
        <v>ВИТВИЦКИЙ Денис</v>
      </c>
      <c r="C13" s="36">
        <f>VLOOKUP(A13,Старт.вед.!$B$8:$I$57,8,FALSE)</f>
        <v>0.42986111111111108</v>
      </c>
      <c r="D13" s="132"/>
      <c r="E13" s="132"/>
      <c r="F13" s="37" t="s">
        <v>111</v>
      </c>
      <c r="G13" s="38">
        <f t="shared" si="47"/>
        <v>0.51597222222222217</v>
      </c>
      <c r="H13" s="21">
        <v>0</v>
      </c>
      <c r="I13" s="22"/>
      <c r="J13" s="132">
        <v>0.55070601851851853</v>
      </c>
      <c r="K13" s="132">
        <v>0.55017361111111118</v>
      </c>
      <c r="L13" s="37"/>
      <c r="M13" s="38">
        <f t="shared" si="35"/>
        <v>0.55069444444444449</v>
      </c>
      <c r="N13" s="132">
        <v>0.55354166666666671</v>
      </c>
      <c r="O13" s="132">
        <v>0.55354166666666671</v>
      </c>
      <c r="P13" s="24">
        <f t="shared" si="36"/>
        <v>2.8472222222222232E-3</v>
      </c>
      <c r="Q13" s="24">
        <f t="shared" si="37"/>
        <v>2.8472222222222232E-3</v>
      </c>
      <c r="R13" s="39">
        <f t="shared" si="48"/>
        <v>16.000000000000053</v>
      </c>
      <c r="S13" s="132">
        <v>0.55809027777777775</v>
      </c>
      <c r="T13" s="132">
        <v>0.55809027777777775</v>
      </c>
      <c r="U13" s="24">
        <f t="shared" si="38"/>
        <v>4.548611111111045E-3</v>
      </c>
      <c r="V13" s="24">
        <f t="shared" si="39"/>
        <v>4.548611111111045E-3</v>
      </c>
      <c r="W13" s="39">
        <f t="shared" si="49"/>
        <v>183.99999999999429</v>
      </c>
      <c r="X13" s="132">
        <v>0.56928240740740743</v>
      </c>
      <c r="Y13" s="132">
        <v>0.56929398148148147</v>
      </c>
      <c r="Z13" s="24">
        <f t="shared" si="40"/>
        <v>1.1192129629629677E-2</v>
      </c>
      <c r="AA13" s="24">
        <f t="shared" si="41"/>
        <v>1.1203703703703716E-2</v>
      </c>
      <c r="AB13" s="39">
        <f t="shared" si="50"/>
        <v>758.00000000000398</v>
      </c>
      <c r="AC13" s="23"/>
      <c r="AD13" s="36">
        <f t="shared" si="42"/>
        <v>0.58541666666666659</v>
      </c>
      <c r="AE13" s="132" t="e">
        <f>VLOOKUP(A13&amp;"[]",#REF!,MATCH($AD$4&amp;""&amp;$AE$6,#REF!,0),FALSE)</f>
        <v>#REF!</v>
      </c>
      <c r="AF13" s="132" t="e">
        <f>VLOOKUP(A13&amp;"а[]",#REF!,MATCH($AD$4&amp;""&amp;$AE$6,#REF!,0),FALSE)</f>
        <v>#REF!</v>
      </c>
      <c r="AG13" s="37" t="s">
        <v>119</v>
      </c>
      <c r="AH13" s="38">
        <f t="shared" si="43"/>
        <v>0.5854166666666667</v>
      </c>
      <c r="AI13" s="21">
        <f t="shared" si="44"/>
        <v>0</v>
      </c>
      <c r="AJ13" s="247"/>
      <c r="AK13" s="249">
        <v>0</v>
      </c>
      <c r="AL13" s="249">
        <v>900</v>
      </c>
      <c r="AM13" s="250">
        <v>68.2</v>
      </c>
      <c r="AN13" s="46"/>
      <c r="AO13" s="45">
        <f t="shared" si="45"/>
        <v>68.2</v>
      </c>
      <c r="AP13" s="22"/>
      <c r="AQ13" s="134">
        <f t="shared" si="46"/>
        <v>1926.1999999999982</v>
      </c>
    </row>
    <row r="14" spans="1:43" s="1" customFormat="1" hidden="1">
      <c r="A14" s="31">
        <f>Старт.вед.!B14</f>
        <v>0</v>
      </c>
      <c r="B14" s="20" t="str">
        <f>VLOOKUP(A14,'Уч-ки'!$B$8:$H$39,2,FALSE)</f>
        <v xml:space="preserve"> </v>
      </c>
      <c r="C14" s="36">
        <f>VLOOKUP(A14,Старт.вед.!$B$8:$I$57,8,FALSE)</f>
        <v>0.49791666666666662</v>
      </c>
      <c r="D14" s="132"/>
      <c r="E14" s="132"/>
      <c r="F14" s="37" t="s">
        <v>70</v>
      </c>
      <c r="G14" s="38">
        <f t="shared" si="47"/>
        <v>0.49791666666666662</v>
      </c>
      <c r="H14" s="21">
        <v>0</v>
      </c>
      <c r="I14" s="22"/>
      <c r="J14" s="132" t="e">
        <f>VLOOKUP(A14&amp;"[]",#REF!,MATCH(#REF!&amp;" "&amp;$J$6,#REF!,0),FALSE)</f>
        <v>#REF!</v>
      </c>
      <c r="K14" s="132" t="e">
        <f>VLOOKUP(A14&amp;"а[]",#REF!,MATCH(#REF!&amp;" "&amp;$J$6,#REF!,0),FALSE)</f>
        <v>#REF!</v>
      </c>
      <c r="L14" s="37" t="s">
        <v>75</v>
      </c>
      <c r="M14" s="38">
        <f t="shared" si="35"/>
        <v>0.53402777777777777</v>
      </c>
      <c r="N14" s="132" t="e">
        <f>VLOOKUP(A14&amp;"[]",#REF!,MATCH(#REF!&amp;" "&amp;$N$6,#REF!,0),FALSE)</f>
        <v>#REF!</v>
      </c>
      <c r="O14" s="132" t="e">
        <f>VLOOKUP(A14&amp;"а[]",#REF!,MATCH(#REF!&amp;" "&amp;$N$6,#REF!,0),FALSE)</f>
        <v>#REF!</v>
      </c>
      <c r="P14" s="24" t="e">
        <f>TIME(HOUR(N14),MINUTE(N14),SECOND(N14))-M14</f>
        <v>#REF!</v>
      </c>
      <c r="Q14" s="24" t="e">
        <f>TIME(HOUR(O14),MINUTE(O14),SECOND(O14))-M14</f>
        <v>#REF!</v>
      </c>
      <c r="R14" s="39" t="e">
        <f t="shared" ref="R9:R15" si="51">MIN(ABS($Q$5-P14),ABS($Q$5-Q14))*1440*60</f>
        <v>#REF!</v>
      </c>
      <c r="S14" s="132" t="e">
        <f>VLOOKUP(A14&amp;"[]",#REF!,MATCH(#REF!&amp;" "&amp;$S$6,#REF!,0),FALSE)</f>
        <v>#REF!</v>
      </c>
      <c r="T14" s="132" t="e">
        <f>VLOOKUP(A14&amp;"а[]",#REF!,MATCH(#REF!&amp;" "&amp;$S$6,#REF!,0),FALSE)</f>
        <v>#REF!</v>
      </c>
      <c r="U14" s="24" t="e">
        <f>TIME(HOUR(S14),MINUTE(S14),SECOND(S14))-M14</f>
        <v>#REF!</v>
      </c>
      <c r="V14" s="24" t="e">
        <f>TIME(HOUR(T14),MINUTE(T14),SECOND(T14))-M14</f>
        <v>#REF!</v>
      </c>
      <c r="W14" s="39" t="e">
        <f t="shared" ref="W9:W15" si="52">MIN(ABS($V$5-U14),ABS($V$5-V14))*1440*60</f>
        <v>#REF!</v>
      </c>
      <c r="X14" s="132" t="e">
        <f>VLOOKUP(A14&amp;"[]",#REF!,MATCH(#REF!&amp;" "&amp;$X$6,#REF!,0),FALSE)</f>
        <v>#REF!</v>
      </c>
      <c r="Y14" s="132" t="e">
        <f>VLOOKUP(A14&amp;"а[]",#REF!,MATCH(#REF!&amp;" "&amp;$X$6,#REF!,0),FALSE)</f>
        <v>#REF!</v>
      </c>
      <c r="Z14" s="24" t="e">
        <f>MIN(X14-S14,X14-T14)</f>
        <v>#REF!</v>
      </c>
      <c r="AA14" s="24" t="e">
        <f>MIN(Y14-S14,Y14-T14)</f>
        <v>#REF!</v>
      </c>
      <c r="AB14" s="39" t="e">
        <f t="shared" ref="AB9:AB15" si="53">MIN(ABS($AA$5-Z14),ABS($AA$5-AA14))*1440*60</f>
        <v>#REF!</v>
      </c>
      <c r="AC14" s="23"/>
      <c r="AD14" s="36" t="e">
        <f>#REF!+$AD$5</f>
        <v>#REF!</v>
      </c>
      <c r="AE14" s="132" t="e">
        <f>VLOOKUP(A14&amp;"[]",#REF!,MATCH($AD$4&amp;""&amp;$AE$6,#REF!,0),FALSE)</f>
        <v>#REF!</v>
      </c>
      <c r="AF14" s="132" t="e">
        <f>VLOOKUP(A14&amp;"а[]",#REF!,MATCH($AD$4&amp;""&amp;$AE$6,#REF!,0),FALSE)</f>
        <v>#REF!</v>
      </c>
      <c r="AG14" s="37" t="s">
        <v>83</v>
      </c>
      <c r="AH14" s="38">
        <f t="shared" si="43"/>
        <v>0.55833333333333335</v>
      </c>
      <c r="AI14" s="21" t="e">
        <f t="shared" ref="AI10:AI24" si="54">IF(AH14=AD14,0,IF((AH14-AD14)&gt;0,IF((ABS(AH14-AD14)*1440*10)&lt;1800,ABS(AH14-AD14)*1440*10,1800),ABS(AH14-AD14)*1440*0))</f>
        <v>#REF!</v>
      </c>
      <c r="AJ14" s="22"/>
      <c r="AK14" s="247"/>
      <c r="AL14" s="247"/>
      <c r="AM14" s="44">
        <v>52</v>
      </c>
      <c r="AN14" s="46"/>
      <c r="AO14" s="45">
        <f t="shared" si="45"/>
        <v>52</v>
      </c>
      <c r="AP14" s="22"/>
      <c r="AQ14" s="134" t="e">
        <f>#REF!+#REF!+#REF!+#REF!+#REF!+#REF!+#REF!+#REF!+#REF!+#REF!+#REF!+#REF!+#REF!+#REF!+#REF!+AJ14+AI14+AC14+AB14+W14+R14+#REF!+#REF!+#REF!+#REF!+#REF!+I14+H14</f>
        <v>#REF!</v>
      </c>
    </row>
    <row r="15" spans="1:43" s="1" customFormat="1" hidden="1">
      <c r="A15" s="31">
        <f>Старт.вед.!B15</f>
        <v>0</v>
      </c>
      <c r="B15" s="20" t="str">
        <f>VLOOKUP(A15,'Уч-ки'!$B$8:$H$39,2,FALSE)</f>
        <v xml:space="preserve"> </v>
      </c>
      <c r="C15" s="36">
        <f>VLOOKUP(A15,Старт.вед.!$B$8:$I$57,8,FALSE)</f>
        <v>0.49791666666666662</v>
      </c>
      <c r="D15" s="132"/>
      <c r="E15" s="132"/>
      <c r="F15" s="37" t="s">
        <v>81</v>
      </c>
      <c r="G15" s="38">
        <f t="shared" si="47"/>
        <v>0.50208333333333333</v>
      </c>
      <c r="H15" s="21">
        <v>0</v>
      </c>
      <c r="I15" s="22"/>
      <c r="J15" s="132" t="e">
        <f>VLOOKUP(A15&amp;"[]",#REF!,MATCH(#REF!&amp;" "&amp;$J$6,#REF!,0),FALSE)</f>
        <v>#REF!</v>
      </c>
      <c r="K15" s="132" t="e">
        <f>VLOOKUP(A15&amp;"а[]",#REF!,MATCH(#REF!&amp;" "&amp;$J$6,#REF!,0),FALSE)</f>
        <v>#REF!</v>
      </c>
      <c r="L15" s="37" t="s">
        <v>82</v>
      </c>
      <c r="M15" s="38">
        <f t="shared" si="35"/>
        <v>0.53749999999999998</v>
      </c>
      <c r="N15" s="132" t="e">
        <f>VLOOKUP(A15&amp;"[]",#REF!,MATCH(#REF!&amp;" "&amp;$N$6,#REF!,0),FALSE)</f>
        <v>#REF!</v>
      </c>
      <c r="O15" s="132" t="e">
        <f>VLOOKUP(A15&amp;"а[]",#REF!,MATCH(#REF!&amp;" "&amp;$N$6,#REF!,0),FALSE)</f>
        <v>#REF!</v>
      </c>
      <c r="P15" s="24" t="e">
        <f>TIME(HOUR(N15),MINUTE(N15),SECOND(N15))-M15</f>
        <v>#REF!</v>
      </c>
      <c r="Q15" s="24" t="e">
        <f>TIME(HOUR(O15),MINUTE(O15),SECOND(O15))-M15</f>
        <v>#REF!</v>
      </c>
      <c r="R15" s="39" t="e">
        <f t="shared" si="51"/>
        <v>#REF!</v>
      </c>
      <c r="S15" s="132" t="e">
        <f>VLOOKUP(A15&amp;"[]",#REF!,MATCH(#REF!&amp;" "&amp;$S$6,#REF!,0),FALSE)</f>
        <v>#REF!</v>
      </c>
      <c r="T15" s="132" t="e">
        <f>VLOOKUP(A15&amp;"а[]",#REF!,MATCH(#REF!&amp;" "&amp;$S$6,#REF!,0),FALSE)</f>
        <v>#REF!</v>
      </c>
      <c r="U15" s="24" t="e">
        <f>TIME(HOUR(S15),MINUTE(S15),SECOND(S15))-M15</f>
        <v>#REF!</v>
      </c>
      <c r="V15" s="24" t="e">
        <f>TIME(HOUR(T15),MINUTE(T15),SECOND(T15))-M15</f>
        <v>#REF!</v>
      </c>
      <c r="W15" s="39" t="e">
        <f t="shared" si="52"/>
        <v>#REF!</v>
      </c>
      <c r="X15" s="132" t="e">
        <f>VLOOKUP(A15&amp;"[]",#REF!,MATCH(#REF!&amp;" "&amp;$X$6,#REF!,0),FALSE)</f>
        <v>#REF!</v>
      </c>
      <c r="Y15" s="132" t="e">
        <f>VLOOKUP(A15&amp;"а[]",#REF!,MATCH(#REF!&amp;" "&amp;$X$6,#REF!,0),FALSE)</f>
        <v>#REF!</v>
      </c>
      <c r="Z15" s="24" t="e">
        <f>MIN(X15-S15,X15-T15)</f>
        <v>#REF!</v>
      </c>
      <c r="AA15" s="24" t="e">
        <f>MIN(Y15-S15,Y15-T15)</f>
        <v>#REF!</v>
      </c>
      <c r="AB15" s="39" t="e">
        <f t="shared" si="53"/>
        <v>#REF!</v>
      </c>
      <c r="AC15" s="23"/>
      <c r="AD15" s="36" t="e">
        <f>#REF!+$AD$5</f>
        <v>#REF!</v>
      </c>
      <c r="AE15" s="132" t="e">
        <f>VLOOKUP(A15&amp;"[]",#REF!,MATCH($AD$4&amp;""&amp;$AE$6,#REF!,0),FALSE)</f>
        <v>#REF!</v>
      </c>
      <c r="AF15" s="132" t="e">
        <f>VLOOKUP(A15&amp;"а[]",#REF!,MATCH($AD$4&amp;""&amp;$AE$6,#REF!,0),FALSE)</f>
        <v>#REF!</v>
      </c>
      <c r="AG15" s="37" t="s">
        <v>77</v>
      </c>
      <c r="AH15" s="38">
        <f t="shared" si="43"/>
        <v>0.56180555555555556</v>
      </c>
      <c r="AI15" s="21" t="e">
        <f t="shared" si="54"/>
        <v>#REF!</v>
      </c>
      <c r="AJ15" s="22"/>
      <c r="AK15" s="247"/>
      <c r="AL15" s="247"/>
      <c r="AM15" s="44">
        <v>59.1</v>
      </c>
      <c r="AN15" s="46"/>
      <c r="AO15" s="45">
        <f t="shared" si="45"/>
        <v>59.1</v>
      </c>
      <c r="AP15" s="22"/>
      <c r="AQ15" s="134" t="e">
        <f>#REF!+#REF!+#REF!+#REF!+#REF!+#REF!+#REF!+#REF!+#REF!+#REF!+#REF!+#REF!+#REF!+#REF!+#REF!+AJ15+AI15+AC15+AB15+W15+R15+#REF!+#REF!+#REF!+#REF!+#REF!+I15+H15</f>
        <v>#REF!</v>
      </c>
    </row>
    <row r="16" spans="1:43" s="1" customFormat="1" hidden="1">
      <c r="A16" s="31">
        <f>Старт.вед.!B16</f>
        <v>0</v>
      </c>
      <c r="B16" s="20" t="str">
        <f>VLOOKUP(A16,'Уч-ки'!$B$8:$H$39,2,FALSE)</f>
        <v xml:space="preserve"> </v>
      </c>
      <c r="C16" s="36" t="e">
        <f>#REF!+$C$5</f>
        <v>#REF!</v>
      </c>
      <c r="D16" s="132"/>
      <c r="E16" s="132"/>
      <c r="F16" s="37"/>
      <c r="G16" s="38">
        <f t="shared" si="47"/>
        <v>0</v>
      </c>
      <c r="H16" s="21">
        <v>0</v>
      </c>
      <c r="I16" s="22"/>
      <c r="J16" s="132" t="e">
        <f>VLOOKUP(A16&amp;"[]",#REF!,MATCH(#REF!&amp;" "&amp;$J$6,#REF!,0),FALSE)</f>
        <v>#REF!</v>
      </c>
      <c r="K16" s="132" t="e">
        <f>VLOOKUP(A16&amp;"а[]",#REF!,MATCH(#REF!&amp;" "&amp;$J$6,#REF!,0),FALSE)</f>
        <v>#REF!</v>
      </c>
      <c r="L16" s="37" t="s">
        <v>71</v>
      </c>
      <c r="M16" s="38">
        <f t="shared" si="35"/>
        <v>0.53472222222222221</v>
      </c>
      <c r="N16" s="132" t="e">
        <f>VLOOKUP(#REF!&amp;"[]",#REF!,MATCH(#REF!&amp;" "&amp;#REF!,#REF!,0),FALSE)</f>
        <v>#REF!</v>
      </c>
      <c r="O16" s="132" t="e">
        <f>VLOOKUP(#REF!&amp;"а[]",#REF!,MATCH(#REF!&amp;" "&amp;#REF!,#REF!,0),FALSE)</f>
        <v>#REF!</v>
      </c>
      <c r="P16" s="24" t="e">
        <f>TIME(HOUR(N16),MINUTE(N16),SECOND(N16))-M16</f>
        <v>#REF!</v>
      </c>
      <c r="Q16" s="24" t="e">
        <f>TIME(HOUR(O16),MINUTE(O16),SECOND(O16))-M16</f>
        <v>#REF!</v>
      </c>
      <c r="R16" s="39" t="e">
        <f>MIN(ABS(#REF!-P16),ABS(#REF!-Q16))*1440*60</f>
        <v>#REF!</v>
      </c>
      <c r="S16" s="132" t="e">
        <f>VLOOKUP(#REF!&amp;"[]",#REF!,MATCH(#REF!&amp;" "&amp;#REF!,#REF!,0),FALSE)</f>
        <v>#REF!</v>
      </c>
      <c r="T16" s="132" t="e">
        <f>VLOOKUP(#REF!&amp;"а[]",#REF!,MATCH(#REF!&amp;" "&amp;#REF!,#REF!,0),FALSE)</f>
        <v>#REF!</v>
      </c>
      <c r="U16" s="24" t="e">
        <f>TIME(HOUR(S16),MINUTE(S16),SECOND(S16))-M16</f>
        <v>#REF!</v>
      </c>
      <c r="V16" s="24" t="e">
        <f>TIME(HOUR(T16),MINUTE(T16),SECOND(T16))-M16</f>
        <v>#REF!</v>
      </c>
      <c r="W16" s="39" t="e">
        <f>MIN(ABS(#REF!-U16),ABS(#REF!-V16))*1440*60</f>
        <v>#REF!</v>
      </c>
      <c r="X16" s="132" t="e">
        <f>VLOOKUP(#REF!&amp;"[]",#REF!,MATCH(#REF!&amp;" "&amp;#REF!,#REF!,0),FALSE)</f>
        <v>#REF!</v>
      </c>
      <c r="Y16" s="132" t="e">
        <f>VLOOKUP(#REF!&amp;"а[]",#REF!,MATCH(#REF!&amp;" "&amp;#REF!,#REF!,0),FALSE)</f>
        <v>#REF!</v>
      </c>
      <c r="Z16" s="24" t="e">
        <f>MIN(X16-S16,X16-T16)</f>
        <v>#REF!</v>
      </c>
      <c r="AA16" s="24" t="e">
        <f>MIN(Y16-S16,Y16-T16)</f>
        <v>#REF!</v>
      </c>
      <c r="AB16" s="39" t="e">
        <f>MIN(ABS(#REF!-Z16),ABS(#REF!-AA16))*1440*60</f>
        <v>#REF!</v>
      </c>
      <c r="AC16" s="23"/>
      <c r="AD16" s="36" t="e">
        <f>#REF!+#REF!</f>
        <v>#REF!</v>
      </c>
      <c r="AE16" s="132" t="e">
        <f>VLOOKUP(#REF!&amp;"[]",#REF!,MATCH(#REF!&amp;""&amp;#REF!,#REF!,0),FALSE)</f>
        <v>#REF!</v>
      </c>
      <c r="AF16" s="132" t="e">
        <f>VLOOKUP(#REF!&amp;"а[]",#REF!,MATCH(#REF!&amp;""&amp;#REF!,#REF!,0),FALSE)</f>
        <v>#REF!</v>
      </c>
      <c r="AG16" s="37"/>
      <c r="AH16" s="38" t="e">
        <f t="shared" si="43"/>
        <v>#REF!</v>
      </c>
      <c r="AI16" s="21" t="e">
        <f t="shared" si="54"/>
        <v>#REF!</v>
      </c>
      <c r="AJ16" s="22"/>
      <c r="AK16" s="247"/>
      <c r="AL16" s="247"/>
      <c r="AM16" s="44">
        <v>53.4</v>
      </c>
      <c r="AN16" s="46"/>
      <c r="AO16" s="45">
        <f t="shared" si="45"/>
        <v>53.4</v>
      </c>
      <c r="AP16" s="22"/>
      <c r="AQ16" s="134" t="e">
        <f>#REF!+#REF!+#REF!+#REF!+#REF!+#REF!+#REF!+#REF!+#REF!+#REF!+#REF!+#REF!+#REF!+#REF!+#REF!+#REF!+#REF!+#REF!+#REF!+#REF!+#REF!+#REF!+I16+H16+#REF!+#REF!</f>
        <v>#REF!</v>
      </c>
    </row>
    <row r="17" spans="1:43" s="1" customFormat="1" hidden="1">
      <c r="A17" s="31">
        <f>Старт.вед.!B17</f>
        <v>0</v>
      </c>
      <c r="B17" s="20" t="str">
        <f>VLOOKUP(A17,'Уч-ки'!$B$8:$H$39,2,FALSE)</f>
        <v xml:space="preserve"> </v>
      </c>
      <c r="C17" s="36" t="e">
        <f>#REF!+$C$5</f>
        <v>#REF!</v>
      </c>
      <c r="D17" s="132"/>
      <c r="E17" s="132"/>
      <c r="F17" s="37"/>
      <c r="G17" s="38">
        <f t="shared" si="47"/>
        <v>0</v>
      </c>
      <c r="H17" s="21">
        <v>0</v>
      </c>
      <c r="I17" s="22"/>
      <c r="J17" s="132" t="e">
        <f>VLOOKUP(A17&amp;"[]",#REF!,MATCH(#REF!&amp;" "&amp;$J$6,#REF!,0),FALSE)</f>
        <v>#REF!</v>
      </c>
      <c r="K17" s="132" t="e">
        <f>VLOOKUP(A17&amp;"а[]",#REF!,MATCH(#REF!&amp;" "&amp;$J$6,#REF!,0),FALSE)</f>
        <v>#REF!</v>
      </c>
      <c r="L17" s="37" t="s">
        <v>55</v>
      </c>
      <c r="M17" s="38">
        <f t="shared" si="35"/>
        <v>0.52430555555555558</v>
      </c>
      <c r="N17" s="132" t="e">
        <f>VLOOKUP(#REF!&amp;"[]",#REF!,MATCH(#REF!&amp;" "&amp;#REF!,#REF!,0),FALSE)</f>
        <v>#REF!</v>
      </c>
      <c r="O17" s="132" t="e">
        <f>VLOOKUP(#REF!&amp;"а[]",#REF!,MATCH(#REF!&amp;" "&amp;#REF!,#REF!,0),FALSE)</f>
        <v>#REF!</v>
      </c>
      <c r="P17" s="24" t="e">
        <f>TIME(HOUR(N17),MINUTE(N17),SECOND(N17))-M17</f>
        <v>#REF!</v>
      </c>
      <c r="Q17" s="24" t="e">
        <f>TIME(HOUR(O17),MINUTE(O17),SECOND(O17))-M17</f>
        <v>#REF!</v>
      </c>
      <c r="R17" s="39" t="e">
        <f>MIN(ABS(#REF!-P17),ABS(#REF!-Q17))*1440*60</f>
        <v>#REF!</v>
      </c>
      <c r="S17" s="132" t="e">
        <f>VLOOKUP(#REF!&amp;"[]",#REF!,MATCH(#REF!&amp;" "&amp;#REF!,#REF!,0),FALSE)</f>
        <v>#REF!</v>
      </c>
      <c r="T17" s="132" t="e">
        <f>VLOOKUP(#REF!&amp;"а[]",#REF!,MATCH(#REF!&amp;" "&amp;#REF!,#REF!,0),FALSE)</f>
        <v>#REF!</v>
      </c>
      <c r="U17" s="24" t="e">
        <f>TIME(HOUR(S17),MINUTE(S17),SECOND(S17))-M17</f>
        <v>#REF!</v>
      </c>
      <c r="V17" s="24" t="e">
        <f>TIME(HOUR(T17),MINUTE(T17),SECOND(T17))-M17</f>
        <v>#REF!</v>
      </c>
      <c r="W17" s="39" t="e">
        <f>MIN(ABS(#REF!-U17),ABS(#REF!-V17))*1440*60</f>
        <v>#REF!</v>
      </c>
      <c r="X17" s="132" t="e">
        <f>VLOOKUP(#REF!&amp;"[]",#REF!,MATCH(#REF!&amp;" "&amp;#REF!,#REF!,0),FALSE)</f>
        <v>#REF!</v>
      </c>
      <c r="Y17" s="132" t="e">
        <f>VLOOKUP(#REF!&amp;"а[]",#REF!,MATCH(#REF!&amp;" "&amp;#REF!,#REF!,0),FALSE)</f>
        <v>#REF!</v>
      </c>
      <c r="Z17" s="24" t="e">
        <f>MIN(X17-S17,X17-T17)</f>
        <v>#REF!</v>
      </c>
      <c r="AA17" s="24" t="e">
        <f>MIN(Y17-S17,Y17-T17)</f>
        <v>#REF!</v>
      </c>
      <c r="AB17" s="39" t="e">
        <f>MIN(ABS(#REF!-Z17),ABS(#REF!-AA17))*1440*60</f>
        <v>#REF!</v>
      </c>
      <c r="AC17" s="23"/>
      <c r="AD17" s="36" t="e">
        <f>#REF!+#REF!</f>
        <v>#REF!</v>
      </c>
      <c r="AE17" s="132" t="e">
        <f>VLOOKUP(#REF!&amp;"[]",#REF!,MATCH(#REF!&amp;""&amp;#REF!,#REF!,0),FALSE)</f>
        <v>#REF!</v>
      </c>
      <c r="AF17" s="132" t="e">
        <f>VLOOKUP(#REF!&amp;"а[]",#REF!,MATCH(#REF!&amp;""&amp;#REF!,#REF!,0),FALSE)</f>
        <v>#REF!</v>
      </c>
      <c r="AG17" s="37"/>
      <c r="AH17" s="38" t="e">
        <f t="shared" si="43"/>
        <v>#REF!</v>
      </c>
      <c r="AI17" s="21" t="e">
        <f t="shared" si="54"/>
        <v>#REF!</v>
      </c>
      <c r="AJ17" s="22"/>
      <c r="AK17" s="247"/>
      <c r="AL17" s="247"/>
      <c r="AM17" s="44">
        <v>52.1</v>
      </c>
      <c r="AN17" s="46"/>
      <c r="AO17" s="45">
        <f t="shared" si="45"/>
        <v>52.1</v>
      </c>
      <c r="AP17" s="22"/>
      <c r="AQ17" s="134" t="e">
        <f>#REF!+#REF!+#REF!+#REF!+#REF!+#REF!+#REF!+#REF!+#REF!+#REF!+#REF!+#REF!+#REF!+#REF!+#REF!+#REF!+#REF!+#REF!+#REF!+#REF!+#REF!+#REF!+I17+H17+#REF!+#REF!</f>
        <v>#REF!</v>
      </c>
    </row>
    <row r="18" spans="1:43" s="1" customFormat="1" hidden="1">
      <c r="A18" s="31">
        <f>Старт.вед.!B18</f>
        <v>0</v>
      </c>
      <c r="B18" s="20" t="str">
        <f>VLOOKUP(A18,'Уч-ки'!$B$8:$H$39,2,FALSE)</f>
        <v xml:space="preserve"> </v>
      </c>
      <c r="C18" s="36" t="e">
        <f>#REF!+$C$5</f>
        <v>#REF!</v>
      </c>
      <c r="D18" s="132"/>
      <c r="E18" s="132"/>
      <c r="F18" s="37"/>
      <c r="G18" s="38">
        <f t="shared" si="47"/>
        <v>0</v>
      </c>
      <c r="H18" s="21">
        <v>0</v>
      </c>
      <c r="I18" s="22"/>
      <c r="J18" s="132" t="e">
        <f>VLOOKUP(A18&amp;"[]",#REF!,MATCH(#REF!&amp;" "&amp;$J$6,#REF!,0),FALSE)</f>
        <v>#REF!</v>
      </c>
      <c r="K18" s="132" t="e">
        <f>VLOOKUP(A18&amp;"а[]",#REF!,MATCH(#REF!&amp;" "&amp;$J$6,#REF!,0),FALSE)</f>
        <v>#REF!</v>
      </c>
      <c r="L18" s="37" t="s">
        <v>72</v>
      </c>
      <c r="M18" s="38">
        <f t="shared" si="35"/>
        <v>0.52500000000000002</v>
      </c>
      <c r="N18" s="132" t="e">
        <f>VLOOKUP(#REF!&amp;"[]",#REF!,MATCH(#REF!&amp;" "&amp;#REF!,#REF!,0),FALSE)</f>
        <v>#REF!</v>
      </c>
      <c r="O18" s="132" t="e">
        <f>VLOOKUP(#REF!&amp;"а[]",#REF!,MATCH(#REF!&amp;" "&amp;#REF!,#REF!,0),FALSE)</f>
        <v>#REF!</v>
      </c>
      <c r="P18" s="24" t="e">
        <f>TIME(HOUR(N18),MINUTE(N18),SECOND(N18))-M18</f>
        <v>#REF!</v>
      </c>
      <c r="Q18" s="24" t="e">
        <f>TIME(HOUR(O18),MINUTE(O18),SECOND(O18))-M18</f>
        <v>#REF!</v>
      </c>
      <c r="R18" s="39" t="e">
        <f>MIN(ABS(#REF!-P18),ABS(#REF!-Q18))*1440*60</f>
        <v>#REF!</v>
      </c>
      <c r="S18" s="132" t="e">
        <f>VLOOKUP(#REF!&amp;"[]",#REF!,MATCH(#REF!&amp;" "&amp;#REF!,#REF!,0),FALSE)</f>
        <v>#REF!</v>
      </c>
      <c r="T18" s="132" t="e">
        <f>VLOOKUP(#REF!&amp;"а[]",#REF!,MATCH(#REF!&amp;" "&amp;#REF!,#REF!,0),FALSE)</f>
        <v>#REF!</v>
      </c>
      <c r="U18" s="24" t="e">
        <f>TIME(HOUR(S18),MINUTE(S18),SECOND(S18))-M18</f>
        <v>#REF!</v>
      </c>
      <c r="V18" s="24" t="e">
        <f>TIME(HOUR(T18),MINUTE(T18),SECOND(T18))-M18</f>
        <v>#REF!</v>
      </c>
      <c r="W18" s="39" t="e">
        <f>MIN(ABS(#REF!-U18),ABS(#REF!-V18))*1440*60</f>
        <v>#REF!</v>
      </c>
      <c r="X18" s="132" t="e">
        <f>VLOOKUP(#REF!&amp;"[]",#REF!,MATCH(#REF!&amp;" "&amp;#REF!,#REF!,0),FALSE)</f>
        <v>#REF!</v>
      </c>
      <c r="Y18" s="132" t="e">
        <f>VLOOKUP(#REF!&amp;"а[]",#REF!,MATCH(#REF!&amp;" "&amp;#REF!,#REF!,0),FALSE)</f>
        <v>#REF!</v>
      </c>
      <c r="Z18" s="24" t="e">
        <f>MIN(X18-S18,X18-T18)</f>
        <v>#REF!</v>
      </c>
      <c r="AA18" s="24" t="e">
        <f>MIN(Y18-S18,Y18-T18)</f>
        <v>#REF!</v>
      </c>
      <c r="AB18" s="39" t="e">
        <f>MIN(ABS(#REF!-Z18),ABS(#REF!-AA18))*1440*60</f>
        <v>#REF!</v>
      </c>
      <c r="AC18" s="23"/>
      <c r="AD18" s="36" t="e">
        <f>#REF!+#REF!</f>
        <v>#REF!</v>
      </c>
      <c r="AE18" s="132" t="e">
        <f>VLOOKUP(#REF!&amp;"[]",#REF!,MATCH(#REF!&amp;""&amp;#REF!,#REF!,0),FALSE)</f>
        <v>#REF!</v>
      </c>
      <c r="AF18" s="132" t="e">
        <f>VLOOKUP(#REF!&amp;"а[]",#REF!,MATCH(#REF!&amp;""&amp;#REF!,#REF!,0),FALSE)</f>
        <v>#REF!</v>
      </c>
      <c r="AG18" s="37"/>
      <c r="AH18" s="38" t="e">
        <f t="shared" si="43"/>
        <v>#REF!</v>
      </c>
      <c r="AI18" s="21" t="e">
        <f t="shared" si="54"/>
        <v>#REF!</v>
      </c>
      <c r="AJ18" s="22"/>
      <c r="AK18" s="247"/>
      <c r="AL18" s="247"/>
      <c r="AM18" s="44">
        <v>43.1</v>
      </c>
      <c r="AN18" s="46"/>
      <c r="AO18" s="45">
        <f t="shared" si="45"/>
        <v>43.1</v>
      </c>
      <c r="AP18" s="22"/>
      <c r="AQ18" s="134" t="e">
        <f>#REF!+#REF!+#REF!+#REF!+#REF!+#REF!+#REF!+#REF!+#REF!+#REF!+#REF!+#REF!+#REF!+#REF!+#REF!+#REF!+#REF!+#REF!+#REF!+#REF!+#REF!+#REF!+I18+H18+#REF!+#REF!</f>
        <v>#REF!</v>
      </c>
    </row>
    <row r="19" spans="1:43" s="1" customFormat="1" hidden="1">
      <c r="A19" s="31">
        <f>Старт.вед.!B19</f>
        <v>0</v>
      </c>
      <c r="B19" s="20" t="str">
        <f>VLOOKUP(A19,'Уч-ки'!$B$8:$H$39,2,FALSE)</f>
        <v xml:space="preserve"> </v>
      </c>
      <c r="C19" s="36" t="e">
        <f>#REF!+$C$5</f>
        <v>#REF!</v>
      </c>
      <c r="D19" s="132"/>
      <c r="E19" s="132"/>
      <c r="F19" s="37"/>
      <c r="G19" s="38">
        <f t="shared" si="47"/>
        <v>0</v>
      </c>
      <c r="H19" s="21">
        <v>0</v>
      </c>
      <c r="I19" s="22"/>
      <c r="J19" s="132" t="e">
        <f>VLOOKUP(A19&amp;"[]",#REF!,MATCH(#REF!&amp;" "&amp;$J$6,#REF!,0),FALSE)</f>
        <v>#REF!</v>
      </c>
      <c r="K19" s="132" t="e">
        <f>VLOOKUP(A19&amp;"а[]",#REF!,MATCH(#REF!&amp;" "&amp;$J$6,#REF!,0),FALSE)</f>
        <v>#REF!</v>
      </c>
      <c r="L19" s="37" t="s">
        <v>54</v>
      </c>
      <c r="M19" s="38">
        <f t="shared" si="35"/>
        <v>0.52708333333333335</v>
      </c>
      <c r="N19" s="132" t="e">
        <f>VLOOKUP(#REF!&amp;"[]",#REF!,MATCH(#REF!&amp;" "&amp;#REF!,#REF!,0),FALSE)</f>
        <v>#REF!</v>
      </c>
      <c r="O19" s="132" t="e">
        <f>VLOOKUP(#REF!&amp;"а[]",#REF!,MATCH(#REF!&amp;" "&amp;#REF!,#REF!,0),FALSE)</f>
        <v>#REF!</v>
      </c>
      <c r="P19" s="24" t="e">
        <f>TIME(HOUR(N19),MINUTE(N19),SECOND(N19))-M19</f>
        <v>#REF!</v>
      </c>
      <c r="Q19" s="24" t="e">
        <f>TIME(HOUR(O19),MINUTE(O19),SECOND(O19))-M19</f>
        <v>#REF!</v>
      </c>
      <c r="R19" s="39" t="e">
        <f>MIN(ABS(#REF!-P19),ABS(#REF!-Q19))*1440*60</f>
        <v>#REF!</v>
      </c>
      <c r="S19" s="132" t="e">
        <f>VLOOKUP(#REF!&amp;"[]",#REF!,MATCH(#REF!&amp;" "&amp;#REF!,#REF!,0),FALSE)</f>
        <v>#REF!</v>
      </c>
      <c r="T19" s="132" t="e">
        <f>VLOOKUP(#REF!&amp;"а[]",#REF!,MATCH(#REF!&amp;" "&amp;#REF!,#REF!,0),FALSE)</f>
        <v>#REF!</v>
      </c>
      <c r="U19" s="24" t="e">
        <f>TIME(HOUR(S19),MINUTE(S19),SECOND(S19))-M19</f>
        <v>#REF!</v>
      </c>
      <c r="V19" s="24" t="e">
        <f>TIME(HOUR(T19),MINUTE(T19),SECOND(T19))-M19</f>
        <v>#REF!</v>
      </c>
      <c r="W19" s="39" t="e">
        <f>MIN(ABS(#REF!-U19),ABS(#REF!-V19))*1440*60</f>
        <v>#REF!</v>
      </c>
      <c r="X19" s="132" t="e">
        <f>VLOOKUP(#REF!&amp;"[]",#REF!,MATCH(#REF!&amp;" "&amp;#REF!,#REF!,0),FALSE)</f>
        <v>#REF!</v>
      </c>
      <c r="Y19" s="132" t="e">
        <f>VLOOKUP(#REF!&amp;"а[]",#REF!,MATCH(#REF!&amp;" "&amp;#REF!,#REF!,0),FALSE)</f>
        <v>#REF!</v>
      </c>
      <c r="Z19" s="24" t="e">
        <f>MIN(X19-S19,X19-T19)</f>
        <v>#REF!</v>
      </c>
      <c r="AA19" s="24" t="e">
        <f>MIN(Y19-S19,Y19-T19)</f>
        <v>#REF!</v>
      </c>
      <c r="AB19" s="39" t="e">
        <f>MIN(ABS(#REF!-Z19),ABS(#REF!-AA19))*1440*60</f>
        <v>#REF!</v>
      </c>
      <c r="AC19" s="23"/>
      <c r="AD19" s="36" t="e">
        <f>#REF!+#REF!</f>
        <v>#REF!</v>
      </c>
      <c r="AE19" s="132" t="e">
        <f>VLOOKUP(#REF!&amp;"[]",#REF!,MATCH(#REF!&amp;""&amp;#REF!,#REF!,0),FALSE)</f>
        <v>#REF!</v>
      </c>
      <c r="AF19" s="132" t="e">
        <f>VLOOKUP(#REF!&amp;"а[]",#REF!,MATCH(#REF!&amp;""&amp;#REF!,#REF!,0),FALSE)</f>
        <v>#REF!</v>
      </c>
      <c r="AG19" s="37"/>
      <c r="AH19" s="38" t="e">
        <f t="shared" si="43"/>
        <v>#REF!</v>
      </c>
      <c r="AI19" s="21" t="e">
        <f t="shared" si="54"/>
        <v>#REF!</v>
      </c>
      <c r="AJ19" s="22"/>
      <c r="AK19" s="247"/>
      <c r="AL19" s="247"/>
      <c r="AM19" s="44">
        <v>38</v>
      </c>
      <c r="AN19" s="46"/>
      <c r="AO19" s="45">
        <f t="shared" si="45"/>
        <v>38</v>
      </c>
      <c r="AP19" s="22"/>
      <c r="AQ19" s="134" t="e">
        <f>#REF!+#REF!+#REF!+#REF!+#REF!+#REF!+#REF!+#REF!+#REF!+#REF!+#REF!+#REF!+#REF!+#REF!+#REF!+#REF!+#REF!+#REF!+#REF!+#REF!+#REF!+#REF!+I19+H19+#REF!+#REF!</f>
        <v>#REF!</v>
      </c>
    </row>
    <row r="20" spans="1:43" s="1" customFormat="1" hidden="1">
      <c r="A20" s="31">
        <f>Старт.вед.!B20</f>
        <v>0</v>
      </c>
      <c r="B20" s="20" t="str">
        <f>VLOOKUP(A20,'Уч-ки'!$B$8:$H$39,2,FALSE)</f>
        <v xml:space="preserve"> </v>
      </c>
      <c r="C20" s="36" t="e">
        <f>#REF!+$C$5</f>
        <v>#REF!</v>
      </c>
      <c r="D20" s="132"/>
      <c r="E20" s="132"/>
      <c r="F20" s="37"/>
      <c r="G20" s="38">
        <f t="shared" si="47"/>
        <v>0</v>
      </c>
      <c r="H20" s="21">
        <v>0</v>
      </c>
      <c r="I20" s="22"/>
      <c r="J20" s="132" t="e">
        <f>VLOOKUP(A20&amp;"[]",#REF!,MATCH(#REF!&amp;" "&amp;$J$6,#REF!,0),FALSE)</f>
        <v>#REF!</v>
      </c>
      <c r="K20" s="132" t="e">
        <f>VLOOKUP(A20&amp;"а[]",#REF!,MATCH(#REF!&amp;" "&amp;$J$6,#REF!,0),FALSE)</f>
        <v>#REF!</v>
      </c>
      <c r="L20" s="37" t="s">
        <v>56</v>
      </c>
      <c r="M20" s="38">
        <f t="shared" si="35"/>
        <v>0.52847222222222223</v>
      </c>
      <c r="N20" s="132" t="e">
        <f>VLOOKUP(#REF!&amp;"[]",#REF!,MATCH(#REF!&amp;" "&amp;#REF!,#REF!,0),FALSE)</f>
        <v>#REF!</v>
      </c>
      <c r="O20" s="132" t="e">
        <f>VLOOKUP(#REF!&amp;"а[]",#REF!,MATCH(#REF!&amp;" "&amp;#REF!,#REF!,0),FALSE)</f>
        <v>#REF!</v>
      </c>
      <c r="P20" s="24" t="e">
        <f>TIME(HOUR(N20),MINUTE(N20),SECOND(N20))-M20</f>
        <v>#REF!</v>
      </c>
      <c r="Q20" s="24" t="e">
        <f>TIME(HOUR(O20),MINUTE(O20),SECOND(O20))-M20</f>
        <v>#REF!</v>
      </c>
      <c r="R20" s="39" t="e">
        <f>MIN(ABS(#REF!-P20),ABS(#REF!-Q20))*1440*60</f>
        <v>#REF!</v>
      </c>
      <c r="S20" s="132" t="e">
        <f>VLOOKUP(#REF!&amp;"[]",#REF!,MATCH(#REF!&amp;" "&amp;#REF!,#REF!,0),FALSE)</f>
        <v>#REF!</v>
      </c>
      <c r="T20" s="132" t="e">
        <f>VLOOKUP(#REF!&amp;"а[]",#REF!,MATCH(#REF!&amp;" "&amp;#REF!,#REF!,0),FALSE)</f>
        <v>#REF!</v>
      </c>
      <c r="U20" s="24" t="e">
        <f>TIME(HOUR(S20),MINUTE(S20),SECOND(S20))-M20</f>
        <v>#REF!</v>
      </c>
      <c r="V20" s="24" t="e">
        <f>TIME(HOUR(T20),MINUTE(T20),SECOND(T20))-M20</f>
        <v>#REF!</v>
      </c>
      <c r="W20" s="39" t="e">
        <f>MIN(ABS(#REF!-U20),ABS(#REF!-V20))*1440*60</f>
        <v>#REF!</v>
      </c>
      <c r="X20" s="132" t="e">
        <f>VLOOKUP(#REF!&amp;"[]",#REF!,MATCH(#REF!&amp;" "&amp;#REF!,#REF!,0),FALSE)</f>
        <v>#REF!</v>
      </c>
      <c r="Y20" s="132" t="e">
        <f>VLOOKUP(#REF!&amp;"а[]",#REF!,MATCH(#REF!&amp;" "&amp;#REF!,#REF!,0),FALSE)</f>
        <v>#REF!</v>
      </c>
      <c r="Z20" s="24" t="e">
        <f>MIN(X20-S20,X20-T20)</f>
        <v>#REF!</v>
      </c>
      <c r="AA20" s="24" t="e">
        <f>MIN(Y20-S20,Y20-T20)</f>
        <v>#REF!</v>
      </c>
      <c r="AB20" s="39" t="e">
        <f>MIN(ABS(#REF!-Z20),ABS(#REF!-AA20))*1440*60</f>
        <v>#REF!</v>
      </c>
      <c r="AC20" s="23"/>
      <c r="AD20" s="36" t="e">
        <f>#REF!+#REF!</f>
        <v>#REF!</v>
      </c>
      <c r="AE20" s="132" t="e">
        <f>VLOOKUP(#REF!&amp;"[]",#REF!,MATCH(#REF!&amp;""&amp;#REF!,#REF!,0),FALSE)</f>
        <v>#REF!</v>
      </c>
      <c r="AF20" s="132" t="e">
        <f>VLOOKUP(#REF!&amp;"а[]",#REF!,MATCH(#REF!&amp;""&amp;#REF!,#REF!,0),FALSE)</f>
        <v>#REF!</v>
      </c>
      <c r="AG20" s="37"/>
      <c r="AH20" s="38" t="e">
        <f t="shared" si="43"/>
        <v>#REF!</v>
      </c>
      <c r="AI20" s="21" t="e">
        <f t="shared" si="54"/>
        <v>#REF!</v>
      </c>
      <c r="AJ20" s="22"/>
      <c r="AK20" s="247"/>
      <c r="AL20" s="247"/>
      <c r="AM20" s="44">
        <v>51.4</v>
      </c>
      <c r="AN20" s="46"/>
      <c r="AO20" s="45">
        <f t="shared" si="45"/>
        <v>51.4</v>
      </c>
      <c r="AP20" s="22"/>
      <c r="AQ20" s="134" t="e">
        <f>#REF!+#REF!+#REF!+#REF!+#REF!+#REF!+#REF!+#REF!+#REF!+#REF!+#REF!+#REF!+#REF!+#REF!+#REF!+#REF!+#REF!+#REF!+#REF!+#REF!+#REF!+#REF!+I20+H20+#REF!+#REF!</f>
        <v>#REF!</v>
      </c>
    </row>
    <row r="21" spans="1:43" s="1" customFormat="1" hidden="1">
      <c r="A21" s="31">
        <f>Старт.вед.!B21</f>
        <v>0</v>
      </c>
      <c r="B21" s="20" t="str">
        <f>VLOOKUP(A21,'Уч-ки'!$B$8:$H$39,2,FALSE)</f>
        <v xml:space="preserve"> </v>
      </c>
      <c r="C21" s="36" t="e">
        <f>#REF!+$C$5</f>
        <v>#REF!</v>
      </c>
      <c r="D21" s="132"/>
      <c r="E21" s="132"/>
      <c r="F21" s="37"/>
      <c r="G21" s="38">
        <f t="shared" si="47"/>
        <v>0</v>
      </c>
      <c r="H21" s="21">
        <v>0</v>
      </c>
      <c r="I21" s="22"/>
      <c r="J21" s="132" t="e">
        <f>VLOOKUP(A21&amp;"[]",#REF!,MATCH(#REF!&amp;" "&amp;$J$6,#REF!,0),FALSE)</f>
        <v>#REF!</v>
      </c>
      <c r="K21" s="132" t="e">
        <f>VLOOKUP(A21&amp;"а[]",#REF!,MATCH(#REF!&amp;" "&amp;$J$6,#REF!,0),FALSE)</f>
        <v>#REF!</v>
      </c>
      <c r="L21" s="37" t="s">
        <v>73</v>
      </c>
      <c r="M21" s="38">
        <f t="shared" si="35"/>
        <v>0.52361111111111114</v>
      </c>
      <c r="N21" s="132" t="e">
        <f>VLOOKUP(#REF!&amp;"[]",#REF!,MATCH(#REF!&amp;" "&amp;#REF!,#REF!,0),FALSE)</f>
        <v>#REF!</v>
      </c>
      <c r="O21" s="132" t="e">
        <f>VLOOKUP(#REF!&amp;"а[]",#REF!,MATCH(#REF!&amp;" "&amp;#REF!,#REF!,0),FALSE)</f>
        <v>#REF!</v>
      </c>
      <c r="P21" s="24" t="e">
        <f>TIME(HOUR(N21),MINUTE(N21),SECOND(N21))-M21</f>
        <v>#REF!</v>
      </c>
      <c r="Q21" s="24" t="e">
        <f>TIME(HOUR(O21),MINUTE(O21),SECOND(O21))-M21</f>
        <v>#REF!</v>
      </c>
      <c r="R21" s="39" t="e">
        <f>MIN(ABS(#REF!-P21),ABS(#REF!-Q21))*1440*60</f>
        <v>#REF!</v>
      </c>
      <c r="S21" s="132" t="e">
        <f>VLOOKUP(#REF!&amp;"[]",#REF!,MATCH(#REF!&amp;" "&amp;#REF!,#REF!,0),FALSE)</f>
        <v>#REF!</v>
      </c>
      <c r="T21" s="132" t="e">
        <f>VLOOKUP(#REF!&amp;"а[]",#REF!,MATCH(#REF!&amp;" "&amp;#REF!,#REF!,0),FALSE)</f>
        <v>#REF!</v>
      </c>
      <c r="U21" s="24" t="e">
        <f>TIME(HOUR(S21),MINUTE(S21),SECOND(S21))-M21</f>
        <v>#REF!</v>
      </c>
      <c r="V21" s="24" t="e">
        <f>TIME(HOUR(T21),MINUTE(T21),SECOND(T21))-M21</f>
        <v>#REF!</v>
      </c>
      <c r="W21" s="39" t="e">
        <f>MIN(ABS(#REF!-U21),ABS(#REF!-V21))*1440*60</f>
        <v>#REF!</v>
      </c>
      <c r="X21" s="132" t="e">
        <f>VLOOKUP(#REF!&amp;"[]",#REF!,MATCH(#REF!&amp;" "&amp;#REF!,#REF!,0),FALSE)</f>
        <v>#REF!</v>
      </c>
      <c r="Y21" s="132" t="e">
        <f>VLOOKUP(#REF!&amp;"а[]",#REF!,MATCH(#REF!&amp;" "&amp;#REF!,#REF!,0),FALSE)</f>
        <v>#REF!</v>
      </c>
      <c r="Z21" s="24" t="e">
        <f>MIN(X21-S21,X21-T21)</f>
        <v>#REF!</v>
      </c>
      <c r="AA21" s="24" t="e">
        <f>MIN(Y21-S21,Y21-T21)</f>
        <v>#REF!</v>
      </c>
      <c r="AB21" s="39" t="e">
        <f>MIN(ABS(#REF!-Z21),ABS(#REF!-AA21))*1440*60</f>
        <v>#REF!</v>
      </c>
      <c r="AC21" s="23"/>
      <c r="AD21" s="36" t="e">
        <f>#REF!+#REF!</f>
        <v>#REF!</v>
      </c>
      <c r="AE21" s="132" t="e">
        <f>VLOOKUP(#REF!&amp;"[]",#REF!,MATCH(#REF!&amp;""&amp;#REF!,#REF!,0),FALSE)</f>
        <v>#REF!</v>
      </c>
      <c r="AF21" s="132" t="e">
        <f>VLOOKUP(#REF!&amp;"а[]",#REF!,MATCH(#REF!&amp;""&amp;#REF!,#REF!,0),FALSE)</f>
        <v>#REF!</v>
      </c>
      <c r="AG21" s="37" t="s">
        <v>79</v>
      </c>
      <c r="AH21" s="38">
        <f t="shared" si="43"/>
        <v>0.53333333333333333</v>
      </c>
      <c r="AI21" s="21" t="e">
        <f t="shared" si="54"/>
        <v>#REF!</v>
      </c>
      <c r="AJ21" s="22"/>
      <c r="AK21" s="247"/>
      <c r="AL21" s="247"/>
      <c r="AM21" s="44">
        <v>41.5</v>
      </c>
      <c r="AN21" s="46"/>
      <c r="AO21" s="45">
        <f t="shared" si="45"/>
        <v>41.5</v>
      </c>
      <c r="AP21" s="22"/>
      <c r="AQ21" s="134" t="e">
        <f>#REF!+#REF!+#REF!+#REF!+#REF!+#REF!+#REF!+#REF!+#REF!+#REF!+#REF!+#REF!+#REF!+#REF!+#REF!+#REF!+#REF!+#REF!+#REF!+#REF!+#REF!+#REF!+I21+H21+#REF!+#REF!</f>
        <v>#REF!</v>
      </c>
    </row>
    <row r="22" spans="1:43" s="1" customFormat="1" hidden="1">
      <c r="A22" s="31">
        <f>Старт.вед.!B22</f>
        <v>0</v>
      </c>
      <c r="B22" s="20" t="str">
        <f>VLOOKUP(A22,'Уч-ки'!$B$8:$H$39,2,FALSE)</f>
        <v xml:space="preserve"> </v>
      </c>
      <c r="C22" s="36" t="e">
        <f>#REF!+$C$5</f>
        <v>#REF!</v>
      </c>
      <c r="D22" s="132"/>
      <c r="E22" s="132"/>
      <c r="F22" s="37"/>
      <c r="G22" s="38">
        <f t="shared" si="47"/>
        <v>0</v>
      </c>
      <c r="H22" s="21">
        <v>0</v>
      </c>
      <c r="I22" s="22"/>
      <c r="J22" s="132" t="e">
        <f>VLOOKUP(A22&amp;"[]",#REF!,MATCH(#REF!&amp;" "&amp;$J$6,#REF!,0),FALSE)</f>
        <v>#REF!</v>
      </c>
      <c r="K22" s="132" t="e">
        <f>VLOOKUP(A22&amp;"а[]",#REF!,MATCH(#REF!&amp;" "&amp;$J$6,#REF!,0),FALSE)</f>
        <v>#REF!</v>
      </c>
      <c r="L22" s="37" t="s">
        <v>74</v>
      </c>
      <c r="M22" s="38">
        <f t="shared" si="35"/>
        <v>0.52569444444444446</v>
      </c>
      <c r="N22" s="132" t="e">
        <f>VLOOKUP(#REF!&amp;"[]",#REF!,MATCH(#REF!&amp;" "&amp;#REF!,#REF!,0),FALSE)</f>
        <v>#REF!</v>
      </c>
      <c r="O22" s="132" t="e">
        <f>VLOOKUP(#REF!&amp;"а[]",#REF!,MATCH(#REF!&amp;" "&amp;#REF!,#REF!,0),FALSE)</f>
        <v>#REF!</v>
      </c>
      <c r="P22" s="24" t="e">
        <f>TIME(HOUR(N22),MINUTE(N22),SECOND(N22))-M22</f>
        <v>#REF!</v>
      </c>
      <c r="Q22" s="24" t="e">
        <f>TIME(HOUR(O22),MINUTE(O22),SECOND(O22))-M22</f>
        <v>#REF!</v>
      </c>
      <c r="R22" s="39" t="e">
        <f>MIN(ABS(#REF!-P22),ABS(#REF!-Q22))*1440*60</f>
        <v>#REF!</v>
      </c>
      <c r="S22" s="132" t="e">
        <f>VLOOKUP(#REF!&amp;"[]",#REF!,MATCH(#REF!&amp;" "&amp;#REF!,#REF!,0),FALSE)</f>
        <v>#REF!</v>
      </c>
      <c r="T22" s="132" t="e">
        <f>VLOOKUP(#REF!&amp;"а[]",#REF!,MATCH(#REF!&amp;" "&amp;#REF!,#REF!,0),FALSE)</f>
        <v>#REF!</v>
      </c>
      <c r="U22" s="24" t="e">
        <f>TIME(HOUR(S22),MINUTE(S22),SECOND(S22))-M22</f>
        <v>#REF!</v>
      </c>
      <c r="V22" s="24" t="e">
        <f>TIME(HOUR(T22),MINUTE(T22),SECOND(T22))-M22</f>
        <v>#REF!</v>
      </c>
      <c r="W22" s="39" t="e">
        <f>MIN(ABS(#REF!-U22),ABS(#REF!-V22))*1440*60</f>
        <v>#REF!</v>
      </c>
      <c r="X22" s="132" t="e">
        <f>VLOOKUP(#REF!&amp;"[]",#REF!,MATCH(#REF!&amp;" "&amp;#REF!,#REF!,0),FALSE)</f>
        <v>#REF!</v>
      </c>
      <c r="Y22" s="132" t="e">
        <f>VLOOKUP(#REF!&amp;"а[]",#REF!,MATCH(#REF!&amp;" "&amp;#REF!,#REF!,0),FALSE)</f>
        <v>#REF!</v>
      </c>
      <c r="Z22" s="24" t="e">
        <f>MIN(X22-S22,X22-T22)</f>
        <v>#REF!</v>
      </c>
      <c r="AA22" s="24" t="e">
        <f>MIN(Y22-S22,Y22-T22)</f>
        <v>#REF!</v>
      </c>
      <c r="AB22" s="39" t="e">
        <f>MIN(ABS(#REF!-Z22),ABS(#REF!-AA22))*1440*60</f>
        <v>#REF!</v>
      </c>
      <c r="AC22" s="23"/>
      <c r="AD22" s="36" t="e">
        <f>#REF!+#REF!</f>
        <v>#REF!</v>
      </c>
      <c r="AE22" s="132" t="e">
        <f>VLOOKUP(#REF!&amp;"[]",#REF!,MATCH(#REF!&amp;""&amp;#REF!,#REF!,0),FALSE)</f>
        <v>#REF!</v>
      </c>
      <c r="AF22" s="132" t="e">
        <f>VLOOKUP(#REF!&amp;"а[]",#REF!,MATCH(#REF!&amp;""&amp;#REF!,#REF!,0),FALSE)</f>
        <v>#REF!</v>
      </c>
      <c r="AG22" s="37"/>
      <c r="AH22" s="38" t="e">
        <f t="shared" si="43"/>
        <v>#REF!</v>
      </c>
      <c r="AI22" s="21" t="e">
        <f t="shared" si="54"/>
        <v>#REF!</v>
      </c>
      <c r="AJ22" s="22"/>
      <c r="AK22" s="247"/>
      <c r="AL22" s="247"/>
      <c r="AM22" s="44">
        <v>44.5</v>
      </c>
      <c r="AN22" s="46"/>
      <c r="AO22" s="45">
        <f t="shared" si="45"/>
        <v>44.5</v>
      </c>
      <c r="AP22" s="22"/>
      <c r="AQ22" s="134" t="e">
        <f>#REF!+#REF!+#REF!+#REF!+#REF!+#REF!+#REF!+#REF!+#REF!+#REF!+#REF!+#REF!+#REF!+#REF!+#REF!+#REF!+#REF!+#REF!+#REF!+#REF!+#REF!+#REF!+I22+H22+#REF!+#REF!</f>
        <v>#REF!</v>
      </c>
    </row>
    <row r="23" spans="1:43" s="1" customFormat="1" hidden="1">
      <c r="A23" s="31">
        <f>Старт.вед.!B23</f>
        <v>0</v>
      </c>
      <c r="B23" s="20" t="str">
        <f>VLOOKUP(A23,'Уч-ки'!$B$8:$H$39,2,FALSE)</f>
        <v xml:space="preserve"> </v>
      </c>
      <c r="C23" s="36" t="e">
        <f>#REF!+$C$5</f>
        <v>#REF!</v>
      </c>
      <c r="D23" s="132"/>
      <c r="E23" s="132"/>
      <c r="F23" s="37"/>
      <c r="G23" s="38">
        <f t="shared" si="47"/>
        <v>0</v>
      </c>
      <c r="H23" s="21">
        <v>0</v>
      </c>
      <c r="I23" s="22"/>
      <c r="J23" s="132" t="e">
        <f>VLOOKUP(A23&amp;"[]",#REF!,MATCH(#REF!&amp;" "&amp;$J$6,#REF!,0),FALSE)</f>
        <v>#REF!</v>
      </c>
      <c r="K23" s="132" t="e">
        <f>VLOOKUP(A23&amp;"а[]",#REF!,MATCH(#REF!&amp;" "&amp;$J$6,#REF!,0),FALSE)</f>
        <v>#REF!</v>
      </c>
      <c r="L23" s="158" t="s">
        <v>75</v>
      </c>
      <c r="M23" s="38">
        <f t="shared" si="35"/>
        <v>0.53402777777777777</v>
      </c>
      <c r="N23" s="132" t="e">
        <f>VLOOKUP(#REF!&amp;"[]",#REF!,MATCH(#REF!&amp;" "&amp;#REF!,#REF!,0),FALSE)</f>
        <v>#REF!</v>
      </c>
      <c r="O23" s="132" t="e">
        <f>VLOOKUP(#REF!&amp;"а[]",#REF!,MATCH(#REF!&amp;" "&amp;#REF!,#REF!,0),FALSE)</f>
        <v>#REF!</v>
      </c>
      <c r="P23" s="24" t="e">
        <f>TIME(HOUR(N23),MINUTE(N23),SECOND(N23))-M23</f>
        <v>#REF!</v>
      </c>
      <c r="Q23" s="24" t="e">
        <f>TIME(HOUR(O23),MINUTE(O23),SECOND(O23))-M23</f>
        <v>#REF!</v>
      </c>
      <c r="R23" s="39" t="e">
        <f>MIN(ABS(#REF!-P23),ABS(#REF!-Q23))*1440*60</f>
        <v>#REF!</v>
      </c>
      <c r="S23" s="132" t="e">
        <f>VLOOKUP(#REF!&amp;"[]",#REF!,MATCH(#REF!&amp;" "&amp;#REF!,#REF!,0),FALSE)</f>
        <v>#REF!</v>
      </c>
      <c r="T23" s="132" t="e">
        <f>VLOOKUP(#REF!&amp;"а[]",#REF!,MATCH(#REF!&amp;" "&amp;#REF!,#REF!,0),FALSE)</f>
        <v>#REF!</v>
      </c>
      <c r="U23" s="24" t="e">
        <f>TIME(HOUR(S23),MINUTE(S23),SECOND(S23))-M23</f>
        <v>#REF!</v>
      </c>
      <c r="V23" s="24" t="e">
        <f>TIME(HOUR(T23),MINUTE(T23),SECOND(T23))-M23</f>
        <v>#REF!</v>
      </c>
      <c r="W23" s="39" t="e">
        <f>MIN(ABS(#REF!-U23),ABS(#REF!-V23))*1440*60</f>
        <v>#REF!</v>
      </c>
      <c r="X23" s="132" t="e">
        <f>VLOOKUP(#REF!&amp;"[]",#REF!,MATCH(#REF!&amp;" "&amp;#REF!,#REF!,0),FALSE)</f>
        <v>#REF!</v>
      </c>
      <c r="Y23" s="132" t="e">
        <f>VLOOKUP(#REF!&amp;"а[]",#REF!,MATCH(#REF!&amp;" "&amp;#REF!,#REF!,0),FALSE)</f>
        <v>#REF!</v>
      </c>
      <c r="Z23" s="24" t="e">
        <f>MIN(X23-S23,X23-T23)</f>
        <v>#REF!</v>
      </c>
      <c r="AA23" s="24" t="e">
        <f>MIN(Y23-S23,Y23-T23)</f>
        <v>#REF!</v>
      </c>
      <c r="AB23" s="39" t="e">
        <f>MIN(ABS(#REF!-Z23),ABS(#REF!-AA23))*1440*60</f>
        <v>#REF!</v>
      </c>
      <c r="AC23" s="23"/>
      <c r="AD23" s="36" t="e">
        <f>#REF!+#REF!</f>
        <v>#REF!</v>
      </c>
      <c r="AE23" s="132" t="e">
        <f>VLOOKUP(#REF!&amp;"[]",#REF!,MATCH(#REF!&amp;""&amp;#REF!,#REF!,0),FALSE)</f>
        <v>#REF!</v>
      </c>
      <c r="AF23" s="132" t="e">
        <f>VLOOKUP(#REF!&amp;"а[]",#REF!,MATCH(#REF!&amp;""&amp;#REF!,#REF!,0),FALSE)</f>
        <v>#REF!</v>
      </c>
      <c r="AG23" s="37"/>
      <c r="AH23" s="38" t="e">
        <f t="shared" si="43"/>
        <v>#REF!</v>
      </c>
      <c r="AI23" s="21" t="e">
        <f t="shared" si="54"/>
        <v>#REF!</v>
      </c>
      <c r="AJ23" s="22"/>
      <c r="AK23" s="247"/>
      <c r="AL23" s="247"/>
      <c r="AM23" s="44">
        <v>71.5</v>
      </c>
      <c r="AN23" s="46"/>
      <c r="AO23" s="45">
        <f t="shared" si="45"/>
        <v>71.5</v>
      </c>
      <c r="AP23" s="22"/>
      <c r="AQ23" s="134" t="s">
        <v>78</v>
      </c>
    </row>
    <row r="24" spans="1:43" s="1" customFormat="1" hidden="1">
      <c r="A24" s="31">
        <f>Старт.вед.!B24</f>
        <v>0</v>
      </c>
      <c r="B24" s="20" t="str">
        <f>VLOOKUP(A24,'Уч-ки'!$B$8:$H$39,2,FALSE)</f>
        <v xml:space="preserve"> </v>
      </c>
      <c r="C24" s="36" t="e">
        <f>#REF!+$C$5</f>
        <v>#REF!</v>
      </c>
      <c r="D24" s="132"/>
      <c r="E24" s="132"/>
      <c r="F24" s="37"/>
      <c r="G24" s="38">
        <f t="shared" si="47"/>
        <v>0</v>
      </c>
      <c r="H24" s="21">
        <v>0</v>
      </c>
      <c r="I24" s="22"/>
      <c r="J24" s="132" t="e">
        <f>VLOOKUP(A24&amp;"[]",#REF!,MATCH(#REF!&amp;" "&amp;$J$6,#REF!,0),FALSE)</f>
        <v>#REF!</v>
      </c>
      <c r="K24" s="132" t="e">
        <f>VLOOKUP(A24&amp;"а[]",#REF!,MATCH(#REF!&amp;" "&amp;$J$6,#REF!,0),FALSE)</f>
        <v>#REF!</v>
      </c>
      <c r="L24" s="37" t="s">
        <v>76</v>
      </c>
      <c r="M24" s="38">
        <f t="shared" si="35"/>
        <v>0.53263888888888888</v>
      </c>
      <c r="N24" s="132" t="e">
        <f>VLOOKUP(#REF!&amp;"[]",#REF!,MATCH(#REF!&amp;" "&amp;#REF!,#REF!,0),FALSE)</f>
        <v>#REF!</v>
      </c>
      <c r="O24" s="132" t="e">
        <f>VLOOKUP(#REF!&amp;"а[]",#REF!,MATCH(#REF!&amp;" "&amp;#REF!,#REF!,0),FALSE)</f>
        <v>#REF!</v>
      </c>
      <c r="P24" s="24" t="e">
        <f>TIME(HOUR(N24),MINUTE(N24),SECOND(N24))-M24</f>
        <v>#REF!</v>
      </c>
      <c r="Q24" s="24" t="e">
        <f>TIME(HOUR(O24),MINUTE(O24),SECOND(O24))-M24</f>
        <v>#REF!</v>
      </c>
      <c r="R24" s="39" t="e">
        <f>MIN(ABS(#REF!-P24),ABS(#REF!-Q24))*1440*60</f>
        <v>#REF!</v>
      </c>
      <c r="S24" s="132" t="e">
        <f>VLOOKUP(#REF!&amp;"[]",#REF!,MATCH(#REF!&amp;" "&amp;#REF!,#REF!,0),FALSE)</f>
        <v>#REF!</v>
      </c>
      <c r="T24" s="132" t="e">
        <f>VLOOKUP(#REF!&amp;"а[]",#REF!,MATCH(#REF!&amp;" "&amp;#REF!,#REF!,0),FALSE)</f>
        <v>#REF!</v>
      </c>
      <c r="U24" s="24" t="e">
        <f>TIME(HOUR(S24),MINUTE(S24),SECOND(S24))-M24</f>
        <v>#REF!</v>
      </c>
      <c r="V24" s="24" t="e">
        <f>TIME(HOUR(T24),MINUTE(T24),SECOND(T24))-M24</f>
        <v>#REF!</v>
      </c>
      <c r="W24" s="39" t="e">
        <f>MIN(ABS(#REF!-U24),ABS(#REF!-V24))*1440*60</f>
        <v>#REF!</v>
      </c>
      <c r="X24" s="132" t="e">
        <f>VLOOKUP(#REF!&amp;"[]",#REF!,MATCH(#REF!&amp;" "&amp;#REF!,#REF!,0),FALSE)</f>
        <v>#REF!</v>
      </c>
      <c r="Y24" s="132" t="e">
        <f>VLOOKUP(#REF!&amp;"а[]",#REF!,MATCH(#REF!&amp;" "&amp;#REF!,#REF!,0),FALSE)</f>
        <v>#REF!</v>
      </c>
      <c r="Z24" s="24" t="e">
        <f>MIN(X24-S24,X24-T24)</f>
        <v>#REF!</v>
      </c>
      <c r="AA24" s="24" t="e">
        <f>MIN(Y24-S24,Y24-T24)</f>
        <v>#REF!</v>
      </c>
      <c r="AB24" s="39" t="e">
        <f>MIN(ABS(#REF!-Z24),ABS(#REF!-AA24))*1440*60</f>
        <v>#REF!</v>
      </c>
      <c r="AC24" s="23"/>
      <c r="AD24" s="36" t="e">
        <f>#REF!+#REF!</f>
        <v>#REF!</v>
      </c>
      <c r="AE24" s="132" t="e">
        <f>VLOOKUP(#REF!&amp;"[]",#REF!,MATCH(#REF!&amp;""&amp;#REF!,#REF!,0),FALSE)</f>
        <v>#REF!</v>
      </c>
      <c r="AF24" s="132" t="e">
        <f>VLOOKUP(#REF!&amp;"а[]",#REF!,MATCH(#REF!&amp;""&amp;#REF!,#REF!,0),FALSE)</f>
        <v>#REF!</v>
      </c>
      <c r="AG24" s="37"/>
      <c r="AH24" s="38" t="e">
        <f t="shared" si="43"/>
        <v>#REF!</v>
      </c>
      <c r="AI24" s="21" t="e">
        <f t="shared" si="54"/>
        <v>#REF!</v>
      </c>
      <c r="AJ24" s="22"/>
      <c r="AK24" s="247"/>
      <c r="AL24" s="247"/>
      <c r="AM24" s="44">
        <v>41.4</v>
      </c>
      <c r="AN24" s="46"/>
      <c r="AO24" s="45">
        <f t="shared" si="45"/>
        <v>41.4</v>
      </c>
      <c r="AP24" s="22"/>
      <c r="AQ24" s="134" t="e">
        <f>#REF!+#REF!+#REF!+#REF!+#REF!+#REF!+#REF!+#REF!+#REF!+#REF!+#REF!+#REF!+#REF!+#REF!+#REF!+#REF!+#REF!+#REF!+#REF!+#REF!+#REF!+#REF!+I24+H24+#REF!+#REF!</f>
        <v>#REF!</v>
      </c>
    </row>
    <row r="25" spans="1:43" s="1" customFormat="1" hidden="1">
      <c r="A25" s="31">
        <f>Старт.вед.!B25</f>
        <v>0</v>
      </c>
      <c r="B25" s="20" t="str">
        <f>VLOOKUP(A25,'Уч-ки'!$B$8:$H$39,2,FALSE)</f>
        <v xml:space="preserve"> </v>
      </c>
      <c r="C25" s="36" t="e">
        <f>#REF!+$C$5</f>
        <v>#REF!</v>
      </c>
      <c r="D25" s="132" t="e">
        <f>VLOOKUP(A25&amp;"[]",#REF!,MATCH($C$4&amp;""&amp;$D$6,#REF!,0),FALSE)</f>
        <v>#REF!</v>
      </c>
      <c r="E25" s="132" t="e">
        <f>VLOOKUP(A25&amp;"а[]",#REF!,MATCH($C$4&amp;""&amp;$D$6,#REF!,0),FALSE)</f>
        <v>#REF!</v>
      </c>
      <c r="F25" s="37"/>
      <c r="G25" s="38" t="e">
        <f t="shared" si="47"/>
        <v>#REF!</v>
      </c>
      <c r="H25" s="21" t="e">
        <f t="shared" ref="H25:H39" si="55">IF(G25=C25,0,IF((G25-C25)&gt;0,IF((ABS(G25-C25)*1440*10)&lt;1800,ABS(G25-C25)*1440*10,1800),ABS(G25-C25)*1440*60))</f>
        <v>#REF!</v>
      </c>
      <c r="I25" s="22"/>
      <c r="J25" s="132" t="e">
        <f>VLOOKUP(A25&amp;"[]",#REF!,MATCH(#REF!&amp;" "&amp;$J$6,#REF!,0),FALSE)</f>
        <v>#REF!</v>
      </c>
      <c r="K25" s="132" t="e">
        <f>VLOOKUP(A25&amp;"а[]",#REF!,MATCH(#REF!&amp;" "&amp;$J$6,#REF!,0),FALSE)</f>
        <v>#REF!</v>
      </c>
      <c r="L25" s="37"/>
      <c r="M25" s="38" t="e">
        <f t="shared" si="35"/>
        <v>#REF!</v>
      </c>
      <c r="N25" s="132" t="e">
        <f>VLOOKUP(#REF!&amp;"[]",#REF!,MATCH(#REF!&amp;" "&amp;#REF!,#REF!,0),FALSE)</f>
        <v>#REF!</v>
      </c>
      <c r="O25" s="132" t="e">
        <f>VLOOKUP(#REF!&amp;"а[]",#REF!,MATCH(#REF!&amp;" "&amp;#REF!,#REF!,0),FALSE)</f>
        <v>#REF!</v>
      </c>
      <c r="P25" s="24" t="e">
        <f>TIME(HOUR(N25),MINUTE(N25),SECOND(N25))-M25</f>
        <v>#REF!</v>
      </c>
      <c r="Q25" s="24" t="e">
        <f>TIME(HOUR(O25),MINUTE(O25),SECOND(O25))-M25</f>
        <v>#REF!</v>
      </c>
      <c r="R25" s="39" t="e">
        <f>MIN(ABS(#REF!-P25),ABS(#REF!-Q25))*1440*60</f>
        <v>#REF!</v>
      </c>
      <c r="S25" s="132" t="e">
        <f>VLOOKUP(#REF!&amp;"[]",#REF!,MATCH(#REF!&amp;" "&amp;#REF!,#REF!,0),FALSE)</f>
        <v>#REF!</v>
      </c>
      <c r="T25" s="132" t="e">
        <f>VLOOKUP(#REF!&amp;"а[]",#REF!,MATCH(#REF!&amp;" "&amp;#REF!,#REF!,0),FALSE)</f>
        <v>#REF!</v>
      </c>
      <c r="U25" s="24" t="e">
        <f>TIME(HOUR(S25),MINUTE(S25),SECOND(S25))-M25</f>
        <v>#REF!</v>
      </c>
      <c r="V25" s="24" t="e">
        <f>TIME(HOUR(T25),MINUTE(T25),SECOND(T25))-M25</f>
        <v>#REF!</v>
      </c>
      <c r="W25" s="39" t="e">
        <f>MIN(ABS(#REF!-U25),ABS(#REF!-V25))*1440*60</f>
        <v>#REF!</v>
      </c>
      <c r="X25" s="132" t="e">
        <f>VLOOKUP(#REF!&amp;"[]",#REF!,MATCH(#REF!&amp;" "&amp;#REF!,#REF!,0),FALSE)</f>
        <v>#REF!</v>
      </c>
      <c r="Y25" s="132" t="e">
        <f>VLOOKUP(#REF!&amp;"а[]",#REF!,MATCH(#REF!&amp;" "&amp;#REF!,#REF!,0),FALSE)</f>
        <v>#REF!</v>
      </c>
      <c r="Z25" s="24" t="e">
        <f>MIN(X25-S25,X25-T25)</f>
        <v>#REF!</v>
      </c>
      <c r="AA25" s="24" t="e">
        <f>MIN(Y25-S25,Y25-T25)</f>
        <v>#REF!</v>
      </c>
      <c r="AB25" s="39" t="e">
        <f>MIN(ABS(#REF!-Z25),ABS(#REF!-AA25))*1440*60</f>
        <v>#REF!</v>
      </c>
      <c r="AC25" s="23"/>
      <c r="AD25" s="36" t="e">
        <f>#REF!+#REF!</f>
        <v>#REF!</v>
      </c>
      <c r="AE25" s="132" t="e">
        <f>VLOOKUP(#REF!&amp;"[]",#REF!,MATCH(#REF!&amp;""&amp;#REF!,#REF!,0),FALSE)</f>
        <v>#REF!</v>
      </c>
      <c r="AF25" s="132" t="e">
        <f>VLOOKUP(#REF!&amp;"а[]",#REF!,MATCH(#REF!&amp;""&amp;#REF!,#REF!,0),FALSE)</f>
        <v>#REF!</v>
      </c>
      <c r="AG25" s="37"/>
      <c r="AH25" s="38" t="e">
        <f t="shared" si="43"/>
        <v>#REF!</v>
      </c>
      <c r="AI25" s="21" t="e">
        <f t="shared" ref="AI25:AI39" si="56">IF(AH25=AD25,0,IF((AH25-AD25)&gt;0,IF((ABS(AH25-AD25)*1440*10)&lt;1800,ABS(AH25-AD25)*1440*10,1800),ABS(AH25-AD25)*1440*60))</f>
        <v>#REF!</v>
      </c>
      <c r="AJ25" s="22"/>
      <c r="AK25" s="247"/>
      <c r="AL25" s="247"/>
      <c r="AM25" s="44"/>
      <c r="AN25" s="46"/>
      <c r="AO25" s="45">
        <f t="shared" si="45"/>
        <v>0</v>
      </c>
      <c r="AP25" s="22"/>
      <c r="AQ25" s="134" t="e">
        <f>#REF!+#REF!+#REF!+#REF!+#REF!+#REF!+#REF!+#REF!+#REF!+#REF!+#REF!+#REF!+#REF!+#REF!+#REF!+#REF!+#REF!+#REF!+#REF!+#REF!+#REF!+#REF!+I25+H25+#REF!+#REF!</f>
        <v>#REF!</v>
      </c>
    </row>
    <row r="26" spans="1:43" s="1" customFormat="1" hidden="1">
      <c r="A26" s="31">
        <f>Старт.вед.!B26</f>
        <v>0</v>
      </c>
      <c r="B26" s="20" t="str">
        <f>VLOOKUP(A26,'Уч-ки'!$B$8:$H$39,2,FALSE)</f>
        <v xml:space="preserve"> </v>
      </c>
      <c r="C26" s="36" t="e">
        <f>#REF!+$C$5</f>
        <v>#REF!</v>
      </c>
      <c r="D26" s="132" t="e">
        <f>VLOOKUP(A26&amp;"[]",#REF!,MATCH($C$4&amp;""&amp;$D$6,#REF!,0),FALSE)</f>
        <v>#REF!</v>
      </c>
      <c r="E26" s="132" t="e">
        <f>VLOOKUP(A26&amp;"а[]",#REF!,MATCH($C$4&amp;""&amp;$D$6,#REF!,0),FALSE)</f>
        <v>#REF!</v>
      </c>
      <c r="F26" s="37"/>
      <c r="G26" s="38" t="e">
        <f t="shared" si="47"/>
        <v>#REF!</v>
      </c>
      <c r="H26" s="21" t="e">
        <f t="shared" si="55"/>
        <v>#REF!</v>
      </c>
      <c r="I26" s="22"/>
      <c r="J26" s="132" t="e">
        <f>VLOOKUP(A26&amp;"[]",#REF!,MATCH(#REF!&amp;" "&amp;$J$6,#REF!,0),FALSE)</f>
        <v>#REF!</v>
      </c>
      <c r="K26" s="132" t="e">
        <f>VLOOKUP(A26&amp;"а[]",#REF!,MATCH(#REF!&amp;" "&amp;$J$6,#REF!,0),FALSE)</f>
        <v>#REF!</v>
      </c>
      <c r="L26" s="37"/>
      <c r="M26" s="38" t="e">
        <f t="shared" si="35"/>
        <v>#REF!</v>
      </c>
      <c r="N26" s="132" t="e">
        <f>VLOOKUP(#REF!&amp;"[]",#REF!,MATCH(#REF!&amp;" "&amp;#REF!,#REF!,0),FALSE)</f>
        <v>#REF!</v>
      </c>
      <c r="O26" s="132" t="e">
        <f>VLOOKUP(#REF!&amp;"а[]",#REF!,MATCH(#REF!&amp;" "&amp;#REF!,#REF!,0),FALSE)</f>
        <v>#REF!</v>
      </c>
      <c r="P26" s="24" t="e">
        <f>TIME(HOUR(N26),MINUTE(N26),SECOND(N26))-M26</f>
        <v>#REF!</v>
      </c>
      <c r="Q26" s="24" t="e">
        <f>TIME(HOUR(O26),MINUTE(O26),SECOND(O26))-M26</f>
        <v>#REF!</v>
      </c>
      <c r="R26" s="39" t="e">
        <f>MIN(ABS(#REF!-P26),ABS(#REF!-Q26))*1440*60</f>
        <v>#REF!</v>
      </c>
      <c r="S26" s="132" t="e">
        <f>VLOOKUP(#REF!&amp;"[]",#REF!,MATCH(#REF!&amp;" "&amp;#REF!,#REF!,0),FALSE)</f>
        <v>#REF!</v>
      </c>
      <c r="T26" s="132" t="e">
        <f>VLOOKUP(#REF!&amp;"а[]",#REF!,MATCH(#REF!&amp;" "&amp;#REF!,#REF!,0),FALSE)</f>
        <v>#REF!</v>
      </c>
      <c r="U26" s="24" t="e">
        <f>TIME(HOUR(S26),MINUTE(S26),SECOND(S26))-M26</f>
        <v>#REF!</v>
      </c>
      <c r="V26" s="24" t="e">
        <f>TIME(HOUR(T26),MINUTE(T26),SECOND(T26))-M26</f>
        <v>#REF!</v>
      </c>
      <c r="W26" s="39" t="e">
        <f>MIN(ABS(#REF!-U26),ABS(#REF!-V26))*1440*60</f>
        <v>#REF!</v>
      </c>
      <c r="X26" s="132" t="e">
        <f>VLOOKUP(#REF!&amp;"[]",#REF!,MATCH(#REF!&amp;" "&amp;#REF!,#REF!,0),FALSE)</f>
        <v>#REF!</v>
      </c>
      <c r="Y26" s="132" t="e">
        <f>VLOOKUP(#REF!&amp;"а[]",#REF!,MATCH(#REF!&amp;" "&amp;#REF!,#REF!,0),FALSE)</f>
        <v>#REF!</v>
      </c>
      <c r="Z26" s="24" t="e">
        <f>MIN(X26-S26,X26-T26)</f>
        <v>#REF!</v>
      </c>
      <c r="AA26" s="24" t="e">
        <f>MIN(Y26-S26,Y26-T26)</f>
        <v>#REF!</v>
      </c>
      <c r="AB26" s="39" t="e">
        <f>MIN(ABS(#REF!-Z26),ABS(#REF!-AA26))*1440*60</f>
        <v>#REF!</v>
      </c>
      <c r="AC26" s="23"/>
      <c r="AD26" s="36" t="e">
        <f>#REF!+#REF!</f>
        <v>#REF!</v>
      </c>
      <c r="AE26" s="132" t="e">
        <f>VLOOKUP(#REF!&amp;"[]",#REF!,MATCH(#REF!&amp;""&amp;#REF!,#REF!,0),FALSE)</f>
        <v>#REF!</v>
      </c>
      <c r="AF26" s="132" t="e">
        <f>VLOOKUP(#REF!&amp;"а[]",#REF!,MATCH(#REF!&amp;""&amp;#REF!,#REF!,0),FALSE)</f>
        <v>#REF!</v>
      </c>
      <c r="AG26" s="37"/>
      <c r="AH26" s="38" t="e">
        <f t="shared" si="43"/>
        <v>#REF!</v>
      </c>
      <c r="AI26" s="21" t="e">
        <f t="shared" si="56"/>
        <v>#REF!</v>
      </c>
      <c r="AJ26" s="22"/>
      <c r="AK26" s="247"/>
      <c r="AL26" s="247"/>
      <c r="AM26" s="44"/>
      <c r="AN26" s="46"/>
      <c r="AO26" s="45">
        <f t="shared" si="45"/>
        <v>0</v>
      </c>
      <c r="AP26" s="22"/>
      <c r="AQ26" s="134" t="e">
        <f>#REF!+#REF!+#REF!+#REF!+#REF!+#REF!+#REF!+#REF!+#REF!+#REF!+#REF!+#REF!+#REF!+#REF!+#REF!+#REF!+#REF!+#REF!+#REF!+#REF!+#REF!+#REF!+I26+H26+#REF!+#REF!</f>
        <v>#REF!</v>
      </c>
    </row>
    <row r="27" spans="1:43" s="1" customFormat="1" hidden="1">
      <c r="A27" s="31">
        <f>Старт.вед.!B27</f>
        <v>0</v>
      </c>
      <c r="B27" s="20" t="str">
        <f>VLOOKUP(A27,'Уч-ки'!$B$8:$H$39,2,FALSE)</f>
        <v xml:space="preserve"> </v>
      </c>
      <c r="C27" s="36" t="e">
        <f>#REF!+$C$5</f>
        <v>#REF!</v>
      </c>
      <c r="D27" s="132" t="e">
        <f>VLOOKUP(A27&amp;"[]",#REF!,MATCH($C$4&amp;""&amp;$D$6,#REF!,0),FALSE)</f>
        <v>#REF!</v>
      </c>
      <c r="E27" s="132" t="e">
        <f>VLOOKUP(A27&amp;"а[]",#REF!,MATCH($C$4&amp;""&amp;$D$6,#REF!,0),FALSE)</f>
        <v>#REF!</v>
      </c>
      <c r="F27" s="37"/>
      <c r="G27" s="38" t="e">
        <f t="shared" si="47"/>
        <v>#REF!</v>
      </c>
      <c r="H27" s="21" t="e">
        <f t="shared" si="55"/>
        <v>#REF!</v>
      </c>
      <c r="I27" s="22"/>
      <c r="J27" s="132" t="e">
        <f>VLOOKUP(A27&amp;"[]",#REF!,MATCH(#REF!&amp;" "&amp;$J$6,#REF!,0),FALSE)</f>
        <v>#REF!</v>
      </c>
      <c r="K27" s="132" t="e">
        <f>VLOOKUP(A27&amp;"а[]",#REF!,MATCH(#REF!&amp;" "&amp;$J$6,#REF!,0),FALSE)</f>
        <v>#REF!</v>
      </c>
      <c r="L27" s="37"/>
      <c r="M27" s="38" t="e">
        <f t="shared" si="35"/>
        <v>#REF!</v>
      </c>
      <c r="N27" s="132" t="e">
        <f>VLOOKUP(#REF!&amp;"[]",#REF!,MATCH(#REF!&amp;" "&amp;#REF!,#REF!,0),FALSE)</f>
        <v>#REF!</v>
      </c>
      <c r="O27" s="132" t="e">
        <f>VLOOKUP(#REF!&amp;"а[]",#REF!,MATCH(#REF!&amp;" "&amp;#REF!,#REF!,0),FALSE)</f>
        <v>#REF!</v>
      </c>
      <c r="P27" s="24" t="e">
        <f>TIME(HOUR(N27),MINUTE(N27),SECOND(N27))-M27</f>
        <v>#REF!</v>
      </c>
      <c r="Q27" s="24" t="e">
        <f>TIME(HOUR(O27),MINUTE(O27),SECOND(O27))-M27</f>
        <v>#REF!</v>
      </c>
      <c r="R27" s="39" t="e">
        <f>MIN(ABS(#REF!-P27),ABS(#REF!-Q27))*1440*60</f>
        <v>#REF!</v>
      </c>
      <c r="S27" s="132" t="e">
        <f>VLOOKUP(#REF!&amp;"[]",#REF!,MATCH(#REF!&amp;" "&amp;#REF!,#REF!,0),FALSE)</f>
        <v>#REF!</v>
      </c>
      <c r="T27" s="132" t="e">
        <f>VLOOKUP(#REF!&amp;"а[]",#REF!,MATCH(#REF!&amp;" "&amp;#REF!,#REF!,0),FALSE)</f>
        <v>#REF!</v>
      </c>
      <c r="U27" s="24" t="e">
        <f>TIME(HOUR(S27),MINUTE(S27),SECOND(S27))-M27</f>
        <v>#REF!</v>
      </c>
      <c r="V27" s="24" t="e">
        <f>TIME(HOUR(T27),MINUTE(T27),SECOND(T27))-M27</f>
        <v>#REF!</v>
      </c>
      <c r="W27" s="39" t="e">
        <f>MIN(ABS(#REF!-U27),ABS(#REF!-V27))*1440*60</f>
        <v>#REF!</v>
      </c>
      <c r="X27" s="132" t="e">
        <f>VLOOKUP(#REF!&amp;"[]",#REF!,MATCH(#REF!&amp;" "&amp;#REF!,#REF!,0),FALSE)</f>
        <v>#REF!</v>
      </c>
      <c r="Y27" s="132" t="e">
        <f>VLOOKUP(#REF!&amp;"а[]",#REF!,MATCH(#REF!&amp;" "&amp;#REF!,#REF!,0),FALSE)</f>
        <v>#REF!</v>
      </c>
      <c r="Z27" s="24" t="e">
        <f>MIN(X27-S27,X27-T27)</f>
        <v>#REF!</v>
      </c>
      <c r="AA27" s="24" t="e">
        <f>MIN(Y27-S27,Y27-T27)</f>
        <v>#REF!</v>
      </c>
      <c r="AB27" s="39" t="e">
        <f>MIN(ABS(#REF!-Z27),ABS(#REF!-AA27))*1440*60</f>
        <v>#REF!</v>
      </c>
      <c r="AC27" s="23"/>
      <c r="AD27" s="36" t="e">
        <f>#REF!+#REF!</f>
        <v>#REF!</v>
      </c>
      <c r="AE27" s="132" t="e">
        <f>VLOOKUP(#REF!&amp;"[]",#REF!,MATCH(#REF!&amp;""&amp;#REF!,#REF!,0),FALSE)</f>
        <v>#REF!</v>
      </c>
      <c r="AF27" s="132" t="e">
        <f>VLOOKUP(#REF!&amp;"а[]",#REF!,MATCH(#REF!&amp;""&amp;#REF!,#REF!,0),FALSE)</f>
        <v>#REF!</v>
      </c>
      <c r="AG27" s="37"/>
      <c r="AH27" s="38" t="e">
        <f t="shared" si="43"/>
        <v>#REF!</v>
      </c>
      <c r="AI27" s="21" t="e">
        <f t="shared" si="56"/>
        <v>#REF!</v>
      </c>
      <c r="AJ27" s="22"/>
      <c r="AK27" s="247"/>
      <c r="AL27" s="247"/>
      <c r="AM27" s="44"/>
      <c r="AN27" s="46"/>
      <c r="AO27" s="45">
        <f t="shared" si="45"/>
        <v>0</v>
      </c>
      <c r="AP27" s="22"/>
      <c r="AQ27" s="134" t="e">
        <f>#REF!+#REF!+#REF!+#REF!+#REF!+#REF!+#REF!+#REF!+#REF!+#REF!+#REF!+#REF!+#REF!+#REF!+#REF!+#REF!+#REF!+#REF!+#REF!+#REF!+#REF!+#REF!+I27+H27+#REF!+#REF!</f>
        <v>#REF!</v>
      </c>
    </row>
    <row r="28" spans="1:43" s="1" customFormat="1" hidden="1">
      <c r="A28" s="31">
        <f>Старт.вед.!B28</f>
        <v>0</v>
      </c>
      <c r="B28" s="20" t="str">
        <f>VLOOKUP(A28,'Уч-ки'!$B$8:$H$39,2,FALSE)</f>
        <v xml:space="preserve"> </v>
      </c>
      <c r="C28" s="36" t="e">
        <f>#REF!+$C$5</f>
        <v>#REF!</v>
      </c>
      <c r="D28" s="132" t="e">
        <f>VLOOKUP(A28&amp;"[]",#REF!,MATCH($C$4&amp;""&amp;$D$6,#REF!,0),FALSE)</f>
        <v>#REF!</v>
      </c>
      <c r="E28" s="132" t="e">
        <f>VLOOKUP(A28&amp;"а[]",#REF!,MATCH($C$4&amp;""&amp;$D$6,#REF!,0),FALSE)</f>
        <v>#REF!</v>
      </c>
      <c r="F28" s="37"/>
      <c r="G28" s="38" t="e">
        <f t="shared" si="47"/>
        <v>#REF!</v>
      </c>
      <c r="H28" s="21" t="e">
        <f t="shared" si="55"/>
        <v>#REF!</v>
      </c>
      <c r="I28" s="22"/>
      <c r="J28" s="132" t="e">
        <f>VLOOKUP(A28&amp;"[]",#REF!,MATCH(#REF!&amp;" "&amp;$J$6,#REF!,0),FALSE)</f>
        <v>#REF!</v>
      </c>
      <c r="K28" s="132" t="e">
        <f>VLOOKUP(A28&amp;"а[]",#REF!,MATCH(#REF!&amp;" "&amp;$J$6,#REF!,0),FALSE)</f>
        <v>#REF!</v>
      </c>
      <c r="L28" s="37"/>
      <c r="M28" s="38" t="e">
        <f t="shared" si="35"/>
        <v>#REF!</v>
      </c>
      <c r="N28" s="132" t="e">
        <f>VLOOKUP(#REF!&amp;"[]",#REF!,MATCH(#REF!&amp;" "&amp;#REF!,#REF!,0),FALSE)</f>
        <v>#REF!</v>
      </c>
      <c r="O28" s="132" t="e">
        <f>VLOOKUP(#REF!&amp;"а[]",#REF!,MATCH(#REF!&amp;" "&amp;#REF!,#REF!,0),FALSE)</f>
        <v>#REF!</v>
      </c>
      <c r="P28" s="24" t="e">
        <f>TIME(HOUR(N28),MINUTE(N28),SECOND(N28))-M28</f>
        <v>#REF!</v>
      </c>
      <c r="Q28" s="24" t="e">
        <f>TIME(HOUR(O28),MINUTE(O28),SECOND(O28))-M28</f>
        <v>#REF!</v>
      </c>
      <c r="R28" s="39" t="e">
        <f>MIN(ABS(#REF!-P28),ABS(#REF!-Q28))*1440*60</f>
        <v>#REF!</v>
      </c>
      <c r="S28" s="132" t="e">
        <f>VLOOKUP(#REF!&amp;"[]",#REF!,MATCH(#REF!&amp;" "&amp;#REF!,#REF!,0),FALSE)</f>
        <v>#REF!</v>
      </c>
      <c r="T28" s="132" t="e">
        <f>VLOOKUP(#REF!&amp;"а[]",#REF!,MATCH(#REF!&amp;" "&amp;#REF!,#REF!,0),FALSE)</f>
        <v>#REF!</v>
      </c>
      <c r="U28" s="24" t="e">
        <f>TIME(HOUR(S28),MINUTE(S28),SECOND(S28))-M28</f>
        <v>#REF!</v>
      </c>
      <c r="V28" s="24" t="e">
        <f>TIME(HOUR(T28),MINUTE(T28),SECOND(T28))-M28</f>
        <v>#REF!</v>
      </c>
      <c r="W28" s="39" t="e">
        <f>MIN(ABS(#REF!-U28),ABS(#REF!-V28))*1440*60</f>
        <v>#REF!</v>
      </c>
      <c r="X28" s="132" t="e">
        <f>VLOOKUP(#REF!&amp;"[]",#REF!,MATCH(#REF!&amp;" "&amp;#REF!,#REF!,0),FALSE)</f>
        <v>#REF!</v>
      </c>
      <c r="Y28" s="132" t="e">
        <f>VLOOKUP(#REF!&amp;"а[]",#REF!,MATCH(#REF!&amp;" "&amp;#REF!,#REF!,0),FALSE)</f>
        <v>#REF!</v>
      </c>
      <c r="Z28" s="24" t="e">
        <f>MIN(X28-S28,X28-T28)</f>
        <v>#REF!</v>
      </c>
      <c r="AA28" s="24" t="e">
        <f>MIN(Y28-S28,Y28-T28)</f>
        <v>#REF!</v>
      </c>
      <c r="AB28" s="39" t="e">
        <f>MIN(ABS(#REF!-Z28),ABS(#REF!-AA28))*1440*60</f>
        <v>#REF!</v>
      </c>
      <c r="AC28" s="23"/>
      <c r="AD28" s="36" t="e">
        <f>#REF!+#REF!</f>
        <v>#REF!</v>
      </c>
      <c r="AE28" s="132" t="e">
        <f>VLOOKUP(#REF!&amp;"[]",#REF!,MATCH(#REF!&amp;""&amp;#REF!,#REF!,0),FALSE)</f>
        <v>#REF!</v>
      </c>
      <c r="AF28" s="132" t="e">
        <f>VLOOKUP(#REF!&amp;"а[]",#REF!,MATCH(#REF!&amp;""&amp;#REF!,#REF!,0),FALSE)</f>
        <v>#REF!</v>
      </c>
      <c r="AG28" s="37"/>
      <c r="AH28" s="38" t="e">
        <f t="shared" si="43"/>
        <v>#REF!</v>
      </c>
      <c r="AI28" s="21" t="e">
        <f t="shared" si="56"/>
        <v>#REF!</v>
      </c>
      <c r="AJ28" s="22"/>
      <c r="AK28" s="247"/>
      <c r="AL28" s="247"/>
      <c r="AM28" s="44"/>
      <c r="AN28" s="46"/>
      <c r="AO28" s="45">
        <f t="shared" si="45"/>
        <v>0</v>
      </c>
      <c r="AP28" s="22"/>
      <c r="AQ28" s="134" t="e">
        <f>#REF!+#REF!+#REF!+#REF!+#REF!+#REF!+#REF!+#REF!+#REF!+#REF!+#REF!+#REF!+#REF!+#REF!+#REF!+#REF!+#REF!+#REF!+#REF!+#REF!+#REF!+#REF!+I28+H28+#REF!+#REF!</f>
        <v>#REF!</v>
      </c>
    </row>
    <row r="29" spans="1:43" s="1" customFormat="1" hidden="1">
      <c r="A29" s="31">
        <f>Старт.вед.!B29</f>
        <v>0</v>
      </c>
      <c r="B29" s="20" t="str">
        <f>VLOOKUP(A29,'Уч-ки'!$B$8:$H$39,2,FALSE)</f>
        <v xml:space="preserve"> </v>
      </c>
      <c r="C29" s="36" t="e">
        <f>#REF!+$C$5</f>
        <v>#REF!</v>
      </c>
      <c r="D29" s="132" t="e">
        <f>VLOOKUP(A29&amp;"[]",#REF!,MATCH($C$4&amp;""&amp;$D$6,#REF!,0),FALSE)</f>
        <v>#REF!</v>
      </c>
      <c r="E29" s="132" t="e">
        <f>VLOOKUP(A29&amp;"а[]",#REF!,MATCH($C$4&amp;""&amp;$D$6,#REF!,0),FALSE)</f>
        <v>#REF!</v>
      </c>
      <c r="F29" s="37"/>
      <c r="G29" s="38" t="e">
        <f t="shared" si="47"/>
        <v>#REF!</v>
      </c>
      <c r="H29" s="21" t="e">
        <f t="shared" si="55"/>
        <v>#REF!</v>
      </c>
      <c r="I29" s="22"/>
      <c r="J29" s="132" t="e">
        <f>VLOOKUP(A29&amp;"[]",#REF!,MATCH(#REF!&amp;" "&amp;$J$6,#REF!,0),FALSE)</f>
        <v>#REF!</v>
      </c>
      <c r="K29" s="132" t="e">
        <f>VLOOKUP(A29&amp;"а[]",#REF!,MATCH(#REF!&amp;" "&amp;$J$6,#REF!,0),FALSE)</f>
        <v>#REF!</v>
      </c>
      <c r="L29" s="37"/>
      <c r="M29" s="38" t="e">
        <f t="shared" si="35"/>
        <v>#REF!</v>
      </c>
      <c r="N29" s="132" t="e">
        <f>VLOOKUP(#REF!&amp;"[]",#REF!,MATCH(#REF!&amp;" "&amp;#REF!,#REF!,0),FALSE)</f>
        <v>#REF!</v>
      </c>
      <c r="O29" s="132" t="e">
        <f>VLOOKUP(#REF!&amp;"а[]",#REF!,MATCH(#REF!&amp;" "&amp;#REF!,#REF!,0),FALSE)</f>
        <v>#REF!</v>
      </c>
      <c r="P29" s="24" t="e">
        <f>TIME(HOUR(N29),MINUTE(N29),SECOND(N29))-M29</f>
        <v>#REF!</v>
      </c>
      <c r="Q29" s="24" t="e">
        <f>TIME(HOUR(O29),MINUTE(O29),SECOND(O29))-M29</f>
        <v>#REF!</v>
      </c>
      <c r="R29" s="39" t="e">
        <f>MIN(ABS(#REF!-P29),ABS(#REF!-Q29))*1440*60</f>
        <v>#REF!</v>
      </c>
      <c r="S29" s="132" t="e">
        <f>VLOOKUP(#REF!&amp;"[]",#REF!,MATCH(#REF!&amp;" "&amp;#REF!,#REF!,0),FALSE)</f>
        <v>#REF!</v>
      </c>
      <c r="T29" s="132" t="e">
        <f>VLOOKUP(#REF!&amp;"а[]",#REF!,MATCH(#REF!&amp;" "&amp;#REF!,#REF!,0),FALSE)</f>
        <v>#REF!</v>
      </c>
      <c r="U29" s="24" t="e">
        <f>TIME(HOUR(S29),MINUTE(S29),SECOND(S29))-M29</f>
        <v>#REF!</v>
      </c>
      <c r="V29" s="24" t="e">
        <f>TIME(HOUR(T29),MINUTE(T29),SECOND(T29))-M29</f>
        <v>#REF!</v>
      </c>
      <c r="W29" s="39" t="e">
        <f>MIN(ABS(#REF!-U29),ABS(#REF!-V29))*1440*60</f>
        <v>#REF!</v>
      </c>
      <c r="X29" s="132" t="e">
        <f>VLOOKUP(#REF!&amp;"[]",#REF!,MATCH(#REF!&amp;" "&amp;#REF!,#REF!,0),FALSE)</f>
        <v>#REF!</v>
      </c>
      <c r="Y29" s="132" t="e">
        <f>VLOOKUP(#REF!&amp;"а[]",#REF!,MATCH(#REF!&amp;" "&amp;#REF!,#REF!,0),FALSE)</f>
        <v>#REF!</v>
      </c>
      <c r="Z29" s="24" t="e">
        <f>MIN(X29-S29,X29-T29)</f>
        <v>#REF!</v>
      </c>
      <c r="AA29" s="24" t="e">
        <f>MIN(Y29-S29,Y29-T29)</f>
        <v>#REF!</v>
      </c>
      <c r="AB29" s="39" t="e">
        <f>MIN(ABS(#REF!-Z29),ABS(#REF!-AA29))*1440*60</f>
        <v>#REF!</v>
      </c>
      <c r="AC29" s="23"/>
      <c r="AD29" s="36" t="e">
        <f>#REF!+#REF!</f>
        <v>#REF!</v>
      </c>
      <c r="AE29" s="132" t="e">
        <f>VLOOKUP(#REF!&amp;"[]",#REF!,MATCH(#REF!&amp;""&amp;#REF!,#REF!,0),FALSE)</f>
        <v>#REF!</v>
      </c>
      <c r="AF29" s="132" t="e">
        <f>VLOOKUP(#REF!&amp;"а[]",#REF!,MATCH(#REF!&amp;""&amp;#REF!,#REF!,0),FALSE)</f>
        <v>#REF!</v>
      </c>
      <c r="AG29" s="37"/>
      <c r="AH29" s="38" t="e">
        <f t="shared" si="43"/>
        <v>#REF!</v>
      </c>
      <c r="AI29" s="21" t="e">
        <f t="shared" si="56"/>
        <v>#REF!</v>
      </c>
      <c r="AJ29" s="22"/>
      <c r="AK29" s="247"/>
      <c r="AL29" s="247"/>
      <c r="AM29" s="44"/>
      <c r="AN29" s="46"/>
      <c r="AO29" s="45">
        <f t="shared" si="45"/>
        <v>0</v>
      </c>
      <c r="AP29" s="22"/>
      <c r="AQ29" s="134" t="e">
        <f>#REF!+#REF!+#REF!+#REF!+#REF!+#REF!+#REF!+#REF!+#REF!+#REF!+#REF!+#REF!+#REF!+#REF!+#REF!+#REF!+#REF!+#REF!+#REF!+#REF!+#REF!+#REF!+I29+H29+#REF!+#REF!</f>
        <v>#REF!</v>
      </c>
    </row>
    <row r="30" spans="1:43" s="1" customFormat="1" hidden="1">
      <c r="A30" s="31">
        <f>Старт.вед.!B30</f>
        <v>0</v>
      </c>
      <c r="B30" s="20" t="str">
        <f>VLOOKUP(A30,'Уч-ки'!$B$8:$H$39,2,FALSE)</f>
        <v xml:space="preserve"> </v>
      </c>
      <c r="C30" s="36" t="e">
        <f>#REF!+$C$5</f>
        <v>#REF!</v>
      </c>
      <c r="D30" s="132" t="e">
        <f>VLOOKUP(A30&amp;"[]",#REF!,MATCH($C$4&amp;""&amp;$D$6,#REF!,0),FALSE)</f>
        <v>#REF!</v>
      </c>
      <c r="E30" s="132" t="e">
        <f>VLOOKUP(A30&amp;"а[]",#REF!,MATCH($C$4&amp;""&amp;$D$6,#REF!,0),FALSE)</f>
        <v>#REF!</v>
      </c>
      <c r="F30" s="37"/>
      <c r="G30" s="38" t="e">
        <f t="shared" si="47"/>
        <v>#REF!</v>
      </c>
      <c r="H30" s="21" t="e">
        <f t="shared" si="55"/>
        <v>#REF!</v>
      </c>
      <c r="I30" s="22"/>
      <c r="J30" s="132" t="e">
        <f>VLOOKUP(A30&amp;"[]",#REF!,MATCH(#REF!&amp;" "&amp;$J$6,#REF!,0),FALSE)</f>
        <v>#REF!</v>
      </c>
      <c r="K30" s="132" t="e">
        <f>VLOOKUP(A30&amp;"а[]",#REF!,MATCH(#REF!&amp;" "&amp;$J$6,#REF!,0),FALSE)</f>
        <v>#REF!</v>
      </c>
      <c r="L30" s="37"/>
      <c r="M30" s="38" t="e">
        <f t="shared" si="35"/>
        <v>#REF!</v>
      </c>
      <c r="N30" s="132" t="e">
        <f>VLOOKUP(#REF!&amp;"[]",#REF!,MATCH(#REF!&amp;" "&amp;#REF!,#REF!,0),FALSE)</f>
        <v>#REF!</v>
      </c>
      <c r="O30" s="132" t="e">
        <f>VLOOKUP(#REF!&amp;"а[]",#REF!,MATCH(#REF!&amp;" "&amp;#REF!,#REF!,0),FALSE)</f>
        <v>#REF!</v>
      </c>
      <c r="P30" s="24" t="e">
        <f>TIME(HOUR(N30),MINUTE(N30),SECOND(N30))-M30</f>
        <v>#REF!</v>
      </c>
      <c r="Q30" s="24" t="e">
        <f>TIME(HOUR(O30),MINUTE(O30),SECOND(O30))-M30</f>
        <v>#REF!</v>
      </c>
      <c r="R30" s="39" t="e">
        <f>MIN(ABS(#REF!-P30),ABS(#REF!-Q30))*1440*60</f>
        <v>#REF!</v>
      </c>
      <c r="S30" s="132" t="e">
        <f>VLOOKUP(#REF!&amp;"[]",#REF!,MATCH(#REF!&amp;" "&amp;#REF!,#REF!,0),FALSE)</f>
        <v>#REF!</v>
      </c>
      <c r="T30" s="132" t="e">
        <f>VLOOKUP(#REF!&amp;"а[]",#REF!,MATCH(#REF!&amp;" "&amp;#REF!,#REF!,0),FALSE)</f>
        <v>#REF!</v>
      </c>
      <c r="U30" s="24" t="e">
        <f>TIME(HOUR(S30),MINUTE(S30),SECOND(S30))-M30</f>
        <v>#REF!</v>
      </c>
      <c r="V30" s="24" t="e">
        <f>TIME(HOUR(T30),MINUTE(T30),SECOND(T30))-M30</f>
        <v>#REF!</v>
      </c>
      <c r="W30" s="39" t="e">
        <f>MIN(ABS(#REF!-U30),ABS(#REF!-V30))*1440*60</f>
        <v>#REF!</v>
      </c>
      <c r="X30" s="132" t="e">
        <f>VLOOKUP(#REF!&amp;"[]",#REF!,MATCH(#REF!&amp;" "&amp;#REF!,#REF!,0),FALSE)</f>
        <v>#REF!</v>
      </c>
      <c r="Y30" s="132" t="e">
        <f>VLOOKUP(#REF!&amp;"а[]",#REF!,MATCH(#REF!&amp;" "&amp;#REF!,#REF!,0),FALSE)</f>
        <v>#REF!</v>
      </c>
      <c r="Z30" s="24" t="e">
        <f>MIN(X30-S30,X30-T30)</f>
        <v>#REF!</v>
      </c>
      <c r="AA30" s="24" t="e">
        <f>MIN(Y30-S30,Y30-T30)</f>
        <v>#REF!</v>
      </c>
      <c r="AB30" s="39" t="e">
        <f>MIN(ABS(#REF!-Z30),ABS(#REF!-AA30))*1440*60</f>
        <v>#REF!</v>
      </c>
      <c r="AC30" s="23"/>
      <c r="AD30" s="36" t="e">
        <f>#REF!+#REF!</f>
        <v>#REF!</v>
      </c>
      <c r="AE30" s="132" t="e">
        <f>VLOOKUP(#REF!&amp;"[]",#REF!,MATCH(#REF!&amp;""&amp;#REF!,#REF!,0),FALSE)</f>
        <v>#REF!</v>
      </c>
      <c r="AF30" s="132" t="e">
        <f>VLOOKUP(#REF!&amp;"а[]",#REF!,MATCH(#REF!&amp;""&amp;#REF!,#REF!,0),FALSE)</f>
        <v>#REF!</v>
      </c>
      <c r="AG30" s="37"/>
      <c r="AH30" s="38" t="e">
        <f t="shared" si="43"/>
        <v>#REF!</v>
      </c>
      <c r="AI30" s="21" t="e">
        <f t="shared" si="56"/>
        <v>#REF!</v>
      </c>
      <c r="AJ30" s="22"/>
      <c r="AK30" s="247"/>
      <c r="AL30" s="247"/>
      <c r="AM30" s="44"/>
      <c r="AN30" s="46"/>
      <c r="AO30" s="45">
        <f t="shared" si="45"/>
        <v>0</v>
      </c>
      <c r="AP30" s="22"/>
      <c r="AQ30" s="134" t="e">
        <f>#REF!+#REF!+#REF!+#REF!+#REF!+#REF!+#REF!+#REF!+#REF!+#REF!+#REF!+#REF!+#REF!+#REF!+#REF!+#REF!+#REF!+#REF!+#REF!+#REF!+#REF!+#REF!+I30+H30+#REF!+#REF!</f>
        <v>#REF!</v>
      </c>
    </row>
    <row r="31" spans="1:43" s="1" customFormat="1" hidden="1">
      <c r="A31" s="31">
        <f>Старт.вед.!B31</f>
        <v>0</v>
      </c>
      <c r="B31" s="20" t="str">
        <f>VLOOKUP(A31,'Уч-ки'!$B$8:$H$39,2,FALSE)</f>
        <v xml:space="preserve"> </v>
      </c>
      <c r="C31" s="36" t="e">
        <f>#REF!+$C$5</f>
        <v>#REF!</v>
      </c>
      <c r="D31" s="132" t="e">
        <f>VLOOKUP(A31&amp;"[]",#REF!,MATCH($C$4&amp;""&amp;$D$6,#REF!,0),FALSE)</f>
        <v>#REF!</v>
      </c>
      <c r="E31" s="132" t="e">
        <f>VLOOKUP(A31&amp;"а[]",#REF!,MATCH($C$4&amp;""&amp;$D$6,#REF!,0),FALSE)</f>
        <v>#REF!</v>
      </c>
      <c r="F31" s="37"/>
      <c r="G31" s="38" t="e">
        <f t="shared" si="47"/>
        <v>#REF!</v>
      </c>
      <c r="H31" s="21" t="e">
        <f t="shared" si="55"/>
        <v>#REF!</v>
      </c>
      <c r="I31" s="22"/>
      <c r="J31" s="132" t="e">
        <f>VLOOKUP(A31&amp;"[]",#REF!,MATCH(#REF!&amp;" "&amp;$J$6,#REF!,0),FALSE)</f>
        <v>#REF!</v>
      </c>
      <c r="K31" s="132" t="e">
        <f>VLOOKUP(A31&amp;"а[]",#REF!,MATCH(#REF!&amp;" "&amp;$J$6,#REF!,0),FALSE)</f>
        <v>#REF!</v>
      </c>
      <c r="L31" s="37"/>
      <c r="M31" s="38" t="e">
        <f t="shared" si="35"/>
        <v>#REF!</v>
      </c>
      <c r="N31" s="132" t="e">
        <f>VLOOKUP(#REF!&amp;"[]",#REF!,MATCH(#REF!&amp;" "&amp;#REF!,#REF!,0),FALSE)</f>
        <v>#REF!</v>
      </c>
      <c r="O31" s="132" t="e">
        <f>VLOOKUP(#REF!&amp;"а[]",#REF!,MATCH(#REF!&amp;" "&amp;#REF!,#REF!,0),FALSE)</f>
        <v>#REF!</v>
      </c>
      <c r="P31" s="24" t="e">
        <f>TIME(HOUR(N31),MINUTE(N31),SECOND(N31))-M31</f>
        <v>#REF!</v>
      </c>
      <c r="Q31" s="24" t="e">
        <f>TIME(HOUR(O31),MINUTE(O31),SECOND(O31))-M31</f>
        <v>#REF!</v>
      </c>
      <c r="R31" s="39" t="e">
        <f>MIN(ABS(#REF!-P31),ABS(#REF!-Q31))*1440*60</f>
        <v>#REF!</v>
      </c>
      <c r="S31" s="132" t="e">
        <f>VLOOKUP(#REF!&amp;"[]",#REF!,MATCH(#REF!&amp;" "&amp;#REF!,#REF!,0),FALSE)</f>
        <v>#REF!</v>
      </c>
      <c r="T31" s="132" t="e">
        <f>VLOOKUP(#REF!&amp;"а[]",#REF!,MATCH(#REF!&amp;" "&amp;#REF!,#REF!,0),FALSE)</f>
        <v>#REF!</v>
      </c>
      <c r="U31" s="24" t="e">
        <f>TIME(HOUR(S31),MINUTE(S31),SECOND(S31))-M31</f>
        <v>#REF!</v>
      </c>
      <c r="V31" s="24" t="e">
        <f>TIME(HOUR(T31),MINUTE(T31),SECOND(T31))-M31</f>
        <v>#REF!</v>
      </c>
      <c r="W31" s="39" t="e">
        <f>MIN(ABS(#REF!-U31),ABS(#REF!-V31))*1440*60</f>
        <v>#REF!</v>
      </c>
      <c r="X31" s="132" t="e">
        <f>VLOOKUP(#REF!&amp;"[]",#REF!,MATCH(#REF!&amp;" "&amp;#REF!,#REF!,0),FALSE)</f>
        <v>#REF!</v>
      </c>
      <c r="Y31" s="132" t="e">
        <f>VLOOKUP(#REF!&amp;"а[]",#REF!,MATCH(#REF!&amp;" "&amp;#REF!,#REF!,0),FALSE)</f>
        <v>#REF!</v>
      </c>
      <c r="Z31" s="24" t="e">
        <f>MIN(X31-S31,X31-T31)</f>
        <v>#REF!</v>
      </c>
      <c r="AA31" s="24" t="e">
        <f>MIN(Y31-S31,Y31-T31)</f>
        <v>#REF!</v>
      </c>
      <c r="AB31" s="39" t="e">
        <f>MIN(ABS(#REF!-Z31),ABS(#REF!-AA31))*1440*60</f>
        <v>#REF!</v>
      </c>
      <c r="AC31" s="23"/>
      <c r="AD31" s="36" t="e">
        <f>#REF!+#REF!</f>
        <v>#REF!</v>
      </c>
      <c r="AE31" s="132" t="e">
        <f>VLOOKUP(#REF!&amp;"[]",#REF!,MATCH(#REF!&amp;""&amp;#REF!,#REF!,0),FALSE)</f>
        <v>#REF!</v>
      </c>
      <c r="AF31" s="132" t="e">
        <f>VLOOKUP(#REF!&amp;"а[]",#REF!,MATCH(#REF!&amp;""&amp;#REF!,#REF!,0),FALSE)</f>
        <v>#REF!</v>
      </c>
      <c r="AG31" s="37"/>
      <c r="AH31" s="38" t="e">
        <f t="shared" si="43"/>
        <v>#REF!</v>
      </c>
      <c r="AI31" s="21" t="e">
        <f t="shared" si="56"/>
        <v>#REF!</v>
      </c>
      <c r="AJ31" s="22"/>
      <c r="AK31" s="247"/>
      <c r="AL31" s="247"/>
      <c r="AM31" s="44"/>
      <c r="AN31" s="46"/>
      <c r="AO31" s="45">
        <f t="shared" si="45"/>
        <v>0</v>
      </c>
      <c r="AP31" s="22"/>
      <c r="AQ31" s="134" t="e">
        <f>#REF!+#REF!+#REF!+#REF!+#REF!+#REF!+#REF!+#REF!+#REF!+#REF!+#REF!+#REF!+#REF!+#REF!+#REF!+#REF!+#REF!+#REF!+#REF!+#REF!+#REF!+#REF!+I31+H31+#REF!+#REF!</f>
        <v>#REF!</v>
      </c>
    </row>
    <row r="32" spans="1:43" s="1" customFormat="1" hidden="1">
      <c r="A32" s="31">
        <f>Старт.вед.!B32</f>
        <v>0</v>
      </c>
      <c r="B32" s="20" t="str">
        <f>VLOOKUP(A32,'Уч-ки'!$B$8:$H$39,2,FALSE)</f>
        <v xml:space="preserve"> </v>
      </c>
      <c r="C32" s="36" t="e">
        <f>#REF!+$C$5</f>
        <v>#REF!</v>
      </c>
      <c r="D32" s="132" t="e">
        <f>VLOOKUP(A32&amp;"[]",#REF!,MATCH($C$4&amp;""&amp;$D$6,#REF!,0),FALSE)</f>
        <v>#REF!</v>
      </c>
      <c r="E32" s="132" t="e">
        <f>VLOOKUP(A32&amp;"а[]",#REF!,MATCH($C$4&amp;""&amp;$D$6,#REF!,0),FALSE)</f>
        <v>#REF!</v>
      </c>
      <c r="F32" s="37"/>
      <c r="G32" s="38" t="e">
        <f t="shared" si="47"/>
        <v>#REF!</v>
      </c>
      <c r="H32" s="21" t="e">
        <f t="shared" si="55"/>
        <v>#REF!</v>
      </c>
      <c r="I32" s="22"/>
      <c r="J32" s="132" t="e">
        <f>VLOOKUP(A32&amp;"[]",#REF!,MATCH(#REF!&amp;" "&amp;$J$6,#REF!,0),FALSE)</f>
        <v>#REF!</v>
      </c>
      <c r="K32" s="132" t="e">
        <f>VLOOKUP(A32&amp;"а[]",#REF!,MATCH(#REF!&amp;" "&amp;$J$6,#REF!,0),FALSE)</f>
        <v>#REF!</v>
      </c>
      <c r="L32" s="37"/>
      <c r="M32" s="38" t="e">
        <f t="shared" si="35"/>
        <v>#REF!</v>
      </c>
      <c r="N32" s="132" t="e">
        <f>VLOOKUP(#REF!&amp;"[]",#REF!,MATCH(#REF!&amp;" "&amp;#REF!,#REF!,0),FALSE)</f>
        <v>#REF!</v>
      </c>
      <c r="O32" s="132" t="e">
        <f>VLOOKUP(#REF!&amp;"а[]",#REF!,MATCH(#REF!&amp;" "&amp;#REF!,#REF!,0),FALSE)</f>
        <v>#REF!</v>
      </c>
      <c r="P32" s="24" t="e">
        <f>TIME(HOUR(N32),MINUTE(N32),SECOND(N32))-M32</f>
        <v>#REF!</v>
      </c>
      <c r="Q32" s="24" t="e">
        <f>TIME(HOUR(O32),MINUTE(O32),SECOND(O32))-M32</f>
        <v>#REF!</v>
      </c>
      <c r="R32" s="39" t="e">
        <f>MIN(ABS(#REF!-P32),ABS(#REF!-Q32))*1440*60</f>
        <v>#REF!</v>
      </c>
      <c r="S32" s="132" t="e">
        <f>VLOOKUP(#REF!&amp;"[]",#REF!,MATCH(#REF!&amp;" "&amp;#REF!,#REF!,0),FALSE)</f>
        <v>#REF!</v>
      </c>
      <c r="T32" s="132" t="e">
        <f>VLOOKUP(#REF!&amp;"а[]",#REF!,MATCH(#REF!&amp;" "&amp;#REF!,#REF!,0),FALSE)</f>
        <v>#REF!</v>
      </c>
      <c r="U32" s="24" t="e">
        <f>TIME(HOUR(S32),MINUTE(S32),SECOND(S32))-M32</f>
        <v>#REF!</v>
      </c>
      <c r="V32" s="24" t="e">
        <f>TIME(HOUR(T32),MINUTE(T32),SECOND(T32))-M32</f>
        <v>#REF!</v>
      </c>
      <c r="W32" s="39" t="e">
        <f>MIN(ABS(#REF!-U32),ABS(#REF!-V32))*1440*60</f>
        <v>#REF!</v>
      </c>
      <c r="X32" s="132" t="e">
        <f>VLOOKUP(#REF!&amp;"[]",#REF!,MATCH(#REF!&amp;" "&amp;#REF!,#REF!,0),FALSE)</f>
        <v>#REF!</v>
      </c>
      <c r="Y32" s="132" t="e">
        <f>VLOOKUP(#REF!&amp;"а[]",#REF!,MATCH(#REF!&amp;" "&amp;#REF!,#REF!,0),FALSE)</f>
        <v>#REF!</v>
      </c>
      <c r="Z32" s="24" t="e">
        <f>MIN(X32-S32,X32-T32)</f>
        <v>#REF!</v>
      </c>
      <c r="AA32" s="24" t="e">
        <f>MIN(Y32-S32,Y32-T32)</f>
        <v>#REF!</v>
      </c>
      <c r="AB32" s="39" t="e">
        <f>MIN(ABS(#REF!-Z32),ABS(#REF!-AA32))*1440*60</f>
        <v>#REF!</v>
      </c>
      <c r="AC32" s="23"/>
      <c r="AD32" s="36" t="e">
        <f>#REF!+#REF!</f>
        <v>#REF!</v>
      </c>
      <c r="AE32" s="132" t="e">
        <f>VLOOKUP(#REF!&amp;"[]",#REF!,MATCH(#REF!&amp;""&amp;#REF!,#REF!,0),FALSE)</f>
        <v>#REF!</v>
      </c>
      <c r="AF32" s="132" t="e">
        <f>VLOOKUP(#REF!&amp;"а[]",#REF!,MATCH(#REF!&amp;""&amp;#REF!,#REF!,0),FALSE)</f>
        <v>#REF!</v>
      </c>
      <c r="AG32" s="37"/>
      <c r="AH32" s="38" t="e">
        <f t="shared" si="43"/>
        <v>#REF!</v>
      </c>
      <c r="AI32" s="21" t="e">
        <f t="shared" si="56"/>
        <v>#REF!</v>
      </c>
      <c r="AJ32" s="22"/>
      <c r="AK32" s="247"/>
      <c r="AL32" s="247"/>
      <c r="AM32" s="44"/>
      <c r="AN32" s="46"/>
      <c r="AO32" s="45">
        <f t="shared" si="45"/>
        <v>0</v>
      </c>
      <c r="AP32" s="22"/>
      <c r="AQ32" s="134" t="e">
        <f>#REF!+#REF!+#REF!+#REF!+#REF!+#REF!+#REF!+#REF!+#REF!+#REF!+#REF!+#REF!+#REF!+#REF!+#REF!+#REF!+#REF!+#REF!+#REF!+#REF!+#REF!+#REF!+I32+H32+#REF!+#REF!</f>
        <v>#REF!</v>
      </c>
    </row>
    <row r="33" spans="1:43" s="1" customFormat="1" hidden="1">
      <c r="A33" s="31">
        <f>Старт.вед.!B33</f>
        <v>0</v>
      </c>
      <c r="B33" s="20" t="str">
        <f>VLOOKUP(A33,'Уч-ки'!$B$8:$H$39,2,FALSE)</f>
        <v xml:space="preserve"> </v>
      </c>
      <c r="C33" s="36" t="e">
        <f>#REF!+$C$5</f>
        <v>#REF!</v>
      </c>
      <c r="D33" s="132" t="e">
        <f>VLOOKUP(A33&amp;"[]",#REF!,MATCH($C$4&amp;""&amp;$D$6,#REF!,0),FALSE)</f>
        <v>#REF!</v>
      </c>
      <c r="E33" s="132" t="e">
        <f>VLOOKUP(A33&amp;"а[]",#REF!,MATCH($C$4&amp;""&amp;$D$6,#REF!,0),FALSE)</f>
        <v>#REF!</v>
      </c>
      <c r="F33" s="37"/>
      <c r="G33" s="38" t="e">
        <f t="shared" si="47"/>
        <v>#REF!</v>
      </c>
      <c r="H33" s="21" t="e">
        <f t="shared" si="55"/>
        <v>#REF!</v>
      </c>
      <c r="I33" s="22"/>
      <c r="J33" s="132" t="e">
        <f>VLOOKUP(A33&amp;"[]",#REF!,MATCH(#REF!&amp;" "&amp;$J$6,#REF!,0),FALSE)</f>
        <v>#REF!</v>
      </c>
      <c r="K33" s="132" t="e">
        <f>VLOOKUP(A33&amp;"а[]",#REF!,MATCH(#REF!&amp;" "&amp;$J$6,#REF!,0),FALSE)</f>
        <v>#REF!</v>
      </c>
      <c r="L33" s="37"/>
      <c r="M33" s="38" t="e">
        <f t="shared" si="35"/>
        <v>#REF!</v>
      </c>
      <c r="N33" s="132" t="e">
        <f>VLOOKUP(#REF!&amp;"[]",#REF!,MATCH(#REF!&amp;" "&amp;#REF!,#REF!,0),FALSE)</f>
        <v>#REF!</v>
      </c>
      <c r="O33" s="132" t="e">
        <f>VLOOKUP(#REF!&amp;"а[]",#REF!,MATCH(#REF!&amp;" "&amp;#REF!,#REF!,0),FALSE)</f>
        <v>#REF!</v>
      </c>
      <c r="P33" s="24" t="e">
        <f>TIME(HOUR(N33),MINUTE(N33),SECOND(N33))-M33</f>
        <v>#REF!</v>
      </c>
      <c r="Q33" s="24" t="e">
        <f>TIME(HOUR(O33),MINUTE(O33),SECOND(O33))-M33</f>
        <v>#REF!</v>
      </c>
      <c r="R33" s="39" t="e">
        <f>MIN(ABS(#REF!-P33),ABS(#REF!-Q33))*1440*60</f>
        <v>#REF!</v>
      </c>
      <c r="S33" s="132" t="e">
        <f>VLOOKUP(#REF!&amp;"[]",#REF!,MATCH(#REF!&amp;" "&amp;#REF!,#REF!,0),FALSE)</f>
        <v>#REF!</v>
      </c>
      <c r="T33" s="132" t="e">
        <f>VLOOKUP(#REF!&amp;"а[]",#REF!,MATCH(#REF!&amp;" "&amp;#REF!,#REF!,0),FALSE)</f>
        <v>#REF!</v>
      </c>
      <c r="U33" s="24" t="e">
        <f>TIME(HOUR(S33),MINUTE(S33),SECOND(S33))-M33</f>
        <v>#REF!</v>
      </c>
      <c r="V33" s="24" t="e">
        <f>TIME(HOUR(T33),MINUTE(T33),SECOND(T33))-M33</f>
        <v>#REF!</v>
      </c>
      <c r="W33" s="39" t="e">
        <f>MIN(ABS(#REF!-U33),ABS(#REF!-V33))*1440*60</f>
        <v>#REF!</v>
      </c>
      <c r="X33" s="132" t="e">
        <f>VLOOKUP(#REF!&amp;"[]",#REF!,MATCH(#REF!&amp;" "&amp;#REF!,#REF!,0),FALSE)</f>
        <v>#REF!</v>
      </c>
      <c r="Y33" s="132" t="e">
        <f>VLOOKUP(#REF!&amp;"а[]",#REF!,MATCH(#REF!&amp;" "&amp;#REF!,#REF!,0),FALSE)</f>
        <v>#REF!</v>
      </c>
      <c r="Z33" s="24" t="e">
        <f>MIN(X33-S33,X33-T33)</f>
        <v>#REF!</v>
      </c>
      <c r="AA33" s="24" t="e">
        <f>MIN(Y33-S33,Y33-T33)</f>
        <v>#REF!</v>
      </c>
      <c r="AB33" s="39" t="e">
        <f>MIN(ABS(#REF!-Z33),ABS(#REF!-AA33))*1440*60</f>
        <v>#REF!</v>
      </c>
      <c r="AC33" s="23"/>
      <c r="AD33" s="36" t="e">
        <f>#REF!+#REF!</f>
        <v>#REF!</v>
      </c>
      <c r="AE33" s="132" t="e">
        <f>VLOOKUP(#REF!&amp;"[]",#REF!,MATCH(#REF!&amp;""&amp;#REF!,#REF!,0),FALSE)</f>
        <v>#REF!</v>
      </c>
      <c r="AF33" s="132" t="e">
        <f>VLOOKUP(#REF!&amp;"а[]",#REF!,MATCH(#REF!&amp;""&amp;#REF!,#REF!,0),FALSE)</f>
        <v>#REF!</v>
      </c>
      <c r="AG33" s="37"/>
      <c r="AH33" s="38" t="e">
        <f t="shared" si="43"/>
        <v>#REF!</v>
      </c>
      <c r="AI33" s="21" t="e">
        <f t="shared" si="56"/>
        <v>#REF!</v>
      </c>
      <c r="AJ33" s="22"/>
      <c r="AK33" s="247"/>
      <c r="AL33" s="247"/>
      <c r="AM33" s="44"/>
      <c r="AN33" s="46"/>
      <c r="AO33" s="45">
        <f t="shared" si="45"/>
        <v>0</v>
      </c>
      <c r="AP33" s="22"/>
      <c r="AQ33" s="134" t="e">
        <f>#REF!+#REF!+#REF!+#REF!+#REF!+#REF!+#REF!+#REF!+#REF!+#REF!+#REF!+#REF!+#REF!+#REF!+#REF!+#REF!+#REF!+#REF!+#REF!+#REF!+#REF!+#REF!+I33+H33+#REF!+#REF!</f>
        <v>#REF!</v>
      </c>
    </row>
    <row r="34" spans="1:43" s="1" customFormat="1" hidden="1">
      <c r="A34" s="31">
        <f>Старт.вед.!B34</f>
        <v>0</v>
      </c>
      <c r="B34" s="20" t="str">
        <f>VLOOKUP(A34,'Уч-ки'!$B$8:$H$39,2,FALSE)</f>
        <v xml:space="preserve"> </v>
      </c>
      <c r="C34" s="36" t="e">
        <f>#REF!+$C$5</f>
        <v>#REF!</v>
      </c>
      <c r="D34" s="132" t="e">
        <f>VLOOKUP(A34&amp;"[]",#REF!,MATCH($C$4&amp;""&amp;$D$6,#REF!,0),FALSE)</f>
        <v>#REF!</v>
      </c>
      <c r="E34" s="132" t="e">
        <f>VLOOKUP(A34&amp;"а[]",#REF!,MATCH($C$4&amp;""&amp;$D$6,#REF!,0),FALSE)</f>
        <v>#REF!</v>
      </c>
      <c r="F34" s="37"/>
      <c r="G34" s="38" t="e">
        <f t="shared" si="47"/>
        <v>#REF!</v>
      </c>
      <c r="H34" s="21" t="e">
        <f t="shared" si="55"/>
        <v>#REF!</v>
      </c>
      <c r="I34" s="22"/>
      <c r="J34" s="132" t="e">
        <f>VLOOKUP(A34&amp;"[]",#REF!,MATCH(#REF!&amp;" "&amp;$J$6,#REF!,0),FALSE)</f>
        <v>#REF!</v>
      </c>
      <c r="K34" s="132" t="e">
        <f>VLOOKUP(A34&amp;"а[]",#REF!,MATCH(#REF!&amp;" "&amp;$J$6,#REF!,0),FALSE)</f>
        <v>#REF!</v>
      </c>
      <c r="L34" s="37"/>
      <c r="M34" s="38" t="e">
        <f t="shared" si="35"/>
        <v>#REF!</v>
      </c>
      <c r="N34" s="132" t="e">
        <f>VLOOKUP(#REF!&amp;"[]",#REF!,MATCH(#REF!&amp;" "&amp;#REF!,#REF!,0),FALSE)</f>
        <v>#REF!</v>
      </c>
      <c r="O34" s="132" t="e">
        <f>VLOOKUP(#REF!&amp;"а[]",#REF!,MATCH(#REF!&amp;" "&amp;#REF!,#REF!,0),FALSE)</f>
        <v>#REF!</v>
      </c>
      <c r="P34" s="24" t="e">
        <f>TIME(HOUR(N34),MINUTE(N34),SECOND(N34))-M34</f>
        <v>#REF!</v>
      </c>
      <c r="Q34" s="24" t="e">
        <f>TIME(HOUR(O34),MINUTE(O34),SECOND(O34))-M34</f>
        <v>#REF!</v>
      </c>
      <c r="R34" s="39" t="e">
        <f>MIN(ABS(#REF!-P34),ABS(#REF!-Q34))*1440*60</f>
        <v>#REF!</v>
      </c>
      <c r="S34" s="132" t="e">
        <f>VLOOKUP(#REF!&amp;"[]",#REF!,MATCH(#REF!&amp;" "&amp;#REF!,#REF!,0),FALSE)</f>
        <v>#REF!</v>
      </c>
      <c r="T34" s="132" t="e">
        <f>VLOOKUP(#REF!&amp;"а[]",#REF!,MATCH(#REF!&amp;" "&amp;#REF!,#REF!,0),FALSE)</f>
        <v>#REF!</v>
      </c>
      <c r="U34" s="24" t="e">
        <f>TIME(HOUR(S34),MINUTE(S34),SECOND(S34))-M34</f>
        <v>#REF!</v>
      </c>
      <c r="V34" s="24" t="e">
        <f>TIME(HOUR(T34),MINUTE(T34),SECOND(T34))-M34</f>
        <v>#REF!</v>
      </c>
      <c r="W34" s="39" t="e">
        <f>MIN(ABS(#REF!-U34),ABS(#REF!-V34))*1440*60</f>
        <v>#REF!</v>
      </c>
      <c r="X34" s="132" t="e">
        <f>VLOOKUP(#REF!&amp;"[]",#REF!,MATCH(#REF!&amp;" "&amp;#REF!,#REF!,0),FALSE)</f>
        <v>#REF!</v>
      </c>
      <c r="Y34" s="132" t="e">
        <f>VLOOKUP(#REF!&amp;"а[]",#REF!,MATCH(#REF!&amp;" "&amp;#REF!,#REF!,0),FALSE)</f>
        <v>#REF!</v>
      </c>
      <c r="Z34" s="24" t="e">
        <f>MIN(X34-S34,X34-T34)</f>
        <v>#REF!</v>
      </c>
      <c r="AA34" s="24" t="e">
        <f>MIN(Y34-S34,Y34-T34)</f>
        <v>#REF!</v>
      </c>
      <c r="AB34" s="39" t="e">
        <f>MIN(ABS(#REF!-Z34),ABS(#REF!-AA34))*1440*60</f>
        <v>#REF!</v>
      </c>
      <c r="AC34" s="23"/>
      <c r="AD34" s="36" t="e">
        <f>#REF!+#REF!</f>
        <v>#REF!</v>
      </c>
      <c r="AE34" s="132" t="e">
        <f>VLOOKUP(#REF!&amp;"[]",#REF!,MATCH(#REF!&amp;""&amp;#REF!,#REF!,0),FALSE)</f>
        <v>#REF!</v>
      </c>
      <c r="AF34" s="132" t="e">
        <f>VLOOKUP(#REF!&amp;"а[]",#REF!,MATCH(#REF!&amp;""&amp;#REF!,#REF!,0),FALSE)</f>
        <v>#REF!</v>
      </c>
      <c r="AG34" s="37"/>
      <c r="AH34" s="38" t="e">
        <f t="shared" si="43"/>
        <v>#REF!</v>
      </c>
      <c r="AI34" s="21" t="e">
        <f t="shared" si="56"/>
        <v>#REF!</v>
      </c>
      <c r="AJ34" s="22"/>
      <c r="AK34" s="247"/>
      <c r="AL34" s="247"/>
      <c r="AM34" s="44"/>
      <c r="AN34" s="46"/>
      <c r="AO34" s="45">
        <f t="shared" si="45"/>
        <v>0</v>
      </c>
      <c r="AP34" s="22"/>
      <c r="AQ34" s="134" t="e">
        <f>#REF!+#REF!+#REF!+#REF!+#REF!+#REF!+#REF!+#REF!+#REF!+#REF!+#REF!+#REF!+#REF!+#REF!+#REF!+#REF!+#REF!+#REF!+#REF!+#REF!+#REF!+#REF!+I34+H34+#REF!+#REF!</f>
        <v>#REF!</v>
      </c>
    </row>
    <row r="35" spans="1:43" s="1" customFormat="1" hidden="1">
      <c r="A35" s="31">
        <f>Старт.вед.!B35</f>
        <v>0</v>
      </c>
      <c r="B35" s="20" t="str">
        <f>VLOOKUP(A35,'Уч-ки'!$B$8:$H$39,2,FALSE)</f>
        <v xml:space="preserve"> </v>
      </c>
      <c r="C35" s="36" t="e">
        <f>#REF!+$C$5</f>
        <v>#REF!</v>
      </c>
      <c r="D35" s="132" t="e">
        <f>VLOOKUP(A35&amp;"[]",#REF!,MATCH($C$4&amp;""&amp;$D$6,#REF!,0),FALSE)</f>
        <v>#REF!</v>
      </c>
      <c r="E35" s="132" t="e">
        <f>VLOOKUP(A35&amp;"а[]",#REF!,MATCH($C$4&amp;""&amp;$D$6,#REF!,0),FALSE)</f>
        <v>#REF!</v>
      </c>
      <c r="F35" s="37"/>
      <c r="G35" s="38" t="e">
        <f t="shared" si="47"/>
        <v>#REF!</v>
      </c>
      <c r="H35" s="21" t="e">
        <f t="shared" si="55"/>
        <v>#REF!</v>
      </c>
      <c r="I35" s="22"/>
      <c r="J35" s="132" t="e">
        <f>VLOOKUP(A35&amp;"[]",#REF!,MATCH(#REF!&amp;" "&amp;$J$6,#REF!,0),FALSE)</f>
        <v>#REF!</v>
      </c>
      <c r="K35" s="132" t="e">
        <f>VLOOKUP(A35&amp;"а[]",#REF!,MATCH(#REF!&amp;" "&amp;$J$6,#REF!,0),FALSE)</f>
        <v>#REF!</v>
      </c>
      <c r="L35" s="37"/>
      <c r="M35" s="38" t="e">
        <f t="shared" si="35"/>
        <v>#REF!</v>
      </c>
      <c r="N35" s="132" t="e">
        <f>VLOOKUP(#REF!&amp;"[]",#REF!,MATCH(#REF!&amp;" "&amp;#REF!,#REF!,0),FALSE)</f>
        <v>#REF!</v>
      </c>
      <c r="O35" s="132" t="e">
        <f>VLOOKUP(#REF!&amp;"а[]",#REF!,MATCH(#REF!&amp;" "&amp;#REF!,#REF!,0),FALSE)</f>
        <v>#REF!</v>
      </c>
      <c r="P35" s="24" t="e">
        <f>TIME(HOUR(N35),MINUTE(N35),SECOND(N35))-M35</f>
        <v>#REF!</v>
      </c>
      <c r="Q35" s="24" t="e">
        <f>TIME(HOUR(O35),MINUTE(O35),SECOND(O35))-M35</f>
        <v>#REF!</v>
      </c>
      <c r="R35" s="39" t="e">
        <f>MIN(ABS(#REF!-P35),ABS(#REF!-Q35))*1440*60</f>
        <v>#REF!</v>
      </c>
      <c r="S35" s="132" t="e">
        <f>VLOOKUP(#REF!&amp;"[]",#REF!,MATCH(#REF!&amp;" "&amp;#REF!,#REF!,0),FALSE)</f>
        <v>#REF!</v>
      </c>
      <c r="T35" s="132" t="e">
        <f>VLOOKUP(#REF!&amp;"а[]",#REF!,MATCH(#REF!&amp;" "&amp;#REF!,#REF!,0),FALSE)</f>
        <v>#REF!</v>
      </c>
      <c r="U35" s="24" t="e">
        <f>TIME(HOUR(S35),MINUTE(S35),SECOND(S35))-M35</f>
        <v>#REF!</v>
      </c>
      <c r="V35" s="24" t="e">
        <f>TIME(HOUR(T35),MINUTE(T35),SECOND(T35))-M35</f>
        <v>#REF!</v>
      </c>
      <c r="W35" s="39" t="e">
        <f>MIN(ABS(#REF!-U35),ABS(#REF!-V35))*1440*60</f>
        <v>#REF!</v>
      </c>
      <c r="X35" s="132" t="e">
        <f>VLOOKUP(#REF!&amp;"[]",#REF!,MATCH(#REF!&amp;" "&amp;#REF!,#REF!,0),FALSE)</f>
        <v>#REF!</v>
      </c>
      <c r="Y35" s="132" t="e">
        <f>VLOOKUP(#REF!&amp;"а[]",#REF!,MATCH(#REF!&amp;" "&amp;#REF!,#REF!,0),FALSE)</f>
        <v>#REF!</v>
      </c>
      <c r="Z35" s="24" t="e">
        <f>MIN(X35-S35,X35-T35)</f>
        <v>#REF!</v>
      </c>
      <c r="AA35" s="24" t="e">
        <f>MIN(Y35-S35,Y35-T35)</f>
        <v>#REF!</v>
      </c>
      <c r="AB35" s="39" t="e">
        <f>MIN(ABS(#REF!-Z35),ABS(#REF!-AA35))*1440*60</f>
        <v>#REF!</v>
      </c>
      <c r="AC35" s="23"/>
      <c r="AD35" s="36" t="e">
        <f>#REF!+#REF!</f>
        <v>#REF!</v>
      </c>
      <c r="AE35" s="132" t="e">
        <f>VLOOKUP(#REF!&amp;"[]",#REF!,MATCH(#REF!&amp;""&amp;#REF!,#REF!,0),FALSE)</f>
        <v>#REF!</v>
      </c>
      <c r="AF35" s="132" t="e">
        <f>VLOOKUP(#REF!&amp;"а[]",#REF!,MATCH(#REF!&amp;""&amp;#REF!,#REF!,0),FALSE)</f>
        <v>#REF!</v>
      </c>
      <c r="AG35" s="37"/>
      <c r="AH35" s="38" t="e">
        <f t="shared" si="43"/>
        <v>#REF!</v>
      </c>
      <c r="AI35" s="21" t="e">
        <f t="shared" si="56"/>
        <v>#REF!</v>
      </c>
      <c r="AJ35" s="22"/>
      <c r="AK35" s="247"/>
      <c r="AL35" s="247"/>
      <c r="AM35" s="44"/>
      <c r="AN35" s="46"/>
      <c r="AO35" s="45">
        <f t="shared" si="45"/>
        <v>0</v>
      </c>
      <c r="AP35" s="22"/>
      <c r="AQ35" s="134" t="e">
        <f>#REF!+#REF!+#REF!+#REF!+#REF!+#REF!+#REF!+#REF!+#REF!+#REF!+#REF!+#REF!+#REF!+#REF!+#REF!+#REF!+#REF!+#REF!+#REF!+#REF!+#REF!+#REF!+I35+H35+#REF!+#REF!</f>
        <v>#REF!</v>
      </c>
    </row>
    <row r="36" spans="1:43" s="1" customFormat="1" hidden="1">
      <c r="A36" s="31">
        <f>Старт.вед.!B36</f>
        <v>0</v>
      </c>
      <c r="B36" s="20" t="str">
        <f>VLOOKUP(A36,'Уч-ки'!$B$8:$H$39,2,FALSE)</f>
        <v xml:space="preserve"> </v>
      </c>
      <c r="C36" s="36" t="e">
        <f>#REF!+$C$5</f>
        <v>#REF!</v>
      </c>
      <c r="D36" s="132" t="e">
        <f>VLOOKUP(A36&amp;"[]",#REF!,MATCH($C$4&amp;""&amp;$D$6,#REF!,0),FALSE)</f>
        <v>#REF!</v>
      </c>
      <c r="E36" s="132" t="e">
        <f>VLOOKUP(A36&amp;"а[]",#REF!,MATCH($C$4&amp;""&amp;$D$6,#REF!,0),FALSE)</f>
        <v>#REF!</v>
      </c>
      <c r="F36" s="37"/>
      <c r="G36" s="38" t="e">
        <f t="shared" si="47"/>
        <v>#REF!</v>
      </c>
      <c r="H36" s="21" t="e">
        <f t="shared" si="55"/>
        <v>#REF!</v>
      </c>
      <c r="I36" s="22"/>
      <c r="J36" s="132" t="e">
        <f>VLOOKUP(A36&amp;"[]",#REF!,MATCH(#REF!&amp;" "&amp;$J$6,#REF!,0),FALSE)</f>
        <v>#REF!</v>
      </c>
      <c r="K36" s="132" t="e">
        <f>VLOOKUP(A36&amp;"а[]",#REF!,MATCH(#REF!&amp;" "&amp;$J$6,#REF!,0),FALSE)</f>
        <v>#REF!</v>
      </c>
      <c r="L36" s="37"/>
      <c r="M36" s="38" t="e">
        <f t="shared" si="35"/>
        <v>#REF!</v>
      </c>
      <c r="N36" s="132" t="e">
        <f>VLOOKUP(#REF!&amp;"[]",#REF!,MATCH(#REF!&amp;" "&amp;#REF!,#REF!,0),FALSE)</f>
        <v>#REF!</v>
      </c>
      <c r="O36" s="132" t="e">
        <f>VLOOKUP(#REF!&amp;"а[]",#REF!,MATCH(#REF!&amp;" "&amp;#REF!,#REF!,0),FALSE)</f>
        <v>#REF!</v>
      </c>
      <c r="P36" s="24" t="e">
        <f>TIME(HOUR(N36),MINUTE(N36),SECOND(N36))-M36</f>
        <v>#REF!</v>
      </c>
      <c r="Q36" s="24" t="e">
        <f>TIME(HOUR(O36),MINUTE(O36),SECOND(O36))-M36</f>
        <v>#REF!</v>
      </c>
      <c r="R36" s="39" t="e">
        <f>MIN(ABS(#REF!-P36),ABS(#REF!-Q36))*1440*60</f>
        <v>#REF!</v>
      </c>
      <c r="S36" s="132" t="e">
        <f>VLOOKUP(#REF!&amp;"[]",#REF!,MATCH(#REF!&amp;" "&amp;#REF!,#REF!,0),FALSE)</f>
        <v>#REF!</v>
      </c>
      <c r="T36" s="132" t="e">
        <f>VLOOKUP(#REF!&amp;"а[]",#REF!,MATCH(#REF!&amp;" "&amp;#REF!,#REF!,0),FALSE)</f>
        <v>#REF!</v>
      </c>
      <c r="U36" s="24" t="e">
        <f>TIME(HOUR(S36),MINUTE(S36),SECOND(S36))-M36</f>
        <v>#REF!</v>
      </c>
      <c r="V36" s="24" t="e">
        <f>TIME(HOUR(T36),MINUTE(T36),SECOND(T36))-M36</f>
        <v>#REF!</v>
      </c>
      <c r="W36" s="39" t="e">
        <f>MIN(ABS(#REF!-U36),ABS(#REF!-V36))*1440*60</f>
        <v>#REF!</v>
      </c>
      <c r="X36" s="132" t="e">
        <f>VLOOKUP(#REF!&amp;"[]",#REF!,MATCH(#REF!&amp;" "&amp;#REF!,#REF!,0),FALSE)</f>
        <v>#REF!</v>
      </c>
      <c r="Y36" s="132" t="e">
        <f>VLOOKUP(#REF!&amp;"а[]",#REF!,MATCH(#REF!&amp;" "&amp;#REF!,#REF!,0),FALSE)</f>
        <v>#REF!</v>
      </c>
      <c r="Z36" s="24" t="e">
        <f>MIN(X36-S36,X36-T36)</f>
        <v>#REF!</v>
      </c>
      <c r="AA36" s="24" t="e">
        <f>MIN(Y36-S36,Y36-T36)</f>
        <v>#REF!</v>
      </c>
      <c r="AB36" s="39" t="e">
        <f>MIN(ABS(#REF!-Z36),ABS(#REF!-AA36))*1440*60</f>
        <v>#REF!</v>
      </c>
      <c r="AC36" s="23"/>
      <c r="AD36" s="36" t="e">
        <f>#REF!+#REF!</f>
        <v>#REF!</v>
      </c>
      <c r="AE36" s="132" t="e">
        <f>VLOOKUP(#REF!&amp;"[]",#REF!,MATCH(#REF!&amp;""&amp;#REF!,#REF!,0),FALSE)</f>
        <v>#REF!</v>
      </c>
      <c r="AF36" s="132" t="e">
        <f>VLOOKUP(#REF!&amp;"а[]",#REF!,MATCH(#REF!&amp;""&amp;#REF!,#REF!,0),FALSE)</f>
        <v>#REF!</v>
      </c>
      <c r="AG36" s="37"/>
      <c r="AH36" s="38" t="e">
        <f t="shared" si="43"/>
        <v>#REF!</v>
      </c>
      <c r="AI36" s="21" t="e">
        <f t="shared" si="56"/>
        <v>#REF!</v>
      </c>
      <c r="AJ36" s="22"/>
      <c r="AK36" s="247"/>
      <c r="AL36" s="247"/>
      <c r="AM36" s="44"/>
      <c r="AN36" s="46"/>
      <c r="AO36" s="45">
        <f t="shared" si="45"/>
        <v>0</v>
      </c>
      <c r="AP36" s="22"/>
      <c r="AQ36" s="134" t="e">
        <f>#REF!+#REF!+#REF!+#REF!+#REF!+#REF!+#REF!+#REF!+#REF!+#REF!+#REF!+#REF!+#REF!+#REF!+#REF!+#REF!+#REF!+#REF!+#REF!+#REF!+#REF!+#REF!+I36+H36+#REF!+#REF!</f>
        <v>#REF!</v>
      </c>
    </row>
    <row r="37" spans="1:43" s="1" customFormat="1" hidden="1">
      <c r="A37" s="31">
        <f>Старт.вед.!B37</f>
        <v>0</v>
      </c>
      <c r="B37" s="20" t="str">
        <f>VLOOKUP(A37,'Уч-ки'!$B$8:$H$39,2,FALSE)</f>
        <v xml:space="preserve"> </v>
      </c>
      <c r="C37" s="36" t="e">
        <f>#REF!+$C$5</f>
        <v>#REF!</v>
      </c>
      <c r="D37" s="132" t="e">
        <f>VLOOKUP(A37&amp;"[]",#REF!,MATCH($C$4&amp;""&amp;$D$6,#REF!,0),FALSE)</f>
        <v>#REF!</v>
      </c>
      <c r="E37" s="132" t="e">
        <f>VLOOKUP(A37&amp;"а[]",#REF!,MATCH($C$4&amp;""&amp;$D$6,#REF!,0),FALSE)</f>
        <v>#REF!</v>
      </c>
      <c r="F37" s="37"/>
      <c r="G37" s="38" t="e">
        <f t="shared" si="47"/>
        <v>#REF!</v>
      </c>
      <c r="H37" s="21" t="e">
        <f t="shared" si="55"/>
        <v>#REF!</v>
      </c>
      <c r="I37" s="22"/>
      <c r="J37" s="132" t="e">
        <f>VLOOKUP(A37&amp;"[]",#REF!,MATCH(#REF!&amp;" "&amp;$J$6,#REF!,0),FALSE)</f>
        <v>#REF!</v>
      </c>
      <c r="K37" s="132" t="e">
        <f>VLOOKUP(A37&amp;"а[]",#REF!,MATCH(#REF!&amp;" "&amp;$J$6,#REF!,0),FALSE)</f>
        <v>#REF!</v>
      </c>
      <c r="L37" s="37"/>
      <c r="M37" s="38" t="e">
        <f t="shared" si="35"/>
        <v>#REF!</v>
      </c>
      <c r="N37" s="132" t="e">
        <f>VLOOKUP(#REF!&amp;"[]",#REF!,MATCH(#REF!&amp;" "&amp;#REF!,#REF!,0),FALSE)</f>
        <v>#REF!</v>
      </c>
      <c r="O37" s="132" t="e">
        <f>VLOOKUP(#REF!&amp;"а[]",#REF!,MATCH(#REF!&amp;" "&amp;#REF!,#REF!,0),FALSE)</f>
        <v>#REF!</v>
      </c>
      <c r="P37" s="24" t="e">
        <f>TIME(HOUR(N37),MINUTE(N37),SECOND(N37))-M37</f>
        <v>#REF!</v>
      </c>
      <c r="Q37" s="24" t="e">
        <f>TIME(HOUR(O37),MINUTE(O37),SECOND(O37))-M37</f>
        <v>#REF!</v>
      </c>
      <c r="R37" s="39" t="e">
        <f>MIN(ABS(#REF!-P37),ABS(#REF!-Q37))*1440*60</f>
        <v>#REF!</v>
      </c>
      <c r="S37" s="132" t="e">
        <f>VLOOKUP(#REF!&amp;"[]",#REF!,MATCH(#REF!&amp;" "&amp;#REF!,#REF!,0),FALSE)</f>
        <v>#REF!</v>
      </c>
      <c r="T37" s="132" t="e">
        <f>VLOOKUP(#REF!&amp;"а[]",#REF!,MATCH(#REF!&amp;" "&amp;#REF!,#REF!,0),FALSE)</f>
        <v>#REF!</v>
      </c>
      <c r="U37" s="24" t="e">
        <f>TIME(HOUR(S37),MINUTE(S37),SECOND(S37))-M37</f>
        <v>#REF!</v>
      </c>
      <c r="V37" s="24" t="e">
        <f>TIME(HOUR(T37),MINUTE(T37),SECOND(T37))-M37</f>
        <v>#REF!</v>
      </c>
      <c r="W37" s="39" t="e">
        <f>MIN(ABS(#REF!-U37),ABS(#REF!-V37))*1440*60</f>
        <v>#REF!</v>
      </c>
      <c r="X37" s="132" t="e">
        <f>VLOOKUP(#REF!&amp;"[]",#REF!,MATCH(#REF!&amp;" "&amp;#REF!,#REF!,0),FALSE)</f>
        <v>#REF!</v>
      </c>
      <c r="Y37" s="132" t="e">
        <f>VLOOKUP(#REF!&amp;"а[]",#REF!,MATCH(#REF!&amp;" "&amp;#REF!,#REF!,0),FALSE)</f>
        <v>#REF!</v>
      </c>
      <c r="Z37" s="24" t="e">
        <f>MIN(X37-S37,X37-T37)</f>
        <v>#REF!</v>
      </c>
      <c r="AA37" s="24" t="e">
        <f>MIN(Y37-S37,Y37-T37)</f>
        <v>#REF!</v>
      </c>
      <c r="AB37" s="39" t="e">
        <f>MIN(ABS(#REF!-Z37),ABS(#REF!-AA37))*1440*60</f>
        <v>#REF!</v>
      </c>
      <c r="AC37" s="23"/>
      <c r="AD37" s="36" t="e">
        <f>#REF!+#REF!</f>
        <v>#REF!</v>
      </c>
      <c r="AE37" s="132" t="e">
        <f>VLOOKUP(#REF!&amp;"[]",#REF!,MATCH(#REF!&amp;""&amp;#REF!,#REF!,0),FALSE)</f>
        <v>#REF!</v>
      </c>
      <c r="AF37" s="132" t="e">
        <f>VLOOKUP(#REF!&amp;"а[]",#REF!,MATCH(#REF!&amp;""&amp;#REF!,#REF!,0),FALSE)</f>
        <v>#REF!</v>
      </c>
      <c r="AG37" s="37"/>
      <c r="AH37" s="38" t="e">
        <f t="shared" si="43"/>
        <v>#REF!</v>
      </c>
      <c r="AI37" s="21" t="e">
        <f t="shared" si="56"/>
        <v>#REF!</v>
      </c>
      <c r="AJ37" s="22"/>
      <c r="AK37" s="247"/>
      <c r="AL37" s="247"/>
      <c r="AM37" s="44"/>
      <c r="AN37" s="46"/>
      <c r="AO37" s="45">
        <f t="shared" si="45"/>
        <v>0</v>
      </c>
      <c r="AP37" s="22"/>
      <c r="AQ37" s="134" t="e">
        <f>#REF!+#REF!+#REF!+#REF!+#REF!+#REF!+#REF!+#REF!+#REF!+#REF!+#REF!+#REF!+#REF!+#REF!+#REF!+#REF!+#REF!+#REF!+#REF!+#REF!+#REF!+#REF!+I37+H37+#REF!+#REF!</f>
        <v>#REF!</v>
      </c>
    </row>
    <row r="38" spans="1:43" s="1" customFormat="1" hidden="1">
      <c r="A38" s="31">
        <f>Старт.вед.!B38</f>
        <v>0</v>
      </c>
      <c r="B38" s="20" t="str">
        <f>VLOOKUP(A38,'Уч-ки'!$B$8:$H$39,2,FALSE)</f>
        <v xml:space="preserve"> </v>
      </c>
      <c r="C38" s="36" t="e">
        <f>#REF!+$C$5</f>
        <v>#REF!</v>
      </c>
      <c r="D38" s="132" t="e">
        <f>VLOOKUP(A38&amp;"[]",#REF!,MATCH($C$4&amp;""&amp;$D$6,#REF!,0),FALSE)</f>
        <v>#REF!</v>
      </c>
      <c r="E38" s="132" t="e">
        <f>VLOOKUP(A38&amp;"а[]",#REF!,MATCH($C$4&amp;""&amp;$D$6,#REF!,0),FALSE)</f>
        <v>#REF!</v>
      </c>
      <c r="F38" s="37"/>
      <c r="G38" s="38" t="e">
        <f t="shared" si="47"/>
        <v>#REF!</v>
      </c>
      <c r="H38" s="21" t="e">
        <f t="shared" si="55"/>
        <v>#REF!</v>
      </c>
      <c r="I38" s="22"/>
      <c r="J38" s="132" t="e">
        <f>VLOOKUP(A38&amp;"[]",#REF!,MATCH(#REF!&amp;" "&amp;$J$6,#REF!,0),FALSE)</f>
        <v>#REF!</v>
      </c>
      <c r="K38" s="132" t="e">
        <f>VLOOKUP(A38&amp;"а[]",#REF!,MATCH(#REF!&amp;" "&amp;$J$6,#REF!,0),FALSE)</f>
        <v>#REF!</v>
      </c>
      <c r="L38" s="37"/>
      <c r="M38" s="38" t="e">
        <f t="shared" si="35"/>
        <v>#REF!</v>
      </c>
      <c r="N38" s="132" t="e">
        <f>VLOOKUP(#REF!&amp;"[]",#REF!,MATCH(#REF!&amp;" "&amp;#REF!,#REF!,0),FALSE)</f>
        <v>#REF!</v>
      </c>
      <c r="O38" s="132" t="e">
        <f>VLOOKUP(#REF!&amp;"а[]",#REF!,MATCH(#REF!&amp;" "&amp;#REF!,#REF!,0),FALSE)</f>
        <v>#REF!</v>
      </c>
      <c r="P38" s="24" t="e">
        <f>TIME(HOUR(N38),MINUTE(N38),SECOND(N38))-M38</f>
        <v>#REF!</v>
      </c>
      <c r="Q38" s="24" t="e">
        <f>TIME(HOUR(O38),MINUTE(O38),SECOND(O38))-M38</f>
        <v>#REF!</v>
      </c>
      <c r="R38" s="39" t="e">
        <f>MIN(ABS(#REF!-P38),ABS(#REF!-Q38))*1440*60</f>
        <v>#REF!</v>
      </c>
      <c r="S38" s="132" t="e">
        <f>VLOOKUP(#REF!&amp;"[]",#REF!,MATCH(#REF!&amp;" "&amp;#REF!,#REF!,0),FALSE)</f>
        <v>#REF!</v>
      </c>
      <c r="T38" s="132" t="e">
        <f>VLOOKUP(#REF!&amp;"а[]",#REF!,MATCH(#REF!&amp;" "&amp;#REF!,#REF!,0),FALSE)</f>
        <v>#REF!</v>
      </c>
      <c r="U38" s="24" t="e">
        <f>TIME(HOUR(S38),MINUTE(S38),SECOND(S38))-M38</f>
        <v>#REF!</v>
      </c>
      <c r="V38" s="24" t="e">
        <f>TIME(HOUR(T38),MINUTE(T38),SECOND(T38))-M38</f>
        <v>#REF!</v>
      </c>
      <c r="W38" s="39" t="e">
        <f>MIN(ABS(#REF!-U38),ABS(#REF!-V38))*1440*60</f>
        <v>#REF!</v>
      </c>
      <c r="X38" s="132" t="e">
        <f>VLOOKUP(#REF!&amp;"[]",#REF!,MATCH(#REF!&amp;" "&amp;#REF!,#REF!,0),FALSE)</f>
        <v>#REF!</v>
      </c>
      <c r="Y38" s="132" t="e">
        <f>VLOOKUP(#REF!&amp;"а[]",#REF!,MATCH(#REF!&amp;" "&amp;#REF!,#REF!,0),FALSE)</f>
        <v>#REF!</v>
      </c>
      <c r="Z38" s="24" t="e">
        <f>MIN(X38-S38,X38-T38)</f>
        <v>#REF!</v>
      </c>
      <c r="AA38" s="24" t="e">
        <f>MIN(Y38-S38,Y38-T38)</f>
        <v>#REF!</v>
      </c>
      <c r="AB38" s="39" t="e">
        <f>MIN(ABS(#REF!-Z38),ABS(#REF!-AA38))*1440*60</f>
        <v>#REF!</v>
      </c>
      <c r="AC38" s="23"/>
      <c r="AD38" s="36" t="e">
        <f>#REF!+#REF!</f>
        <v>#REF!</v>
      </c>
      <c r="AE38" s="132" t="e">
        <f>VLOOKUP(#REF!&amp;"[]",#REF!,MATCH(#REF!&amp;""&amp;#REF!,#REF!,0),FALSE)</f>
        <v>#REF!</v>
      </c>
      <c r="AF38" s="132" t="e">
        <f>VLOOKUP(#REF!&amp;"а[]",#REF!,MATCH(#REF!&amp;""&amp;#REF!,#REF!,0),FALSE)</f>
        <v>#REF!</v>
      </c>
      <c r="AG38" s="37"/>
      <c r="AH38" s="38" t="e">
        <f t="shared" si="43"/>
        <v>#REF!</v>
      </c>
      <c r="AI38" s="21" t="e">
        <f t="shared" si="56"/>
        <v>#REF!</v>
      </c>
      <c r="AJ38" s="22"/>
      <c r="AK38" s="247"/>
      <c r="AL38" s="247"/>
      <c r="AM38" s="44"/>
      <c r="AN38" s="46"/>
      <c r="AO38" s="45">
        <f t="shared" si="45"/>
        <v>0</v>
      </c>
      <c r="AP38" s="22"/>
      <c r="AQ38" s="134" t="e">
        <f>#REF!+#REF!+#REF!+#REF!+#REF!+#REF!+#REF!+#REF!+#REF!+#REF!+#REF!+#REF!+#REF!+#REF!+#REF!+#REF!+#REF!+#REF!+#REF!+#REF!+#REF!+#REF!+I38+H38+#REF!+#REF!</f>
        <v>#REF!</v>
      </c>
    </row>
    <row r="39" spans="1:43" hidden="1">
      <c r="A39" s="31">
        <f>Старт.вед.!B39</f>
        <v>0</v>
      </c>
      <c r="B39" s="20" t="str">
        <f>VLOOKUP(A39,'Уч-ки'!$B$8:$H$39,2,FALSE)</f>
        <v xml:space="preserve"> </v>
      </c>
      <c r="C39" s="36" t="e">
        <f>#REF!+$C$5</f>
        <v>#REF!</v>
      </c>
      <c r="D39" s="132" t="e">
        <f>VLOOKUP(A39&amp;"[]",#REF!,MATCH($C$4&amp;""&amp;$D$6,#REF!,0),FALSE)</f>
        <v>#REF!</v>
      </c>
      <c r="E39" s="132" t="e">
        <f>VLOOKUP(A39&amp;"а[]",#REF!,MATCH($C$4&amp;""&amp;$D$6,#REF!,0),FALSE)</f>
        <v>#REF!</v>
      </c>
      <c r="F39" s="37"/>
      <c r="G39" s="38" t="e">
        <f t="shared" si="47"/>
        <v>#REF!</v>
      </c>
      <c r="H39" s="21" t="e">
        <f t="shared" si="55"/>
        <v>#REF!</v>
      </c>
      <c r="I39" s="22"/>
      <c r="J39" s="132" t="e">
        <f>VLOOKUP(A39&amp;"[]",#REF!,MATCH(#REF!&amp;" "&amp;$J$6,#REF!,0),FALSE)</f>
        <v>#REF!</v>
      </c>
      <c r="K39" s="132" t="e">
        <f>VLOOKUP(A39&amp;"а[]",#REF!,MATCH(#REF!&amp;" "&amp;$J$6,#REF!,0),FALSE)</f>
        <v>#REF!</v>
      </c>
      <c r="L39" s="37"/>
      <c r="M39" s="38" t="e">
        <f t="shared" si="35"/>
        <v>#REF!</v>
      </c>
      <c r="N39" s="132" t="e">
        <f>VLOOKUP(#REF!&amp;"[]",#REF!,MATCH(#REF!&amp;" "&amp;#REF!,#REF!,0),FALSE)</f>
        <v>#REF!</v>
      </c>
      <c r="O39" s="132" t="e">
        <f>VLOOKUP(#REF!&amp;"а[]",#REF!,MATCH(#REF!&amp;" "&amp;#REF!,#REF!,0),FALSE)</f>
        <v>#REF!</v>
      </c>
      <c r="P39" s="24" t="e">
        <f>TIME(HOUR(N39),MINUTE(N39),SECOND(N39))-M39</f>
        <v>#REF!</v>
      </c>
      <c r="Q39" s="24" t="e">
        <f>TIME(HOUR(O39),MINUTE(O39),SECOND(O39))-M39</f>
        <v>#REF!</v>
      </c>
      <c r="R39" s="39" t="e">
        <f>MIN(ABS(#REF!-P39),ABS(#REF!-Q39))*1440*60</f>
        <v>#REF!</v>
      </c>
      <c r="S39" s="132" t="e">
        <f>VLOOKUP(#REF!&amp;"[]",#REF!,MATCH(#REF!&amp;" "&amp;#REF!,#REF!,0),FALSE)</f>
        <v>#REF!</v>
      </c>
      <c r="T39" s="132" t="e">
        <f>VLOOKUP(#REF!&amp;"а[]",#REF!,MATCH(#REF!&amp;" "&amp;#REF!,#REF!,0),FALSE)</f>
        <v>#REF!</v>
      </c>
      <c r="U39" s="24" t="e">
        <f>TIME(HOUR(S39),MINUTE(S39),SECOND(S39))-M39</f>
        <v>#REF!</v>
      </c>
      <c r="V39" s="24" t="e">
        <f>TIME(HOUR(T39),MINUTE(T39),SECOND(T39))-M39</f>
        <v>#REF!</v>
      </c>
      <c r="W39" s="39" t="e">
        <f>MIN(ABS(#REF!-U39),ABS(#REF!-V39))*1440*60</f>
        <v>#REF!</v>
      </c>
      <c r="X39" s="132" t="e">
        <f>VLOOKUP(#REF!&amp;"[]",#REF!,MATCH(#REF!&amp;" "&amp;#REF!,#REF!,0),FALSE)</f>
        <v>#REF!</v>
      </c>
      <c r="Y39" s="132" t="e">
        <f>VLOOKUP(#REF!&amp;"а[]",#REF!,MATCH(#REF!&amp;" "&amp;#REF!,#REF!,0),FALSE)</f>
        <v>#REF!</v>
      </c>
      <c r="Z39" s="24" t="e">
        <f>MIN(X39-S39,X39-T39)</f>
        <v>#REF!</v>
      </c>
      <c r="AA39" s="24" t="e">
        <f>MIN(Y39-S39,Y39-T39)</f>
        <v>#REF!</v>
      </c>
      <c r="AB39" s="39" t="e">
        <f>MIN(ABS(#REF!-Z39),ABS(#REF!-AA39))*1440*60</f>
        <v>#REF!</v>
      </c>
      <c r="AC39" s="23"/>
      <c r="AD39" s="36" t="e">
        <f>#REF!+#REF!</f>
        <v>#REF!</v>
      </c>
      <c r="AE39" s="132" t="e">
        <f>VLOOKUP(#REF!&amp;"[]",#REF!,MATCH(#REF!&amp;""&amp;#REF!,#REF!,0),FALSE)</f>
        <v>#REF!</v>
      </c>
      <c r="AF39" s="132" t="e">
        <f>VLOOKUP(#REF!&amp;"а[]",#REF!,MATCH(#REF!&amp;""&amp;#REF!,#REF!,0),FALSE)</f>
        <v>#REF!</v>
      </c>
      <c r="AG39" s="37"/>
      <c r="AH39" s="38" t="e">
        <f t="shared" si="43"/>
        <v>#REF!</v>
      </c>
      <c r="AI39" s="21" t="e">
        <f t="shared" si="56"/>
        <v>#REF!</v>
      </c>
      <c r="AJ39" s="22"/>
      <c r="AK39" s="247"/>
      <c r="AL39" s="247"/>
      <c r="AM39" s="44"/>
      <c r="AN39" s="46"/>
      <c r="AO39" s="45">
        <f t="shared" si="45"/>
        <v>0</v>
      </c>
      <c r="AP39" s="22"/>
      <c r="AQ39" s="134" t="e">
        <f>#REF!+#REF!+#REF!+#REF!+#REF!+#REF!+#REF!+#REF!+#REF!+#REF!+#REF!+#REF!+#REF!+#REF!+#REF!+#REF!+#REF!+#REF!+#REF!+#REF!+#REF!+#REF!+I39+H39+#REF!+#REF!</f>
        <v>#REF!</v>
      </c>
    </row>
    <row r="42" spans="1:43">
      <c r="P42" s="18"/>
      <c r="Q42" s="18"/>
      <c r="R42" s="18"/>
      <c r="U42" s="18"/>
      <c r="V42" s="18"/>
    </row>
    <row r="43" spans="1:43">
      <c r="P43" s="18"/>
      <c r="Q43" s="18"/>
      <c r="R43" s="18"/>
      <c r="U43" s="18"/>
      <c r="V43" s="18"/>
    </row>
    <row r="44" spans="1:43">
      <c r="P44" s="18"/>
      <c r="Q44" s="18"/>
      <c r="R44" s="18"/>
      <c r="U44" s="18"/>
      <c r="V44" s="18"/>
    </row>
    <row r="45" spans="1:43">
      <c r="P45" s="18"/>
      <c r="Q45" s="18"/>
      <c r="R45" s="18"/>
      <c r="U45" s="18"/>
      <c r="V45" s="18"/>
    </row>
    <row r="46" spans="1:43">
      <c r="P46" s="18"/>
      <c r="Q46" s="18"/>
      <c r="R46" s="18"/>
      <c r="U46" s="18"/>
      <c r="V46" s="18"/>
    </row>
    <row r="47" spans="1:43">
      <c r="P47" s="18"/>
      <c r="Q47" s="18"/>
      <c r="R47" s="18"/>
      <c r="U47" s="18"/>
      <c r="V47" s="18"/>
    </row>
    <row r="48" spans="1:43">
      <c r="P48" s="18"/>
      <c r="Q48" s="18"/>
      <c r="R48" s="18"/>
      <c r="U48" s="18"/>
      <c r="V48" s="18"/>
    </row>
  </sheetData>
  <mergeCells count="13">
    <mergeCell ref="AQ4:AQ6"/>
    <mergeCell ref="D6:E6"/>
    <mergeCell ref="J6:K6"/>
    <mergeCell ref="N6:O6"/>
    <mergeCell ref="S6:T6"/>
    <mergeCell ref="X6:Y6"/>
    <mergeCell ref="AE6:AF6"/>
    <mergeCell ref="AK4:AK6"/>
    <mergeCell ref="AL4:AL6"/>
    <mergeCell ref="C4:I4"/>
    <mergeCell ref="J4:AC4"/>
    <mergeCell ref="AD4:AJ4"/>
    <mergeCell ref="AM4:AP4"/>
  </mergeCells>
  <dataValidations count="2">
    <dataValidation operator="equal" allowBlank="1" showInputMessage="1" showErrorMessage="1" sqref="J8:K39 AE8:AF39 X8:Y39 D8:E39 N8:O39 S8:T39"/>
    <dataValidation type="textLength" operator="equal" allowBlank="1" showInputMessage="1" showErrorMessage="1" sqref="L8:L39 AG8:AG39 F8:F39">
      <formula1>4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view="pageBreakPreview" topLeftCell="A3" zoomScale="75" zoomScaleNormal="100" workbookViewId="0">
      <pane xSplit="2" ySplit="5" topLeftCell="C8" activePane="bottomRight" state="frozen"/>
      <selection activeCell="A3" sqref="A3"/>
      <selection pane="topRight" activeCell="C3" sqref="C3"/>
      <selection pane="bottomLeft" activeCell="A8" sqref="A8"/>
      <selection pane="bottomRight" activeCell="N53" sqref="N53"/>
    </sheetView>
  </sheetViews>
  <sheetFormatPr defaultRowHeight="12.75"/>
  <cols>
    <col min="1" max="1" width="4.7109375" customWidth="1"/>
    <col min="2" max="2" width="22.7109375" customWidth="1"/>
    <col min="3" max="5" width="7.7109375" customWidth="1"/>
    <col min="6" max="6" width="7.28515625" customWidth="1"/>
    <col min="7" max="7" width="6.85546875" customWidth="1"/>
    <col min="8" max="8" width="5.7109375" customWidth="1"/>
    <col min="9" max="11" width="6.7109375" customWidth="1"/>
    <col min="12" max="12" width="8.7109375" customWidth="1"/>
    <col min="13" max="13" width="7.5703125" customWidth="1"/>
    <col min="14" max="14" width="10.7109375" customWidth="1"/>
    <col min="16" max="16" width="10.7109375" bestFit="1" customWidth="1"/>
  </cols>
  <sheetData>
    <row r="1" spans="1:16" ht="3" hidden="1" customHeight="1"/>
    <row r="2" spans="1:16" ht="12" hidden="1" customHeight="1"/>
    <row r="3" spans="1:16" ht="21" thickBot="1">
      <c r="A3" s="25" t="s">
        <v>86</v>
      </c>
    </row>
    <row r="4" spans="1:16" ht="19.149999999999999" customHeight="1" thickBot="1">
      <c r="A4" s="128" t="s">
        <v>113</v>
      </c>
      <c r="E4" s="201"/>
      <c r="F4" s="228" t="s">
        <v>84</v>
      </c>
      <c r="G4" s="230"/>
      <c r="H4" s="229"/>
    </row>
    <row r="5" spans="1:16" ht="3.6" hidden="1" customHeight="1" thickBot="1">
      <c r="E5" s="1"/>
      <c r="F5" s="129"/>
      <c r="G5" s="131"/>
      <c r="H5" s="131"/>
      <c r="I5" s="1"/>
      <c r="J5" s="1"/>
      <c r="K5" s="1"/>
      <c r="L5" s="1"/>
      <c r="M5" s="1"/>
      <c r="N5" s="1"/>
      <c r="O5" s="1"/>
    </row>
    <row r="6" spans="1:16" ht="12" hidden="1" customHeight="1" thickBot="1">
      <c r="E6" s="1"/>
      <c r="F6" s="129"/>
      <c r="G6" s="131"/>
      <c r="H6" s="131"/>
      <c r="I6" s="1"/>
      <c r="J6" s="1"/>
      <c r="K6" s="1"/>
      <c r="L6" s="1"/>
      <c r="M6" s="1"/>
      <c r="N6" s="1"/>
    </row>
    <row r="7" spans="1:16" ht="40.9" customHeight="1" thickBot="1">
      <c r="A7" s="124" t="s">
        <v>35</v>
      </c>
      <c r="B7" s="161" t="s">
        <v>14</v>
      </c>
      <c r="C7" s="125" t="s">
        <v>127</v>
      </c>
      <c r="D7" s="257" t="s">
        <v>63</v>
      </c>
      <c r="E7" s="260" t="s">
        <v>15</v>
      </c>
      <c r="F7" s="261" t="s">
        <v>58</v>
      </c>
      <c r="G7" s="125" t="s">
        <v>98</v>
      </c>
      <c r="H7" s="125" t="s">
        <v>47</v>
      </c>
      <c r="I7" s="125" t="s">
        <v>118</v>
      </c>
      <c r="J7" s="125" t="s">
        <v>116</v>
      </c>
      <c r="K7" s="161" t="s">
        <v>117</v>
      </c>
      <c r="L7" s="200" t="s">
        <v>15</v>
      </c>
      <c r="M7" s="126" t="s">
        <v>85</v>
      </c>
      <c r="N7" s="127" t="s">
        <v>22</v>
      </c>
      <c r="P7" s="40" t="s">
        <v>23</v>
      </c>
    </row>
    <row r="8" spans="1:16">
      <c r="A8" s="121">
        <f>Секц.1!A8</f>
        <v>1</v>
      </c>
      <c r="B8" s="122" t="str">
        <f>VLOOKUP(A8,'Уч-ки'!$B$8:$H$38,2,FALSE)</f>
        <v>ЛЕБЕДЬКО Дмитрий</v>
      </c>
      <c r="C8" s="195">
        <f>VLOOKUP(A8,Секц.2!$A$8:$AQ$38,8,FALSE)</f>
        <v>0</v>
      </c>
      <c r="D8" s="258">
        <f>VLOOKUP(A8,Секц.2!$A$8:$AQ$38,35,FALSE)</f>
        <v>480.00000000000148</v>
      </c>
      <c r="E8" s="26">
        <f>SUM(C8:D8)</f>
        <v>480.00000000000148</v>
      </c>
      <c r="F8" s="259">
        <f>VLOOKUP(A8,Секц.2!$A$8:$AQ$38,18,FALSE)</f>
        <v>2.9999999999916263</v>
      </c>
      <c r="G8" s="123">
        <f>VLOOKUP(A8,Секц.2!$A$8:$AQ$38,23,FALSE)</f>
        <v>13.999999999998305</v>
      </c>
      <c r="H8" s="123">
        <f>VLOOKUP(A8,Секц.2!$A$8:$AQ$38,28,FALSE)</f>
        <v>816.99999999998772</v>
      </c>
      <c r="I8" s="197">
        <f>VLOOKUP(A8,Секц.2!$A$8:$AQ$38,41,FALSE)</f>
        <v>68.5</v>
      </c>
      <c r="J8" s="197">
        <f>VLOOKUP(A8,Секц.2!$A$8:$AQ$38,37,FALSE)</f>
        <v>0</v>
      </c>
      <c r="K8" s="255">
        <f>VLOOKUP(A8,Секц.2!$A$8:$AQ$38,38,FALSE)</f>
        <v>0</v>
      </c>
      <c r="L8" s="163">
        <f>SUM(F8:K8)</f>
        <v>902.4999999999776</v>
      </c>
      <c r="M8" s="26">
        <v>0</v>
      </c>
      <c r="N8" s="27">
        <f>M8+L8+E8</f>
        <v>1382.4999999999791</v>
      </c>
      <c r="P8" t="str">
        <f>IF(N8=Секц.2!AQ8,"Ок","Ошибка")</f>
        <v>Ок</v>
      </c>
    </row>
    <row r="9" spans="1:16">
      <c r="A9" s="121">
        <f>Секц.1!A9</f>
        <v>2</v>
      </c>
      <c r="B9" s="122" t="str">
        <f>VLOOKUP(A9,'Уч-ки'!$B$8:$H$38,2,FALSE)</f>
        <v>ПЕТРОВ Георгий</v>
      </c>
      <c r="C9" s="195">
        <f>VLOOKUP(A9,Секц.2!$A$8:$AQ$38,8,FALSE)</f>
        <v>0</v>
      </c>
      <c r="D9" s="258">
        <f>VLOOKUP(A9,Секц.2!$A$8:$AQ$38,35,FALSE)</f>
        <v>359.99999999999875</v>
      </c>
      <c r="E9" s="26">
        <f t="shared" ref="E9:E13" si="0">SUM(C9:D9)</f>
        <v>359.99999999999875</v>
      </c>
      <c r="F9" s="259">
        <f>VLOOKUP(A9,Секц.2!$A$8:$AQ$38,18,FALSE)</f>
        <v>900</v>
      </c>
      <c r="G9" s="123">
        <f>VLOOKUP(A9,Секц.2!$A$8:$AQ$38,23,FALSE)</f>
        <v>900</v>
      </c>
      <c r="H9" s="123">
        <f>VLOOKUP(A9,Секц.2!$A$8:$AQ$38,28,FALSE)</f>
        <v>900</v>
      </c>
      <c r="I9" s="197">
        <f>VLOOKUP(A9,Секц.2!$A$8:$AQ$38,41,FALSE)</f>
        <v>67.5</v>
      </c>
      <c r="J9" s="197">
        <f>VLOOKUP(A9,Секц.2!$A$8:$AQ$38,37,FALSE)</f>
        <v>0</v>
      </c>
      <c r="K9" s="255">
        <f>VLOOKUP(A9,Секц.2!$A$8:$AQ$38,38,FALSE)</f>
        <v>900</v>
      </c>
      <c r="L9" s="163">
        <f t="shared" ref="L9:L13" si="1">SUM(F9:K9)</f>
        <v>3667.5</v>
      </c>
      <c r="M9" s="26">
        <v>0</v>
      </c>
      <c r="N9" s="27">
        <f t="shared" ref="N9:N13" si="2">M9+L9+E9</f>
        <v>4027.4999999999986</v>
      </c>
      <c r="P9" t="str">
        <f>IF(N9=Секц.2!AQ9,"Ок","Ошибка")</f>
        <v>Ок</v>
      </c>
    </row>
    <row r="10" spans="1:16">
      <c r="A10" s="121">
        <f>Секц.1!A10</f>
        <v>3</v>
      </c>
      <c r="B10" s="122" t="str">
        <f>VLOOKUP(A10,'Уч-ки'!$B$8:$H$38,2,FALSE)</f>
        <v>ЮРАХНО Евгений</v>
      </c>
      <c r="C10" s="195">
        <f>VLOOKUP(A10,Секц.2!$A$8:$AQ$38,8,FALSE)</f>
        <v>0</v>
      </c>
      <c r="D10" s="258">
        <f>VLOOKUP(A10,Секц.2!$A$8:$AQ$38,35,FALSE)</f>
        <v>890.00000000000171</v>
      </c>
      <c r="E10" s="26">
        <f t="shared" si="0"/>
        <v>890.00000000000171</v>
      </c>
      <c r="F10" s="259">
        <f>VLOOKUP(A10,Секц.2!$A$8:$AQ$38,18,FALSE)</f>
        <v>45.00000000000778</v>
      </c>
      <c r="G10" s="123">
        <f>VLOOKUP(A10,Секц.2!$A$8:$AQ$38,23,FALSE)</f>
        <v>2.5104918144336352E-12</v>
      </c>
      <c r="H10" s="123">
        <f>VLOOKUP(A10,Секц.2!$A$8:$AQ$38,28,FALSE)</f>
        <v>988.00000000000477</v>
      </c>
      <c r="I10" s="197">
        <f>VLOOKUP(A10,Секц.2!$A$8:$AQ$38,41,FALSE)</f>
        <v>68.8</v>
      </c>
      <c r="J10" s="197">
        <f>VLOOKUP(A10,Секц.2!$A$8:$AQ$38,37,FALSE)</f>
        <v>0</v>
      </c>
      <c r="K10" s="255">
        <f>VLOOKUP(A10,Секц.2!$A$8:$AQ$38,38,FALSE)</f>
        <v>900</v>
      </c>
      <c r="L10" s="163">
        <f t="shared" si="1"/>
        <v>2001.800000000015</v>
      </c>
      <c r="M10" s="26">
        <v>0</v>
      </c>
      <c r="N10" s="27">
        <f t="shared" si="2"/>
        <v>2891.8000000000166</v>
      </c>
      <c r="P10" t="str">
        <f>IF(N10=Секц.2!AQ10,"Ок","Ошибка")</f>
        <v>Ок</v>
      </c>
    </row>
    <row r="11" spans="1:16">
      <c r="A11" s="121">
        <f>Секц.1!A11</f>
        <v>4</v>
      </c>
      <c r="B11" s="122" t="str">
        <f>VLOOKUP(A11,'Уч-ки'!$B$8:$H$38,2,FALSE)</f>
        <v>КОРОЛЕВА Любовь</v>
      </c>
      <c r="C11" s="195">
        <f>VLOOKUP(A11,Секц.2!$A$8:$AQ$38,8,FALSE)</f>
        <v>0</v>
      </c>
      <c r="D11" s="258">
        <f>VLOOKUP(A11,Секц.2!$A$8:$AQ$38,35,FALSE)</f>
        <v>270.00000000000063</v>
      </c>
      <c r="E11" s="26">
        <f t="shared" si="0"/>
        <v>270.00000000000063</v>
      </c>
      <c r="F11" s="259">
        <f>VLOOKUP(A11,Секц.2!$A$8:$AQ$38,18,FALSE)</f>
        <v>42.000000000007311</v>
      </c>
      <c r="G11" s="123">
        <f>VLOOKUP(A11,Секц.2!$A$8:$AQ$38,23,FALSE)</f>
        <v>50.999999999995872</v>
      </c>
      <c r="H11" s="123">
        <f>VLOOKUP(A11,Секц.2!$A$8:$AQ$38,28,FALSE)</f>
        <v>815.0000000000033</v>
      </c>
      <c r="I11" s="197">
        <f>VLOOKUP(A11,Секц.2!$A$8:$AQ$38,41,FALSE)</f>
        <v>80.3</v>
      </c>
      <c r="J11" s="197">
        <f>VLOOKUP(A11,Секц.2!$A$8:$AQ$38,37,FALSE)</f>
        <v>0</v>
      </c>
      <c r="K11" s="255">
        <f>VLOOKUP(A11,Секц.2!$A$8:$AQ$38,38,FALSE)</f>
        <v>0</v>
      </c>
      <c r="L11" s="163">
        <f t="shared" si="1"/>
        <v>988.30000000000643</v>
      </c>
      <c r="M11" s="26">
        <v>0</v>
      </c>
      <c r="N11" s="27">
        <f t="shared" si="2"/>
        <v>1258.300000000007</v>
      </c>
      <c r="P11" t="str">
        <f>IF(N11=Секц.2!AQ11,"Ок","Ошибка")</f>
        <v>Ок</v>
      </c>
    </row>
    <row r="12" spans="1:16">
      <c r="A12" s="121">
        <f>Секц.1!A12</f>
        <v>5</v>
      </c>
      <c r="B12" s="122" t="str">
        <f>VLOOKUP(A12,'Уч-ки'!$B$8:$H$38,2,FALSE)</f>
        <v>ХАПОНЕН Татьяна</v>
      </c>
      <c r="C12" s="195">
        <f>VLOOKUP(A12,Секц.2!$A$8:$AQ$38,8,FALSE)</f>
        <v>0</v>
      </c>
      <c r="D12" s="258">
        <f>VLOOKUP(A12,Секц.2!$A$8:$AQ$38,35,FALSE)</f>
        <v>119.99999999999957</v>
      </c>
      <c r="E12" s="26">
        <f t="shared" si="0"/>
        <v>119.99999999999957</v>
      </c>
      <c r="F12" s="259">
        <f>VLOOKUP(A12,Секц.2!$A$8:$AQ$38,18,FALSE)</f>
        <v>15.000000000003094</v>
      </c>
      <c r="G12" s="123">
        <f>VLOOKUP(A12,Секц.2!$A$8:$AQ$38,23,FALSE)</f>
        <v>1.9999999999964282</v>
      </c>
      <c r="H12" s="123">
        <f>VLOOKUP(A12,Секц.2!$A$8:$AQ$38,28,FALSE)</f>
        <v>724.99999999999886</v>
      </c>
      <c r="I12" s="197">
        <f>VLOOKUP(A12,Секц.2!$A$8:$AQ$38,41,FALSE)</f>
        <v>65.2</v>
      </c>
      <c r="J12" s="197">
        <f>VLOOKUP(A12,Секц.2!$A$8:$AQ$38,37,FALSE)</f>
        <v>0</v>
      </c>
      <c r="K12" s="255">
        <f>VLOOKUP(A12,Секц.2!$A$8:$AQ$38,38,FALSE)</f>
        <v>900</v>
      </c>
      <c r="L12" s="163">
        <f t="shared" si="1"/>
        <v>1707.1999999999985</v>
      </c>
      <c r="M12" s="26">
        <v>0</v>
      </c>
      <c r="N12" s="27">
        <f t="shared" si="2"/>
        <v>1827.199999999998</v>
      </c>
      <c r="P12" t="str">
        <f>IF(N12=Секц.2!AQ12,"Ок","Ошибка")</f>
        <v>Ок</v>
      </c>
    </row>
    <row r="13" spans="1:16">
      <c r="A13" s="121">
        <f>Секц.1!A13</f>
        <v>13</v>
      </c>
      <c r="B13" s="122" t="str">
        <f>VLOOKUP(A13,'Уч-ки'!$B$8:$H$38,2,FALSE)</f>
        <v>ВИТВИЦКИЙ Денис</v>
      </c>
      <c r="C13" s="195">
        <f>VLOOKUP(A13,Секц.2!$A$8:$AQ$38,8,FALSE)</f>
        <v>0</v>
      </c>
      <c r="D13" s="258">
        <f>VLOOKUP(A13,Секц.2!$A$8:$AQ$38,35,FALSE)</f>
        <v>0</v>
      </c>
      <c r="E13" s="26">
        <f t="shared" si="0"/>
        <v>0</v>
      </c>
      <c r="F13" s="259">
        <f>VLOOKUP(A13,Секц.2!$A$8:$AQ$38,18,FALSE)</f>
        <v>16.000000000000053</v>
      </c>
      <c r="G13" s="123">
        <f>VLOOKUP(A13,Секц.2!$A$8:$AQ$38,23,FALSE)</f>
        <v>183.99999999999429</v>
      </c>
      <c r="H13" s="123">
        <f>VLOOKUP(A13,Секц.2!$A$8:$AQ$38,28,FALSE)</f>
        <v>758.00000000000398</v>
      </c>
      <c r="I13" s="197">
        <f>VLOOKUP(A13,Секц.2!$A$8:$AQ$38,41,FALSE)</f>
        <v>68.2</v>
      </c>
      <c r="J13" s="197">
        <f>VLOOKUP(A13,Секц.2!$A$8:$AQ$38,37,FALSE)</f>
        <v>0</v>
      </c>
      <c r="K13" s="255">
        <f>VLOOKUP(A13,Секц.2!$A$8:$AQ$38,38,FALSE)</f>
        <v>900</v>
      </c>
      <c r="L13" s="163">
        <f t="shared" si="1"/>
        <v>1926.1999999999982</v>
      </c>
      <c r="M13" s="26">
        <v>0</v>
      </c>
      <c r="N13" s="27">
        <f t="shared" si="2"/>
        <v>1926.1999999999982</v>
      </c>
      <c r="P13" t="str">
        <f>IF(N13=Секц.2!AQ13,"Ок","Ошибка")</f>
        <v>Ок</v>
      </c>
    </row>
    <row r="14" spans="1:16" hidden="1">
      <c r="A14" s="121">
        <f>Секц.1!A14</f>
        <v>0</v>
      </c>
      <c r="B14" s="122" t="str">
        <f>VLOOKUP(A14,'Уч-ки'!$B$8:$H$38,2,FALSE)</f>
        <v xml:space="preserve"> </v>
      </c>
      <c r="C14" s="195"/>
      <c r="D14" s="123"/>
      <c r="E14" s="162"/>
      <c r="F14" s="123"/>
      <c r="G14" s="123"/>
      <c r="H14" s="123"/>
      <c r="I14" s="255"/>
      <c r="J14" s="163"/>
      <c r="K14" s="163"/>
      <c r="L14" s="163"/>
      <c r="M14" s="26"/>
      <c r="N14" s="27"/>
      <c r="P14" t="e">
        <f>IF(N14=Секц.1!AV14,"Ок","Ошибка")</f>
        <v>#REF!</v>
      </c>
    </row>
    <row r="15" spans="1:16" hidden="1">
      <c r="A15" s="121">
        <f>Секц.1!A15</f>
        <v>0</v>
      </c>
      <c r="B15" s="122" t="str">
        <f>VLOOKUP(A15,'Уч-ки'!$B$8:$H$38,2,FALSE)</f>
        <v xml:space="preserve"> </v>
      </c>
      <c r="C15" s="195"/>
      <c r="D15" s="123"/>
      <c r="E15" s="162"/>
      <c r="F15" s="164"/>
      <c r="G15" s="164"/>
      <c r="H15" s="164"/>
      <c r="I15" s="198"/>
      <c r="J15" s="163"/>
      <c r="K15" s="163"/>
      <c r="L15" s="163"/>
      <c r="M15" s="26"/>
      <c r="N15" s="27"/>
      <c r="P15" t="e">
        <f>IF(N15=Секц.1!AV15,"Ок","Ошибка")</f>
        <v>#REF!</v>
      </c>
    </row>
    <row r="16" spans="1:16" hidden="1">
      <c r="A16" s="121">
        <f>Секц.1!A16</f>
        <v>0</v>
      </c>
      <c r="B16" s="122" t="str">
        <f>VLOOKUP(A16,'Уч-ки'!$B$8:$H$38,2,FALSE)</f>
        <v xml:space="preserve"> </v>
      </c>
      <c r="C16" s="123"/>
      <c r="D16" s="123"/>
      <c r="E16" s="162"/>
      <c r="F16" s="123"/>
      <c r="G16" s="123"/>
      <c r="H16" s="123"/>
      <c r="I16" s="197"/>
      <c r="J16" s="256"/>
      <c r="K16" s="256"/>
      <c r="L16" s="163"/>
      <c r="M16" s="26"/>
      <c r="N16" s="27"/>
      <c r="P16" t="e">
        <f>IF(N16=Секц.1!AV16,"Ок","Ошибка")</f>
        <v>#REF!</v>
      </c>
    </row>
    <row r="17" spans="1:16" hidden="1">
      <c r="A17" s="121">
        <f>Секц.1!A17</f>
        <v>0</v>
      </c>
      <c r="B17" s="122" t="str">
        <f>VLOOKUP(A17,'Уч-ки'!$B$8:$H$38,2,FALSE)</f>
        <v xml:space="preserve"> </v>
      </c>
      <c r="C17" s="123"/>
      <c r="D17" s="123"/>
      <c r="E17" s="162"/>
      <c r="F17" s="164"/>
      <c r="G17" s="164"/>
      <c r="H17" s="164"/>
      <c r="I17" s="194"/>
      <c r="J17" s="256"/>
      <c r="K17" s="256"/>
      <c r="L17" s="163"/>
      <c r="M17" s="26"/>
      <c r="N17" s="27"/>
      <c r="P17" t="e">
        <f>IF(N17=Секц.1!AV17,"Ок","Ошибка")</f>
        <v>#REF!</v>
      </c>
    </row>
    <row r="18" spans="1:16" hidden="1">
      <c r="A18" s="121">
        <f>Секц.1!A18</f>
        <v>0</v>
      </c>
      <c r="B18" s="122" t="str">
        <f>VLOOKUP(A18,'Уч-ки'!$B$8:$H$38,2,FALSE)</f>
        <v xml:space="preserve"> </v>
      </c>
      <c r="C18" s="123"/>
      <c r="D18" s="123"/>
      <c r="E18" s="162"/>
      <c r="F18" s="164"/>
      <c r="G18" s="164"/>
      <c r="H18" s="164"/>
      <c r="I18" s="194"/>
      <c r="J18" s="256"/>
      <c r="K18" s="256"/>
      <c r="L18" s="163"/>
      <c r="M18" s="26"/>
      <c r="N18" s="27"/>
      <c r="P18" t="e">
        <f>IF(N18=Секц.1!AV18,"Ок","Ошибка")</f>
        <v>#REF!</v>
      </c>
    </row>
    <row r="19" spans="1:16" hidden="1">
      <c r="A19" s="121">
        <f>Секц.1!A19</f>
        <v>0</v>
      </c>
      <c r="B19" s="122" t="str">
        <f>VLOOKUP(A19,'Уч-ки'!$B$8:$H$38,2,FALSE)</f>
        <v xml:space="preserve"> </v>
      </c>
      <c r="C19" s="123"/>
      <c r="D19" s="123"/>
      <c r="E19" s="162"/>
      <c r="F19" s="164"/>
      <c r="G19" s="164"/>
      <c r="H19" s="164"/>
      <c r="I19" s="194"/>
      <c r="J19" s="256"/>
      <c r="K19" s="256"/>
      <c r="L19" s="163"/>
      <c r="M19" s="26"/>
      <c r="N19" s="27"/>
      <c r="P19" t="e">
        <f>IF(N19=Секц.1!AV19,"Ок","Ошибка")</f>
        <v>#REF!</v>
      </c>
    </row>
    <row r="20" spans="1:16" hidden="1">
      <c r="A20" s="121">
        <f>Секц.1!A20</f>
        <v>0</v>
      </c>
      <c r="B20" s="122" t="str">
        <f>VLOOKUP(A20,'Уч-ки'!$B$8:$H$38,2,FALSE)</f>
        <v xml:space="preserve"> </v>
      </c>
      <c r="C20" s="123"/>
      <c r="D20" s="123"/>
      <c r="E20" s="162"/>
      <c r="F20" s="164"/>
      <c r="G20" s="164"/>
      <c r="H20" s="164"/>
      <c r="I20" s="194"/>
      <c r="J20" s="256"/>
      <c r="K20" s="256"/>
      <c r="L20" s="163"/>
      <c r="M20" s="26"/>
      <c r="N20" s="27"/>
      <c r="P20" t="e">
        <f>IF(N20=Секц.1!AV20,"Ок","Ошибка")</f>
        <v>#REF!</v>
      </c>
    </row>
    <row r="21" spans="1:16" hidden="1">
      <c r="A21" s="121">
        <f>Секц.1!A21</f>
        <v>0</v>
      </c>
      <c r="B21" s="122" t="str">
        <f>VLOOKUP(A21,'Уч-ки'!$B$8:$H$38,2,FALSE)</f>
        <v xml:space="preserve"> </v>
      </c>
      <c r="C21" s="123"/>
      <c r="D21" s="123"/>
      <c r="E21" s="162"/>
      <c r="F21" s="164"/>
      <c r="G21" s="164"/>
      <c r="H21" s="164"/>
      <c r="I21" s="194"/>
      <c r="J21" s="256"/>
      <c r="K21" s="256"/>
      <c r="L21" s="163"/>
      <c r="M21" s="26"/>
      <c r="N21" s="27"/>
      <c r="P21" t="e">
        <f>IF(N21=Секц.1!AV21,"Ок","Ошибка")</f>
        <v>#REF!</v>
      </c>
    </row>
    <row r="22" spans="1:16" hidden="1">
      <c r="A22" s="121">
        <f>Секц.1!A22</f>
        <v>0</v>
      </c>
      <c r="B22" s="122" t="str">
        <f>VLOOKUP(A22,'Уч-ки'!$B$8:$H$38,2,FALSE)</f>
        <v xml:space="preserve"> </v>
      </c>
      <c r="C22" s="123"/>
      <c r="D22" s="123"/>
      <c r="E22" s="162"/>
      <c r="F22" s="164"/>
      <c r="G22" s="164"/>
      <c r="H22" s="164"/>
      <c r="I22" s="194"/>
      <c r="J22" s="256"/>
      <c r="K22" s="256"/>
      <c r="L22" s="163"/>
      <c r="M22" s="26"/>
      <c r="N22" s="27"/>
      <c r="P22" t="e">
        <f>IF(N22=Секц.1!AV22,"Ок","Ошибка")</f>
        <v>#REF!</v>
      </c>
    </row>
    <row r="23" spans="1:16" hidden="1">
      <c r="A23" s="121">
        <f>Секц.1!A23</f>
        <v>0</v>
      </c>
      <c r="B23" s="122" t="str">
        <f>VLOOKUP(A23,'Уч-ки'!$B$8:$H$38,2,FALSE)</f>
        <v xml:space="preserve"> </v>
      </c>
      <c r="C23" s="123"/>
      <c r="D23" s="123"/>
      <c r="E23" s="162"/>
      <c r="F23" s="164"/>
      <c r="G23" s="164"/>
      <c r="H23" s="164"/>
      <c r="I23" s="194"/>
      <c r="J23" s="256"/>
      <c r="K23" s="256"/>
      <c r="L23" s="163"/>
      <c r="M23" s="26"/>
      <c r="N23" s="27"/>
      <c r="P23" t="str">
        <f>IF(N23=Секц.1!AV23,"Ок","Ошибка")</f>
        <v>Ошибка</v>
      </c>
    </row>
    <row r="24" spans="1:16" hidden="1">
      <c r="A24" s="121">
        <f>Секц.1!A24</f>
        <v>0</v>
      </c>
      <c r="B24" s="122" t="str">
        <f>VLOOKUP(A24,'Уч-ки'!$B$8:$H$38,2,FALSE)</f>
        <v xml:space="preserve"> </v>
      </c>
      <c r="C24" s="123"/>
      <c r="D24" s="123"/>
      <c r="E24" s="162"/>
      <c r="F24" s="164"/>
      <c r="G24" s="164"/>
      <c r="H24" s="164"/>
      <c r="I24" s="194"/>
      <c r="J24" s="256"/>
      <c r="K24" s="256"/>
      <c r="L24" s="163"/>
      <c r="M24" s="26"/>
      <c r="N24" s="27"/>
      <c r="P24" t="e">
        <f>IF(N24=Секц.1!AV24,"Ок","Ошибка")</f>
        <v>#REF!</v>
      </c>
    </row>
    <row r="25" spans="1:16" hidden="1">
      <c r="A25" s="121">
        <f>Секц.1!A25</f>
        <v>0</v>
      </c>
      <c r="B25" s="122" t="str">
        <f>VLOOKUP(A25,'Уч-ки'!$B$8:$H$38,2,FALSE)</f>
        <v xml:space="preserve"> </v>
      </c>
      <c r="C25" s="123"/>
      <c r="D25" s="123"/>
      <c r="E25" s="162"/>
      <c r="F25" s="164"/>
      <c r="G25" s="164"/>
      <c r="H25" s="164"/>
      <c r="I25" s="165"/>
      <c r="J25" s="256"/>
      <c r="K25" s="256"/>
      <c r="L25" s="163"/>
      <c r="M25" s="26"/>
      <c r="N25" s="27"/>
      <c r="P25" t="e">
        <f>IF(N25=Секц.1!AV25,"Ок","Ошибка")</f>
        <v>#REF!</v>
      </c>
    </row>
    <row r="26" spans="1:16" hidden="1">
      <c r="A26" s="121">
        <f>Секц.1!A26</f>
        <v>0</v>
      </c>
      <c r="B26" s="122" t="str">
        <f>VLOOKUP(A26,'Уч-ки'!$B$8:$H$38,2,FALSE)</f>
        <v xml:space="preserve"> </v>
      </c>
      <c r="C26" s="123"/>
      <c r="D26" s="123"/>
      <c r="E26" s="162"/>
      <c r="F26" s="164"/>
      <c r="G26" s="164"/>
      <c r="H26" s="164"/>
      <c r="I26" s="165"/>
      <c r="J26" s="256"/>
      <c r="K26" s="256"/>
      <c r="L26" s="163"/>
      <c r="M26" s="26"/>
      <c r="N26" s="27"/>
      <c r="P26" t="e">
        <f>IF(N26=Секц.1!AV26,"Ок","Ошибка")</f>
        <v>#REF!</v>
      </c>
    </row>
    <row r="27" spans="1:16" hidden="1">
      <c r="A27" s="121">
        <f>Секц.1!A27</f>
        <v>0</v>
      </c>
      <c r="B27" s="122" t="str">
        <f>VLOOKUP(A27,'Уч-ки'!$B$8:$H$38,2,FALSE)</f>
        <v xml:space="preserve"> </v>
      </c>
      <c r="C27" s="123"/>
      <c r="D27" s="123"/>
      <c r="E27" s="162"/>
      <c r="F27" s="164"/>
      <c r="G27" s="164"/>
      <c r="H27" s="164"/>
      <c r="I27" s="165"/>
      <c r="J27" s="256"/>
      <c r="K27" s="256"/>
      <c r="L27" s="163"/>
      <c r="M27" s="26"/>
      <c r="N27" s="27"/>
      <c r="P27" t="e">
        <f>IF(N27=Секц.1!AV27,"Ок","Ошибка")</f>
        <v>#REF!</v>
      </c>
    </row>
    <row r="28" spans="1:16" hidden="1">
      <c r="A28" s="121">
        <f>Секц.1!A28</f>
        <v>0</v>
      </c>
      <c r="B28" s="122" t="str">
        <f>VLOOKUP(A28,'Уч-ки'!$B$8:$H$38,2,FALSE)</f>
        <v xml:space="preserve"> </v>
      </c>
      <c r="C28" s="123"/>
      <c r="D28" s="123"/>
      <c r="E28" s="162"/>
      <c r="F28" s="164"/>
      <c r="G28" s="164"/>
      <c r="H28" s="164"/>
      <c r="I28" s="165"/>
      <c r="J28" s="256"/>
      <c r="K28" s="256"/>
      <c r="L28" s="163"/>
      <c r="M28" s="26"/>
      <c r="N28" s="27"/>
      <c r="P28" t="e">
        <f>IF(N28=Секц.1!AV28,"Ок","Ошибка")</f>
        <v>#REF!</v>
      </c>
    </row>
    <row r="29" spans="1:16" hidden="1">
      <c r="A29" s="121">
        <f>Секц.1!A29</f>
        <v>0</v>
      </c>
      <c r="B29" s="122" t="str">
        <f>VLOOKUP(A29,'Уч-ки'!$B$8:$H$38,2,FALSE)</f>
        <v xml:space="preserve"> </v>
      </c>
      <c r="C29" s="123"/>
      <c r="D29" s="123"/>
      <c r="E29" s="162"/>
      <c r="F29" s="164"/>
      <c r="G29" s="164"/>
      <c r="H29" s="164"/>
      <c r="I29" s="165"/>
      <c r="J29" s="256"/>
      <c r="K29" s="256"/>
      <c r="L29" s="163"/>
      <c r="M29" s="26"/>
      <c r="N29" s="27"/>
      <c r="P29" t="e">
        <f>IF(N29=Секц.1!AV29,"Ок","Ошибка")</f>
        <v>#REF!</v>
      </c>
    </row>
    <row r="30" spans="1:16" hidden="1">
      <c r="A30" s="121">
        <f>Секц.1!A30</f>
        <v>0</v>
      </c>
      <c r="B30" s="122" t="str">
        <f>VLOOKUP(A30,'Уч-ки'!$B$8:$H$38,2,FALSE)</f>
        <v xml:space="preserve"> </v>
      </c>
      <c r="C30" s="123"/>
      <c r="D30" s="123"/>
      <c r="E30" s="162"/>
      <c r="F30" s="164"/>
      <c r="G30" s="164"/>
      <c r="H30" s="164"/>
      <c r="I30" s="165"/>
      <c r="J30" s="256"/>
      <c r="K30" s="256"/>
      <c r="L30" s="163"/>
      <c r="M30" s="26"/>
      <c r="N30" s="27"/>
      <c r="P30" t="e">
        <f>IF(N30=Секц.1!AV30,"Ок","Ошибка")</f>
        <v>#REF!</v>
      </c>
    </row>
    <row r="31" spans="1:16" hidden="1">
      <c r="A31" s="121">
        <f>Секц.1!A31</f>
        <v>0</v>
      </c>
      <c r="B31" s="122" t="str">
        <f>VLOOKUP(A31,'Уч-ки'!$B$8:$H$38,2,FALSE)</f>
        <v xml:space="preserve"> </v>
      </c>
      <c r="C31" s="123"/>
      <c r="D31" s="123"/>
      <c r="E31" s="162"/>
      <c r="F31" s="164"/>
      <c r="G31" s="164"/>
      <c r="H31" s="164"/>
      <c r="I31" s="165"/>
      <c r="J31" s="256"/>
      <c r="K31" s="256"/>
      <c r="L31" s="163"/>
      <c r="M31" s="26"/>
      <c r="N31" s="27"/>
      <c r="P31" t="e">
        <f>IF(N31=Секц.1!AV31,"Ок","Ошибка")</f>
        <v>#REF!</v>
      </c>
    </row>
    <row r="32" spans="1:16" hidden="1">
      <c r="A32" s="121">
        <f>Секц.1!A32</f>
        <v>0</v>
      </c>
      <c r="B32" s="122" t="str">
        <f>VLOOKUP(A32,'Уч-ки'!$B$8:$H$38,2,FALSE)</f>
        <v xml:space="preserve"> </v>
      </c>
      <c r="C32" s="123"/>
      <c r="D32" s="123"/>
      <c r="E32" s="162"/>
      <c r="F32" s="164"/>
      <c r="G32" s="164"/>
      <c r="H32" s="164"/>
      <c r="I32" s="165"/>
      <c r="J32" s="256"/>
      <c r="K32" s="256"/>
      <c r="L32" s="163"/>
      <c r="M32" s="26"/>
      <c r="N32" s="27"/>
      <c r="P32" t="e">
        <f>IF(N32=Секц.1!AV32,"Ок","Ошибка")</f>
        <v>#REF!</v>
      </c>
    </row>
    <row r="33" spans="1:16" hidden="1">
      <c r="A33" s="121">
        <f>Секц.1!A33</f>
        <v>0</v>
      </c>
      <c r="B33" s="122" t="str">
        <f>VLOOKUP(A33,'Уч-ки'!$B$8:$H$38,2,FALSE)</f>
        <v xml:space="preserve"> </v>
      </c>
      <c r="C33" s="123"/>
      <c r="D33" s="123"/>
      <c r="E33" s="162"/>
      <c r="F33" s="164"/>
      <c r="G33" s="164"/>
      <c r="H33" s="164"/>
      <c r="I33" s="165"/>
      <c r="J33" s="256"/>
      <c r="K33" s="256"/>
      <c r="L33" s="163"/>
      <c r="M33" s="26"/>
      <c r="N33" s="27"/>
      <c r="P33" t="e">
        <f>IF(N33=Секц.1!AV33,"Ок","Ошибка")</f>
        <v>#REF!</v>
      </c>
    </row>
    <row r="34" spans="1:16" hidden="1">
      <c r="A34" s="121">
        <f>Секц.1!A34</f>
        <v>0</v>
      </c>
      <c r="B34" s="122" t="str">
        <f>VLOOKUP(A34,'Уч-ки'!$B$8:$H$38,2,FALSE)</f>
        <v xml:space="preserve"> </v>
      </c>
      <c r="C34" s="123"/>
      <c r="D34" s="123"/>
      <c r="E34" s="162"/>
      <c r="F34" s="164"/>
      <c r="G34" s="164"/>
      <c r="H34" s="164"/>
      <c r="I34" s="165"/>
      <c r="J34" s="256"/>
      <c r="K34" s="256"/>
      <c r="L34" s="163"/>
      <c r="M34" s="26"/>
      <c r="N34" s="27"/>
      <c r="P34" t="e">
        <f>IF(N34=Секц.1!AV34,"Ок","Ошибка")</f>
        <v>#REF!</v>
      </c>
    </row>
    <row r="35" spans="1:16" hidden="1">
      <c r="A35" s="121">
        <f>Секц.1!A35</f>
        <v>0</v>
      </c>
      <c r="B35" s="122" t="str">
        <f>VLOOKUP(A35,'Уч-ки'!$B$8:$H$38,2,FALSE)</f>
        <v xml:space="preserve"> </v>
      </c>
      <c r="C35" s="123"/>
      <c r="D35" s="123"/>
      <c r="E35" s="162"/>
      <c r="F35" s="164"/>
      <c r="G35" s="164"/>
      <c r="H35" s="164"/>
      <c r="I35" s="165"/>
      <c r="J35" s="256"/>
      <c r="K35" s="256"/>
      <c r="L35" s="163"/>
      <c r="M35" s="26"/>
      <c r="N35" s="27"/>
      <c r="P35" t="e">
        <f>IF(N35=Секц.1!AV35,"Ок","Ошибка")</f>
        <v>#REF!</v>
      </c>
    </row>
    <row r="36" spans="1:16" hidden="1">
      <c r="A36" s="121">
        <f>Секц.1!A36</f>
        <v>0</v>
      </c>
      <c r="B36" s="122" t="str">
        <f>VLOOKUP(A36,'Уч-ки'!$B$8:$H$38,2,FALSE)</f>
        <v xml:space="preserve"> </v>
      </c>
      <c r="C36" s="123"/>
      <c r="D36" s="123"/>
      <c r="E36" s="162"/>
      <c r="F36" s="164"/>
      <c r="G36" s="164"/>
      <c r="H36" s="164"/>
      <c r="I36" s="165"/>
      <c r="J36" s="256"/>
      <c r="K36" s="256"/>
      <c r="L36" s="163"/>
      <c r="M36" s="26"/>
      <c r="N36" s="27"/>
      <c r="P36" t="e">
        <f>IF(N36=Секц.1!AV36,"Ок","Ошибка")</f>
        <v>#REF!</v>
      </c>
    </row>
    <row r="37" spans="1:16" hidden="1">
      <c r="A37" s="121">
        <f>Секц.1!A37</f>
        <v>0</v>
      </c>
      <c r="B37" s="122" t="str">
        <f>VLOOKUP(A37,'Уч-ки'!$B$8:$H$38,2,FALSE)</f>
        <v xml:space="preserve"> </v>
      </c>
      <c r="C37" s="123"/>
      <c r="D37" s="123"/>
      <c r="E37" s="162"/>
      <c r="F37" s="164"/>
      <c r="G37" s="164"/>
      <c r="H37" s="164"/>
      <c r="I37" s="165"/>
      <c r="J37" s="256"/>
      <c r="K37" s="256"/>
      <c r="L37" s="163"/>
      <c r="M37" s="26"/>
      <c r="N37" s="27"/>
      <c r="P37" t="e">
        <f>IF(N37=Секц.1!AV37,"Ок","Ошибка")</f>
        <v>#REF!</v>
      </c>
    </row>
    <row r="38" spans="1:16" hidden="1">
      <c r="A38" s="121">
        <f>Секц.1!A38</f>
        <v>0</v>
      </c>
      <c r="B38" s="122" t="str">
        <f>VLOOKUP(A38,'Уч-ки'!$B$8:$H$38,2,FALSE)</f>
        <v xml:space="preserve"> </v>
      </c>
      <c r="C38" s="123"/>
      <c r="D38" s="123"/>
      <c r="E38" s="162"/>
      <c r="F38" s="164"/>
      <c r="G38" s="164"/>
      <c r="H38" s="164"/>
      <c r="I38" s="165"/>
      <c r="J38" s="256"/>
      <c r="K38" s="256"/>
      <c r="L38" s="163"/>
      <c r="M38" s="26"/>
      <c r="N38" s="27"/>
      <c r="P38" t="e">
        <f>IF(N38=Секц.1!AV38,"Ок","Ошибка")</f>
        <v>#REF!</v>
      </c>
    </row>
    <row r="39" spans="1:16" ht="3" customHeight="1"/>
    <row r="40" spans="1:16" ht="17.45" customHeight="1">
      <c r="B40" s="11" t="s">
        <v>30</v>
      </c>
      <c r="C40" s="1"/>
      <c r="D40" s="1"/>
    </row>
    <row r="41" spans="1:16" ht="1.1499999999999999" customHeight="1"/>
    <row r="42" spans="1:16" ht="18">
      <c r="B42" s="28" t="s">
        <v>16</v>
      </c>
    </row>
  </sheetData>
  <mergeCells count="1">
    <mergeCell ref="F4:H4"/>
  </mergeCells>
  <printOptions horizontalCentered="1"/>
  <pageMargins left="0.19685039370078741" right="0.19685039370078741" top="0.19685039370078741" bottom="0.19685039370078741" header="0.51181102362204722" footer="0.51181102362204722"/>
  <pageSetup paperSize="9" orientation="landscape" horizontalDpi="7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0"/>
  <sheetViews>
    <sheetView tabSelected="1" view="pageBreakPreview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O12" sqref="O12"/>
    </sheetView>
  </sheetViews>
  <sheetFormatPr defaultRowHeight="15.75"/>
  <cols>
    <col min="1" max="1" width="4.7109375" style="3" customWidth="1"/>
    <col min="2" max="2" width="4.7109375" style="16" customWidth="1"/>
    <col min="3" max="3" width="32.7109375" customWidth="1"/>
    <col min="4" max="4" width="24.28515625" style="3" customWidth="1"/>
    <col min="5" max="5" width="13.7109375" style="3" customWidth="1"/>
    <col min="6" max="6" width="18.85546875" style="3" customWidth="1"/>
    <col min="7" max="8" width="8.42578125" customWidth="1"/>
    <col min="9" max="9" width="8.7109375" style="12" customWidth="1"/>
    <col min="10" max="10" width="8.7109375" style="12" hidden="1" customWidth="1"/>
    <col min="11" max="11" width="14.5703125" style="59" customWidth="1"/>
    <col min="12" max="14" width="7.7109375" style="59" hidden="1" customWidth="1"/>
    <col min="15" max="15" width="15" style="59" customWidth="1"/>
    <col min="16" max="16" width="11.85546875" style="59" hidden="1" customWidth="1"/>
    <col min="17" max="21" width="7.7109375" style="59" hidden="1" customWidth="1"/>
  </cols>
  <sheetData>
    <row r="1" spans="1:21">
      <c r="A1" s="71" t="s">
        <v>44</v>
      </c>
      <c r="D1" s="105" t="s">
        <v>157</v>
      </c>
      <c r="M1" s="62"/>
      <c r="N1" s="60"/>
      <c r="O1" s="60"/>
      <c r="P1" s="60"/>
      <c r="Q1" s="62"/>
      <c r="R1" s="60"/>
      <c r="S1" s="60"/>
      <c r="T1" s="60"/>
      <c r="U1" s="60"/>
    </row>
    <row r="2" spans="1:21" s="1" customFormat="1" ht="22.15" customHeight="1" thickBot="1">
      <c r="A2" s="19" t="s">
        <v>86</v>
      </c>
      <c r="B2"/>
      <c r="C2"/>
      <c r="D2" s="191"/>
      <c r="E2" s="3"/>
      <c r="F2" s="3"/>
      <c r="G2"/>
      <c r="H2"/>
      <c r="I2" s="12"/>
      <c r="J2" s="12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s="1" customFormat="1" ht="18" customHeight="1">
      <c r="A3" s="28" t="s">
        <v>24</v>
      </c>
      <c r="C3"/>
      <c r="D3" s="120" t="s">
        <v>66</v>
      </c>
      <c r="E3" s="3"/>
      <c r="F3" s="145">
        <v>44933.904861111114</v>
      </c>
      <c r="G3"/>
      <c r="H3"/>
      <c r="I3" s="12"/>
      <c r="J3" s="12"/>
      <c r="K3" s="242" t="s">
        <v>33</v>
      </c>
      <c r="L3" s="243"/>
      <c r="M3" s="236" t="s">
        <v>126</v>
      </c>
      <c r="N3" s="237"/>
      <c r="O3" s="237"/>
      <c r="P3" s="233"/>
      <c r="Q3" s="236" t="s">
        <v>48</v>
      </c>
      <c r="R3" s="237"/>
      <c r="S3" s="237"/>
      <c r="T3" s="233"/>
      <c r="U3" s="233"/>
    </row>
    <row r="4" spans="1:21" s="1" customFormat="1" ht="6" hidden="1" customHeight="1">
      <c r="A4" s="28"/>
      <c r="C4"/>
      <c r="D4" s="3"/>
      <c r="E4" s="3"/>
      <c r="F4" s="3"/>
      <c r="G4"/>
      <c r="H4"/>
      <c r="I4" s="12"/>
      <c r="J4" s="12"/>
      <c r="K4" s="244"/>
      <c r="L4" s="245"/>
      <c r="M4" s="238"/>
      <c r="N4" s="239"/>
      <c r="O4" s="239"/>
      <c r="P4" s="234"/>
      <c r="Q4" s="238"/>
      <c r="R4" s="239"/>
      <c r="S4" s="239"/>
      <c r="T4" s="234"/>
      <c r="U4" s="234"/>
    </row>
    <row r="5" spans="1:21" s="1" customFormat="1" ht="4.9000000000000004" hidden="1" customHeight="1">
      <c r="A5" s="28"/>
      <c r="C5"/>
      <c r="D5" s="3"/>
      <c r="E5" s="3"/>
      <c r="F5" s="3"/>
      <c r="G5"/>
      <c r="H5"/>
      <c r="I5" s="47"/>
      <c r="J5" s="47"/>
      <c r="K5" s="244"/>
      <c r="L5" s="245"/>
      <c r="M5" s="238"/>
      <c r="N5" s="239"/>
      <c r="O5" s="239"/>
      <c r="P5" s="234"/>
      <c r="Q5" s="238"/>
      <c r="R5" s="239"/>
      <c r="S5" s="239"/>
      <c r="T5" s="234"/>
      <c r="U5" s="234"/>
    </row>
    <row r="6" spans="1:21" s="1" customFormat="1" ht="3.6" customHeight="1" thickBot="1">
      <c r="A6" s="3"/>
      <c r="B6"/>
      <c r="C6"/>
      <c r="D6" s="3"/>
      <c r="E6" s="3"/>
      <c r="F6" s="3"/>
      <c r="G6"/>
      <c r="H6"/>
      <c r="I6" s="12"/>
      <c r="J6" s="12"/>
      <c r="K6" s="244"/>
      <c r="L6" s="245"/>
      <c r="M6" s="240"/>
      <c r="N6" s="241"/>
      <c r="O6" s="241"/>
      <c r="P6" s="235"/>
      <c r="Q6" s="240"/>
      <c r="R6" s="241"/>
      <c r="S6" s="241"/>
      <c r="T6" s="235"/>
      <c r="U6" s="235"/>
    </row>
    <row r="7" spans="1:21" s="1" customFormat="1" ht="38.25">
      <c r="A7" s="56" t="s">
        <v>27</v>
      </c>
      <c r="B7" s="56" t="s">
        <v>35</v>
      </c>
      <c r="C7" s="56" t="s">
        <v>53</v>
      </c>
      <c r="D7" s="56" t="s">
        <v>25</v>
      </c>
      <c r="E7" s="56" t="s">
        <v>5</v>
      </c>
      <c r="F7" s="56" t="s">
        <v>4</v>
      </c>
      <c r="G7" s="57" t="s">
        <v>26</v>
      </c>
      <c r="H7" s="57" t="s">
        <v>125</v>
      </c>
      <c r="I7" s="106" t="s">
        <v>9</v>
      </c>
      <c r="J7" s="187" t="s">
        <v>59</v>
      </c>
      <c r="K7" s="108" t="s">
        <v>28</v>
      </c>
      <c r="L7" s="109" t="s">
        <v>29</v>
      </c>
      <c r="M7" s="108" t="s">
        <v>46</v>
      </c>
      <c r="N7" s="61" t="s">
        <v>34</v>
      </c>
      <c r="O7" s="58" t="s">
        <v>28</v>
      </c>
      <c r="P7" s="109" t="s">
        <v>29</v>
      </c>
      <c r="Q7" s="108" t="s">
        <v>46</v>
      </c>
      <c r="R7" s="61" t="s">
        <v>34</v>
      </c>
      <c r="S7" s="58" t="s">
        <v>28</v>
      </c>
      <c r="T7" s="109" t="s">
        <v>29</v>
      </c>
      <c r="U7" s="117" t="s">
        <v>29</v>
      </c>
    </row>
    <row r="8" spans="1:21" s="92" customFormat="1" ht="31.9" customHeight="1">
      <c r="A8" s="99">
        <v>1</v>
      </c>
      <c r="B8" s="100">
        <f>'Уч-ки'!B8</f>
        <v>1</v>
      </c>
      <c r="C8" s="41" t="str">
        <f>VLOOKUP(B8,'Уч-ки'!$B$8:$H$38,2,FALSE)&amp;"                                "&amp;VLOOKUP(B8,'Уч-ки'!$B$8:$H$38,4,FALSE)</f>
        <v>ЛЕБЕДЬКО Дмитрий                                ЛЕБЕДЬКО Виктория</v>
      </c>
      <c r="D8" s="69" t="str">
        <f>VLOOKUP(B8,'Уч-ки'!$B$8:$H$38,3,FALSE)&amp;"                           "&amp;VLOOKUP(B8,'Уч-ки'!$B$8:$H$38,5,FALSE)</f>
        <v>С-Петербург                           С-Петербург</v>
      </c>
      <c r="E8" s="104" t="str">
        <f>VLOOKUP(B8,'Уч-ки'!$B$8:$H$38,6,FALSE)</f>
        <v>Лада Калина</v>
      </c>
      <c r="F8" s="104" t="str">
        <f>VLOOKUP(B8,'Уч-ки'!$B$8:$H$38,7,FALSE)</f>
        <v>Абс</v>
      </c>
      <c r="G8" s="101">
        <f>VLOOKUP(B8,Секц.1!$A$8:$AV$38,48,FALSE)</f>
        <v>603.10000000000446</v>
      </c>
      <c r="H8" s="101">
        <f>VLOOKUP(B8,Секц.2!$A$8:$AQ$38,43,FALSE)</f>
        <v>1382.4999999999791</v>
      </c>
      <c r="I8" s="107">
        <f>IF(TYPE(G8)=1,SUM(G8:H8),IF(G8="н/с","н/с","сход"))</f>
        <v>1985.5999999999835</v>
      </c>
      <c r="J8" s="189">
        <f t="shared" ref="J8:J13" si="0">IF(I8="н/с",1,0)</f>
        <v>0</v>
      </c>
      <c r="K8" s="110">
        <v>1</v>
      </c>
      <c r="L8" s="111">
        <f>IF(TYPE(K8)=1,ROUND(80-((80-1)*(SQRT(K8)-1)/(SQRT($K$39)-1)),0),0)</f>
        <v>80</v>
      </c>
      <c r="M8" s="113">
        <f>IF(J8=1,0,IF(ISERR(SEARCH("Студ.",F8))=FALSE,1,0))</f>
        <v>0</v>
      </c>
      <c r="N8" s="103" t="str">
        <f t="shared" ref="N8:N38" si="1">IF(M8=1,I8," ")</f>
        <v xml:space="preserve"> </v>
      </c>
      <c r="O8" s="102" t="str">
        <f>IF(TYPE(N8)=1,RANK(N8,$N$8:$N$15,-1)," ")</f>
        <v xml:space="preserve"> </v>
      </c>
      <c r="P8" s="111" t="str">
        <f>IF(TYPE(O8)=1,ROUND($N$39-(($N$39-1)*(SQRT(O8)-1)/(SQRT($O$39)-1)),0)," ")</f>
        <v xml:space="preserve"> </v>
      </c>
      <c r="Q8" s="113">
        <f>IF(J8=1,0,IF(ISERR(SEARCH("ГАСУ",F8))=FALSE,1,0))</f>
        <v>0</v>
      </c>
      <c r="R8" s="103" t="str">
        <f t="shared" ref="R8:R38" si="2">IF(Q8=1,I8," ")</f>
        <v xml:space="preserve"> </v>
      </c>
      <c r="S8" s="102" t="str">
        <f>IF(TYPE(R8)=1,RANK(R8,$R$8:$R$24,-1)," ")</f>
        <v xml:space="preserve"> </v>
      </c>
      <c r="T8" s="111" t="str">
        <f t="shared" ref="T8:T38" si="3">IF(TYPE(S8)=1,ROUND($R$39-(($R$39-1)*(SQRT(S8)-1)/(SQRT($S$39)-1)),0)," ")</f>
        <v xml:space="preserve"> </v>
      </c>
      <c r="U8" s="118" t="str">
        <f>IF(TYPE(#REF!)=1,ROUND(#REF!-((#REF!-1)*(SQRT(#REF!)-1)/(SQRT(#REF!)-1)),0)," ")</f>
        <v xml:space="preserve"> </v>
      </c>
    </row>
    <row r="9" spans="1:21" s="92" customFormat="1" ht="31.9" customHeight="1">
      <c r="A9" s="99">
        <v>1</v>
      </c>
      <c r="B9" s="100">
        <f>'Уч-ки'!B12</f>
        <v>5</v>
      </c>
      <c r="C9" s="41" t="str">
        <f>VLOOKUP(B9,'Уч-ки'!$B$8:$H$38,2,FALSE)&amp;"                                "&amp;VLOOKUP(B9,'Уч-ки'!$B$8:$H$38,4,FALSE)</f>
        <v>ХАПОНЕН Татьяна                                КОМАРОВА Светлана</v>
      </c>
      <c r="D9" s="69" t="str">
        <f>VLOOKUP(B9,'Уч-ки'!$B$8:$H$38,3,FALSE)&amp;"                           "&amp;VLOOKUP(B9,'Уч-ки'!$B$8:$H$38,5,FALSE)</f>
        <v>С-Петербург                           С-Петербург</v>
      </c>
      <c r="E9" s="104" t="str">
        <f>VLOOKUP(B9,'Уч-ки'!$B$8:$H$38,6,FALSE)</f>
        <v>Рено</v>
      </c>
      <c r="F9" s="104" t="str">
        <f>VLOOKUP(B9,'Уч-ки'!$B$8:$H$38,7,FALSE)</f>
        <v>Абс, Новичок</v>
      </c>
      <c r="G9" s="101">
        <f>VLOOKUP(B9,Секц.1!$A$8:$AV$38,48,FALSE)</f>
        <v>369.29999999999973</v>
      </c>
      <c r="H9" s="101">
        <f>VLOOKUP(B9,Секц.2!$A$8:$AQ$38,43,FALSE)</f>
        <v>1827.199999999998</v>
      </c>
      <c r="I9" s="107">
        <f>IF(TYPE(G9)=1,SUM(G9:H9),IF(G9="н/с","н/с","сход"))</f>
        <v>2196.4999999999977</v>
      </c>
      <c r="J9" s="189">
        <f t="shared" ref="J9:J13" si="4">IF(I9="н/с",1,0)</f>
        <v>0</v>
      </c>
      <c r="K9" s="110">
        <v>2</v>
      </c>
      <c r="L9" s="111">
        <f t="shared" ref="L9:L13" si="5">IF(TYPE(K9)=1,ROUND(80-((80-1)*(SQRT(K9)-1)/(SQRT($K$39)-1)),0),0)</f>
        <v>57</v>
      </c>
      <c r="M9" s="113">
        <f t="shared" ref="M9:M13" si="6">IF(J9=1,0,IF(ISERR(SEARCH("Студ.",F9))=FALSE,1,0))</f>
        <v>0</v>
      </c>
      <c r="N9" s="103" t="str">
        <f t="shared" ref="N9:N13" si="7">IF(M9=1,I9," ")</f>
        <v xml:space="preserve"> </v>
      </c>
      <c r="O9" s="102">
        <v>1</v>
      </c>
      <c r="P9" s="111" t="e">
        <f t="shared" ref="P9:P13" si="8">IF(TYPE(O9)=1,ROUND($N$39-(($N$39-1)*(SQRT(O9)-1)/(SQRT($O$39)-1)),0)," ")</f>
        <v>#REF!</v>
      </c>
      <c r="Q9" s="113">
        <f t="shared" ref="Q9:Q13" si="9">IF(J9=1,0,IF(ISERR(SEARCH("ГАСУ",F9))=FALSE,1,0))</f>
        <v>0</v>
      </c>
      <c r="R9" s="103" t="str">
        <f t="shared" ref="R9:R13" si="10">IF(Q9=1,I9," ")</f>
        <v xml:space="preserve"> </v>
      </c>
      <c r="S9" s="102" t="str">
        <f t="shared" ref="S9:S13" si="11">IF(TYPE(R9)=1,RANK(R9,$R$8:$R$24,-1)," ")</f>
        <v xml:space="preserve"> </v>
      </c>
      <c r="T9" s="111" t="str">
        <f t="shared" ref="T9:T13" si="12">IF(TYPE(S9)=1,ROUND($R$39-(($R$39-1)*(SQRT(S9)-1)/(SQRT($S$39)-1)),0)," ")</f>
        <v xml:space="preserve"> </v>
      </c>
      <c r="U9" s="118" t="str">
        <f>IF(TYPE(#REF!)=1,ROUND(#REF!-((#REF!-1)*(SQRT(#REF!)-1)/(SQRT(#REF!)-1)),0)," ")</f>
        <v xml:space="preserve"> </v>
      </c>
    </row>
    <row r="10" spans="1:21" s="92" customFormat="1" ht="31.9" customHeight="1">
      <c r="A10" s="99">
        <v>1</v>
      </c>
      <c r="B10" s="100">
        <f>'Уч-ки'!B11</f>
        <v>4</v>
      </c>
      <c r="C10" s="41" t="str">
        <f>VLOOKUP(B10,'Уч-ки'!$B$8:$H$38,2,FALSE)&amp;"                                "&amp;VLOOKUP(B10,'Уч-ки'!$B$8:$H$38,4,FALSE)</f>
        <v>КОРОЛЕВА Любовь                                КОРОЛЕВА Ксения</v>
      </c>
      <c r="D10" s="69" t="str">
        <f>VLOOKUP(B10,'Уч-ки'!$B$8:$H$38,3,FALSE)&amp;"                           "&amp;VLOOKUP(B10,'Уч-ки'!$B$8:$H$38,5,FALSE)</f>
        <v>ЛО, Тосно                           ЛО, Тосно</v>
      </c>
      <c r="E10" s="104" t="str">
        <f>VLOOKUP(B10,'Уч-ки'!$B$8:$H$38,6,FALSE)</f>
        <v>Рено Дастер</v>
      </c>
      <c r="F10" s="104" t="str">
        <f>VLOOKUP(B10,'Уч-ки'!$B$8:$H$38,7,FALSE)</f>
        <v>Абс, Новичок</v>
      </c>
      <c r="G10" s="101">
        <f>VLOOKUP(B10,Секц.1!$A$8:$AV$38,48,FALSE)</f>
        <v>1189.5999999999983</v>
      </c>
      <c r="H10" s="101">
        <f>VLOOKUP(B10,Секц.2!$A$8:$AQ$38,43,FALSE)</f>
        <v>1258.300000000007</v>
      </c>
      <c r="I10" s="107">
        <f>IF(TYPE(G10)=1,SUM(G10:H10),IF(G10="н/с","н/с","сход"))</f>
        <v>2447.9000000000051</v>
      </c>
      <c r="J10" s="189">
        <f t="shared" si="4"/>
        <v>0</v>
      </c>
      <c r="K10" s="110">
        <v>3</v>
      </c>
      <c r="L10" s="111">
        <f t="shared" si="5"/>
        <v>40</v>
      </c>
      <c r="M10" s="113">
        <f t="shared" si="6"/>
        <v>0</v>
      </c>
      <c r="N10" s="103" t="str">
        <f t="shared" si="7"/>
        <v xml:space="preserve"> </v>
      </c>
      <c r="O10" s="102">
        <v>3</v>
      </c>
      <c r="P10" s="111" t="e">
        <f t="shared" si="8"/>
        <v>#REF!</v>
      </c>
      <c r="Q10" s="113">
        <f t="shared" si="9"/>
        <v>0</v>
      </c>
      <c r="R10" s="103" t="str">
        <f t="shared" si="10"/>
        <v xml:space="preserve"> </v>
      </c>
      <c r="S10" s="102" t="str">
        <f t="shared" si="11"/>
        <v xml:space="preserve"> </v>
      </c>
      <c r="T10" s="111" t="str">
        <f t="shared" si="12"/>
        <v xml:space="preserve"> </v>
      </c>
      <c r="U10" s="118" t="str">
        <f>IF(TYPE(#REF!)=1,ROUND(#REF!-((#REF!-1)*(SQRT(#REF!)-1)/(SQRT(#REF!)-1)),0)," ")</f>
        <v xml:space="preserve"> </v>
      </c>
    </row>
    <row r="11" spans="1:21" s="92" customFormat="1" ht="31.9" customHeight="1">
      <c r="A11" s="99">
        <v>1</v>
      </c>
      <c r="B11" s="100">
        <f>'Уч-ки'!B13</f>
        <v>13</v>
      </c>
      <c r="C11" s="41" t="str">
        <f>VLOOKUP(B11,'Уч-ки'!$B$8:$H$38,2,FALSE)&amp;"                                "&amp;VLOOKUP(B11,'Уч-ки'!$B$8:$H$38,4,FALSE)</f>
        <v>ВИТВИЦКИЙ Денис                                ВИТВИЦКИЙ Егор</v>
      </c>
      <c r="D11" s="69" t="str">
        <f>VLOOKUP(B11,'Уч-ки'!$B$8:$H$38,3,FALSE)&amp;"                           "&amp;VLOOKUP(B11,'Уч-ки'!$B$8:$H$38,5,FALSE)</f>
        <v>С-Петербург                           С-Петербург</v>
      </c>
      <c r="E11" s="104" t="str">
        <f>VLOOKUP(B11,'Уч-ки'!$B$8:$H$38,6,FALSE)</f>
        <v>VW</v>
      </c>
      <c r="F11" s="104" t="str">
        <f>VLOOKUP(B11,'Уч-ки'!$B$8:$H$38,7,FALSE)</f>
        <v>Абс, Новичок</v>
      </c>
      <c r="G11" s="101">
        <f>VLOOKUP(B11,Секц.1!$A$8:$AV$38,48,FALSE)</f>
        <v>779.29999999999529</v>
      </c>
      <c r="H11" s="101">
        <f>VLOOKUP(B11,Секц.2!$A$8:$AQ$38,43,FALSE)</f>
        <v>1926.1999999999982</v>
      </c>
      <c r="I11" s="107">
        <f>IF(TYPE(G11)=1,SUM(G11:H11),IF(G11="н/с","н/с","сход"))</f>
        <v>2705.4999999999936</v>
      </c>
      <c r="J11" s="189">
        <f t="shared" si="4"/>
        <v>0</v>
      </c>
      <c r="K11" s="110">
        <v>4</v>
      </c>
      <c r="L11" s="111">
        <f t="shared" si="5"/>
        <v>25</v>
      </c>
      <c r="M11" s="113">
        <f t="shared" si="6"/>
        <v>0</v>
      </c>
      <c r="N11" s="103" t="str">
        <f t="shared" si="7"/>
        <v xml:space="preserve"> </v>
      </c>
      <c r="O11" s="102">
        <v>2</v>
      </c>
      <c r="P11" s="111" t="e">
        <f t="shared" si="8"/>
        <v>#REF!</v>
      </c>
      <c r="Q11" s="113">
        <f t="shared" si="9"/>
        <v>0</v>
      </c>
      <c r="R11" s="103" t="str">
        <f t="shared" si="10"/>
        <v xml:space="preserve"> </v>
      </c>
      <c r="S11" s="102" t="str">
        <f t="shared" si="11"/>
        <v xml:space="preserve"> </v>
      </c>
      <c r="T11" s="111" t="str">
        <f t="shared" si="12"/>
        <v xml:space="preserve"> </v>
      </c>
      <c r="U11" s="118" t="str">
        <f>IF(TYPE(#REF!)=1,ROUND(#REF!-((#REF!-1)*(SQRT(#REF!)-1)/(SQRT(#REF!)-1)),0)," ")</f>
        <v xml:space="preserve"> </v>
      </c>
    </row>
    <row r="12" spans="1:21" s="92" customFormat="1" ht="31.9" customHeight="1">
      <c r="A12" s="99">
        <v>1</v>
      </c>
      <c r="B12" s="100">
        <f>'Уч-ки'!B10</f>
        <v>3</v>
      </c>
      <c r="C12" s="41" t="str">
        <f>VLOOKUP(B12,'Уч-ки'!$B$8:$H$38,2,FALSE)&amp;"                                "&amp;VLOOKUP(B12,'Уч-ки'!$B$8:$H$38,4,FALSE)</f>
        <v>ЮРАХНО Евгений                                ЮРАХНО Анна</v>
      </c>
      <c r="D12" s="69" t="str">
        <f>VLOOKUP(B12,'Уч-ки'!$B$8:$H$38,3,FALSE)&amp;"                           "&amp;VLOOKUP(B12,'Уч-ки'!$B$8:$H$38,5,FALSE)</f>
        <v>С-Петербург                           С-Петербург</v>
      </c>
      <c r="E12" s="104" t="str">
        <f>VLOOKUP(B12,'Уч-ки'!$B$8:$H$38,6,FALSE)</f>
        <v>Мазда</v>
      </c>
      <c r="F12" s="104" t="str">
        <f>VLOOKUP(B12,'Уч-ки'!$B$8:$H$38,7,FALSE)</f>
        <v>Абс</v>
      </c>
      <c r="G12" s="101">
        <f>VLOOKUP(B12,Секц.1!$A$8:$AV$38,48,FALSE)</f>
        <v>678.49999999999898</v>
      </c>
      <c r="H12" s="101">
        <f>VLOOKUP(B12,Секц.2!$A$8:$AQ$38,43,FALSE)</f>
        <v>2891.800000000017</v>
      </c>
      <c r="I12" s="107">
        <f>IF(TYPE(G12)=1,SUM(G12:H12),IF(G12="н/с","н/с","сход"))</f>
        <v>3570.3000000000161</v>
      </c>
      <c r="J12" s="189">
        <f t="shared" si="4"/>
        <v>0</v>
      </c>
      <c r="K12" s="110">
        <v>5</v>
      </c>
      <c r="L12" s="111">
        <f t="shared" si="5"/>
        <v>13</v>
      </c>
      <c r="M12" s="113">
        <f t="shared" si="6"/>
        <v>0</v>
      </c>
      <c r="N12" s="103" t="str">
        <f t="shared" si="7"/>
        <v xml:space="preserve"> </v>
      </c>
      <c r="O12" s="102" t="str">
        <f t="shared" ref="O9:O13" si="13">IF(TYPE(N12)=1,RANK(N12,$N$8:$N$15,-1)," ")</f>
        <v xml:space="preserve"> </v>
      </c>
      <c r="P12" s="111" t="str">
        <f t="shared" si="8"/>
        <v xml:space="preserve"> </v>
      </c>
      <c r="Q12" s="113">
        <f t="shared" si="9"/>
        <v>0</v>
      </c>
      <c r="R12" s="103" t="str">
        <f t="shared" si="10"/>
        <v xml:space="preserve"> </v>
      </c>
      <c r="S12" s="102" t="str">
        <f t="shared" si="11"/>
        <v xml:space="preserve"> </v>
      </c>
      <c r="T12" s="111" t="str">
        <f t="shared" si="12"/>
        <v xml:space="preserve"> </v>
      </c>
      <c r="U12" s="118" t="str">
        <f>IF(TYPE(#REF!)=1,ROUND(#REF!-((#REF!-1)*(SQRT(#REF!)-1)/(SQRT(#REF!)-1)),0)," ")</f>
        <v xml:space="preserve"> </v>
      </c>
    </row>
    <row r="13" spans="1:21" s="92" customFormat="1" ht="31.9" customHeight="1" thickBot="1">
      <c r="A13" s="99">
        <v>1</v>
      </c>
      <c r="B13" s="100">
        <f>'Уч-ки'!B9</f>
        <v>2</v>
      </c>
      <c r="C13" s="41" t="str">
        <f>VLOOKUP(B13,'Уч-ки'!$B$8:$H$38,2,FALSE)&amp;"                                "&amp;VLOOKUP(B13,'Уч-ки'!$B$8:$H$38,4,FALSE)</f>
        <v>ПЕТРОВ Георгий                                ПРОКОФЬЕВА Ольга</v>
      </c>
      <c r="D13" s="69" t="str">
        <f>VLOOKUP(B13,'Уч-ки'!$B$8:$H$38,3,FALSE)&amp;"                           "&amp;VLOOKUP(B13,'Уч-ки'!$B$8:$H$38,5,FALSE)</f>
        <v>С-Петербург                           С-Петербург</v>
      </c>
      <c r="E13" s="104" t="str">
        <f>VLOOKUP(B13,'Уч-ки'!$B$8:$H$38,6,FALSE)</f>
        <v>Мазда</v>
      </c>
      <c r="F13" s="104" t="str">
        <f>VLOOKUP(B13,'Уч-ки'!$B$8:$H$38,7,FALSE)</f>
        <v>Абс</v>
      </c>
      <c r="G13" s="101">
        <f>VLOOKUP(B13,Секц.1!$A$8:$AV$38,48,FALSE)</f>
        <v>535.0000000000075</v>
      </c>
      <c r="H13" s="101">
        <f>VLOOKUP(B13,Секц.2!$A$8:$AQ$38,43,FALSE)</f>
        <v>4027.4999999999986</v>
      </c>
      <c r="I13" s="107">
        <f>IF(TYPE(G13)=1,SUM(G13:H13),IF(G13="н/с","н/с","сход"))</f>
        <v>4562.5000000000064</v>
      </c>
      <c r="J13" s="189">
        <f t="shared" si="4"/>
        <v>0</v>
      </c>
      <c r="K13" s="110">
        <v>6</v>
      </c>
      <c r="L13" s="111">
        <f t="shared" si="5"/>
        <v>1</v>
      </c>
      <c r="M13" s="113">
        <f t="shared" si="6"/>
        <v>0</v>
      </c>
      <c r="N13" s="103" t="str">
        <f t="shared" si="7"/>
        <v xml:space="preserve"> </v>
      </c>
      <c r="O13" s="102" t="str">
        <f t="shared" si="13"/>
        <v xml:space="preserve"> </v>
      </c>
      <c r="P13" s="111" t="str">
        <f t="shared" si="8"/>
        <v xml:space="preserve"> </v>
      </c>
      <c r="Q13" s="113">
        <f t="shared" si="9"/>
        <v>0</v>
      </c>
      <c r="R13" s="103" t="str">
        <f t="shared" si="10"/>
        <v xml:space="preserve"> </v>
      </c>
      <c r="S13" s="102" t="str">
        <f t="shared" si="11"/>
        <v xml:space="preserve"> </v>
      </c>
      <c r="T13" s="111" t="str">
        <f t="shared" si="12"/>
        <v xml:space="preserve"> </v>
      </c>
      <c r="U13" s="118" t="str">
        <f>IF(TYPE(#REF!)=1,ROUND(#REF!-((#REF!-1)*(SQRT(#REF!)-1)/(SQRT(#REF!)-1)),0)," ")</f>
        <v xml:space="preserve"> </v>
      </c>
    </row>
    <row r="14" spans="1:21" s="92" customFormat="1" ht="31.9" hidden="1" customHeight="1">
      <c r="A14" s="99">
        <f t="shared" ref="A9:A38" si="14">1+A13</f>
        <v>2</v>
      </c>
      <c r="B14" s="100">
        <f>'Уч-ки'!B14</f>
        <v>0</v>
      </c>
      <c r="C14" s="41" t="str">
        <f>VLOOKUP(B14,'Уч-ки'!$B$8:$H$38,2,FALSE)&amp;"                                "&amp;VLOOKUP(B14,'Уч-ки'!$B$8:$H$38,4,FALSE)</f>
        <v xml:space="preserve">                                  </v>
      </c>
      <c r="D14" s="69" t="str">
        <f>VLOOKUP(B14,'Уч-ки'!$B$8:$H$38,3,FALSE)&amp;"                           "&amp;VLOOKUP(B14,'Уч-ки'!$B$8:$H$38,5,FALSE)</f>
        <v>0                           0</v>
      </c>
      <c r="E14" s="104">
        <f>VLOOKUP(B14,'Уч-ки'!$B$8:$H$38,6,FALSE)</f>
        <v>0</v>
      </c>
      <c r="F14" s="104">
        <f>VLOOKUP(B14,'Уч-ки'!$B$8:$H$38,7,FALSE)</f>
        <v>0</v>
      </c>
      <c r="G14" s="101" t="e">
        <f>VLOOKUP(B14,Секц.1!$A$8:$AV$38,138,FALSE)</f>
        <v>#REF!</v>
      </c>
      <c r="H14" s="101" t="e">
        <f>VLOOKUP(C14,Секц.1!$A$8:$AV$38,138,FALSE)</f>
        <v>#N/A</v>
      </c>
      <c r="I14" s="107" t="e">
        <f t="shared" ref="I8:I38" si="15">IF(TYPE(G14)=1,SUM(G14:G14),IF(G14="н/с","н/с","сход"))</f>
        <v>#REF!</v>
      </c>
      <c r="J14" s="189" t="e">
        <f t="shared" ref="J14:J38" si="16">IF(I14="н/с",1,0)</f>
        <v>#REF!</v>
      </c>
      <c r="K14" s="110" t="str">
        <f t="shared" ref="K9:K15" si="17">IF(TYPE(I14)=1,RANK(I14,$I$8:$I$15,-1),"-")</f>
        <v>-</v>
      </c>
      <c r="L14" s="111">
        <f t="shared" ref="L9:L15" si="18">IF(TYPE(K14)=1,ROUND(80-((80-1)*(SQRT(K14)-1)/(SQRT($K$39)-1)),0),0)</f>
        <v>0</v>
      </c>
      <c r="M14" s="113" t="e">
        <f t="shared" ref="M9:M38" si="19">IF(J14=1,0,IF(ISERR(SEARCH("Студ.",F14))=FALSE,1,0))</f>
        <v>#REF!</v>
      </c>
      <c r="N14" s="103" t="e">
        <f t="shared" si="1"/>
        <v>#REF!</v>
      </c>
      <c r="O14" s="102" t="str">
        <f t="shared" ref="O9:O15" si="20">IF(TYPE(N14)=1,RANK(N14,$N$8:$N$15,-1)," ")</f>
        <v xml:space="preserve"> </v>
      </c>
      <c r="P14" s="111" t="str">
        <f t="shared" ref="P9:P38" si="21">IF(TYPE(O14)=1,ROUND($N$39-(($N$39-1)*(SQRT(O14)-1)/(SQRT($O$39)-1)),0)," ")</f>
        <v xml:space="preserve"> </v>
      </c>
      <c r="Q14" s="113" t="e">
        <f t="shared" ref="Q9:Q24" si="22">IF(J14=1,0,IF(ISERR(SEARCH("ГАСУ",F14))=FALSE,1,0))</f>
        <v>#REF!</v>
      </c>
      <c r="R14" s="103" t="e">
        <f t="shared" ref="R9:R24" si="23">IF(Q14=1,I14," ")</f>
        <v>#REF!</v>
      </c>
      <c r="S14" s="102" t="str">
        <f t="shared" ref="S9:S24" si="24">IF(TYPE(R14)=1,RANK(R14,$R$8:$R$24,-1)," ")</f>
        <v xml:space="preserve"> </v>
      </c>
      <c r="T14" s="111" t="str">
        <f t="shared" si="3"/>
        <v xml:space="preserve"> </v>
      </c>
      <c r="U14" s="118" t="str">
        <f>IF(TYPE(#REF!)=1,ROUND(#REF!-((#REF!-1)*(SQRT(#REF!)-1)/(SQRT(#REF!)-1)),0)," ")</f>
        <v xml:space="preserve"> </v>
      </c>
    </row>
    <row r="15" spans="1:21" s="92" customFormat="1" ht="31.9" hidden="1" customHeight="1" thickBot="1">
      <c r="A15" s="99">
        <f t="shared" si="14"/>
        <v>3</v>
      </c>
      <c r="B15" s="100">
        <f>'Уч-ки'!B15</f>
        <v>0</v>
      </c>
      <c r="C15" s="41" t="str">
        <f>VLOOKUP(B15,'Уч-ки'!$B$8:$H$38,2,FALSE)&amp;"                                "&amp;VLOOKUP(B15,'Уч-ки'!$B$8:$H$38,4,FALSE)</f>
        <v xml:space="preserve">                                  </v>
      </c>
      <c r="D15" s="69" t="str">
        <f>VLOOKUP(B15,'Уч-ки'!$B$8:$H$38,3,FALSE)&amp;"                           "&amp;VLOOKUP(B15,'Уч-ки'!$B$8:$H$38,5,FALSE)</f>
        <v>0                           0</v>
      </c>
      <c r="E15" s="104">
        <f>VLOOKUP(B15,'Уч-ки'!$B$8:$H$38,6,FALSE)</f>
        <v>0</v>
      </c>
      <c r="F15" s="104">
        <f>VLOOKUP(B15,'Уч-ки'!$B$8:$H$38,7,FALSE)</f>
        <v>0</v>
      </c>
      <c r="G15" s="101" t="e">
        <f>VLOOKUP(B15,Секц.1!$A$8:$AV$38,138,FALSE)</f>
        <v>#REF!</v>
      </c>
      <c r="H15" s="101" t="e">
        <f>VLOOKUP(C15,Секц.1!$A$8:$AV$38,138,FALSE)</f>
        <v>#N/A</v>
      </c>
      <c r="I15" s="107" t="e">
        <f t="shared" si="15"/>
        <v>#REF!</v>
      </c>
      <c r="J15" s="189" t="e">
        <f t="shared" si="16"/>
        <v>#REF!</v>
      </c>
      <c r="K15" s="110" t="str">
        <f t="shared" si="17"/>
        <v>-</v>
      </c>
      <c r="L15" s="111">
        <f t="shared" si="18"/>
        <v>0</v>
      </c>
      <c r="M15" s="113" t="e">
        <f t="shared" si="19"/>
        <v>#REF!</v>
      </c>
      <c r="N15" s="103" t="e">
        <f t="shared" si="1"/>
        <v>#REF!</v>
      </c>
      <c r="O15" s="102" t="str">
        <f t="shared" si="20"/>
        <v xml:space="preserve"> </v>
      </c>
      <c r="P15" s="111" t="str">
        <f t="shared" si="21"/>
        <v xml:space="preserve"> </v>
      </c>
      <c r="Q15" s="113" t="e">
        <f t="shared" si="22"/>
        <v>#REF!</v>
      </c>
      <c r="R15" s="103" t="e">
        <f t="shared" si="23"/>
        <v>#REF!</v>
      </c>
      <c r="S15" s="102" t="str">
        <f t="shared" si="24"/>
        <v xml:space="preserve"> </v>
      </c>
      <c r="T15" s="111" t="str">
        <f t="shared" si="3"/>
        <v xml:space="preserve"> </v>
      </c>
      <c r="U15" s="118" t="str">
        <f>IF(TYPE(#REF!)=1,ROUND(#REF!-((#REF!-1)*(SQRT(#REF!)-1)/(SQRT(#REF!)-1)),0)," ")</f>
        <v xml:space="preserve"> </v>
      </c>
    </row>
    <row r="16" spans="1:21" s="92" customFormat="1" ht="31.9" hidden="1" customHeight="1">
      <c r="A16" s="99">
        <f t="shared" si="14"/>
        <v>4</v>
      </c>
      <c r="B16" s="100">
        <f>'Уч-ки'!B16</f>
        <v>0</v>
      </c>
      <c r="C16" s="41" t="str">
        <f>VLOOKUP(B16,'Уч-ки'!$B$8:$H$38,2,FALSE)&amp;"                                "&amp;VLOOKUP(B16,'Уч-ки'!$B$8:$H$38,4,FALSE)</f>
        <v xml:space="preserve">                                  </v>
      </c>
      <c r="D16" s="69" t="str">
        <f>VLOOKUP(B16,'Уч-ки'!$B$8:$H$38,3,FALSE)&amp;"                           "&amp;VLOOKUP(B16,'Уч-ки'!$B$8:$H$38,5,FALSE)</f>
        <v>0                           0</v>
      </c>
      <c r="E16" s="104">
        <f>VLOOKUP(B16,'Уч-ки'!$B$8:$H$38,6,FALSE)</f>
        <v>0</v>
      </c>
      <c r="F16" s="104">
        <f>VLOOKUP(B16,'Уч-ки'!$B$8:$H$38,7,FALSE)</f>
        <v>0</v>
      </c>
      <c r="G16" s="101" t="e">
        <f>VLOOKUP(B16,Секц.1!$A$8:$AV$38,138,FALSE)</f>
        <v>#REF!</v>
      </c>
      <c r="H16" s="101" t="e">
        <f>VLOOKUP(C16,Секц.1!$A$8:$AV$38,138,FALSE)</f>
        <v>#N/A</v>
      </c>
      <c r="I16" s="107" t="e">
        <f t="shared" si="15"/>
        <v>#REF!</v>
      </c>
      <c r="J16" s="189" t="e">
        <f t="shared" si="16"/>
        <v>#REF!</v>
      </c>
      <c r="K16" s="110" t="str">
        <f t="shared" ref="K16:K24" si="25">IF(TYPE(I16)=1,RANK(I16,$I$8:$I$24,-1),"-")</f>
        <v>-</v>
      </c>
      <c r="L16" s="111">
        <f t="shared" ref="L16:L38" si="26">IF(TYPE(K16)=1,ROUND(100-((100-1)*(SQRT(K16)-1)/(SQRT($K$39)-1)),0),0)</f>
        <v>0</v>
      </c>
      <c r="M16" s="113" t="e">
        <f t="shared" si="19"/>
        <v>#REF!</v>
      </c>
      <c r="N16" s="103" t="e">
        <f t="shared" si="1"/>
        <v>#REF!</v>
      </c>
      <c r="O16" s="102" t="str">
        <f t="shared" ref="O16:O24" si="27">IF(TYPE(N16)=1,RANK(N16,$N$8:$N$24,-1)," ")</f>
        <v xml:space="preserve"> </v>
      </c>
      <c r="P16" s="111" t="str">
        <f t="shared" si="21"/>
        <v xml:space="preserve"> </v>
      </c>
      <c r="Q16" s="113" t="e">
        <f t="shared" si="22"/>
        <v>#REF!</v>
      </c>
      <c r="R16" s="103" t="e">
        <f t="shared" si="23"/>
        <v>#REF!</v>
      </c>
      <c r="S16" s="102" t="str">
        <f t="shared" si="24"/>
        <v xml:space="preserve"> </v>
      </c>
      <c r="T16" s="111" t="str">
        <f t="shared" si="3"/>
        <v xml:space="preserve"> </v>
      </c>
      <c r="U16" s="118" t="str">
        <f>IF(TYPE(#REF!)=1,ROUND(#REF!-((#REF!-1)*(SQRT(#REF!)-1)/(SQRT(#REF!)-1)),0)," ")</f>
        <v xml:space="preserve"> </v>
      </c>
    </row>
    <row r="17" spans="1:21" s="92" customFormat="1" ht="31.9" hidden="1" customHeight="1">
      <c r="A17" s="99">
        <f t="shared" si="14"/>
        <v>5</v>
      </c>
      <c r="B17" s="100">
        <f>'Уч-ки'!B17</f>
        <v>0</v>
      </c>
      <c r="C17" s="41" t="str">
        <f>VLOOKUP(B17,'Уч-ки'!$B$8:$H$38,2,FALSE)&amp;"                                "&amp;VLOOKUP(B17,'Уч-ки'!$B$8:$H$38,4,FALSE)</f>
        <v xml:space="preserve">                                  </v>
      </c>
      <c r="D17" s="69" t="str">
        <f>VLOOKUP(B17,'Уч-ки'!$B$8:$H$38,3,FALSE)&amp;"                           "&amp;VLOOKUP(B17,'Уч-ки'!$B$8:$H$38,5,FALSE)</f>
        <v>0                           0</v>
      </c>
      <c r="E17" s="104">
        <f>VLOOKUP(B17,'Уч-ки'!$B$8:$H$38,6,FALSE)</f>
        <v>0</v>
      </c>
      <c r="F17" s="104">
        <f>VLOOKUP(B17,'Уч-ки'!$B$8:$H$38,7,FALSE)</f>
        <v>0</v>
      </c>
      <c r="G17" s="101" t="e">
        <f>VLOOKUP(B17,Секц.1!$A$8:$AV$38,138,FALSE)</f>
        <v>#REF!</v>
      </c>
      <c r="H17" s="101" t="e">
        <f>VLOOKUP(C17,Секц.1!$A$8:$AV$38,138,FALSE)</f>
        <v>#N/A</v>
      </c>
      <c r="I17" s="107" t="e">
        <f t="shared" si="15"/>
        <v>#REF!</v>
      </c>
      <c r="J17" s="189" t="e">
        <f t="shared" si="16"/>
        <v>#REF!</v>
      </c>
      <c r="K17" s="110" t="str">
        <f t="shared" si="25"/>
        <v>-</v>
      </c>
      <c r="L17" s="111">
        <f t="shared" si="26"/>
        <v>0</v>
      </c>
      <c r="M17" s="113" t="e">
        <f t="shared" si="19"/>
        <v>#REF!</v>
      </c>
      <c r="N17" s="103" t="e">
        <f t="shared" si="1"/>
        <v>#REF!</v>
      </c>
      <c r="O17" s="102" t="str">
        <f t="shared" si="27"/>
        <v xml:space="preserve"> </v>
      </c>
      <c r="P17" s="111" t="str">
        <f t="shared" si="21"/>
        <v xml:space="preserve"> </v>
      </c>
      <c r="Q17" s="113" t="e">
        <f t="shared" si="22"/>
        <v>#REF!</v>
      </c>
      <c r="R17" s="103" t="e">
        <f t="shared" si="23"/>
        <v>#REF!</v>
      </c>
      <c r="S17" s="102" t="str">
        <f t="shared" si="24"/>
        <v xml:space="preserve"> </v>
      </c>
      <c r="T17" s="111" t="str">
        <f t="shared" si="3"/>
        <v xml:space="preserve"> </v>
      </c>
      <c r="U17" s="118" t="str">
        <f>IF(TYPE(#REF!)=1,ROUND(#REF!-((#REF!-1)*(SQRT(#REF!)-1)/(SQRT(#REF!)-1)),0)," ")</f>
        <v xml:space="preserve"> </v>
      </c>
    </row>
    <row r="18" spans="1:21" s="92" customFormat="1" ht="31.9" hidden="1" customHeight="1">
      <c r="A18" s="99">
        <f t="shared" si="14"/>
        <v>6</v>
      </c>
      <c r="B18" s="100">
        <f>'Уч-ки'!B18</f>
        <v>0</v>
      </c>
      <c r="C18" s="41" t="str">
        <f>VLOOKUP(B18,'Уч-ки'!$B$8:$H$38,2,FALSE)&amp;"                                "&amp;VLOOKUP(B18,'Уч-ки'!$B$8:$H$38,4,FALSE)</f>
        <v xml:space="preserve">                                  </v>
      </c>
      <c r="D18" s="69" t="str">
        <f>VLOOKUP(B18,'Уч-ки'!$B$8:$H$38,3,FALSE)&amp;"                           "&amp;VLOOKUP(B18,'Уч-ки'!$B$8:$H$38,5,FALSE)</f>
        <v>0                           0</v>
      </c>
      <c r="E18" s="104">
        <f>VLOOKUP(B18,'Уч-ки'!$B$8:$H$38,6,FALSE)</f>
        <v>0</v>
      </c>
      <c r="F18" s="104">
        <f>VLOOKUP(B18,'Уч-ки'!$B$8:$H$38,7,FALSE)</f>
        <v>0</v>
      </c>
      <c r="G18" s="101" t="e">
        <f>VLOOKUP(B18,Секц.1!$A$8:$AV$38,138,FALSE)</f>
        <v>#REF!</v>
      </c>
      <c r="H18" s="101" t="e">
        <f>VLOOKUP(C18,Секц.1!$A$8:$AV$38,138,FALSE)</f>
        <v>#N/A</v>
      </c>
      <c r="I18" s="107" t="e">
        <f t="shared" si="15"/>
        <v>#REF!</v>
      </c>
      <c r="J18" s="189" t="e">
        <f t="shared" si="16"/>
        <v>#REF!</v>
      </c>
      <c r="K18" s="110" t="str">
        <f t="shared" si="25"/>
        <v>-</v>
      </c>
      <c r="L18" s="111">
        <f t="shared" si="26"/>
        <v>0</v>
      </c>
      <c r="M18" s="113" t="e">
        <f t="shared" si="19"/>
        <v>#REF!</v>
      </c>
      <c r="N18" s="103" t="e">
        <f t="shared" si="1"/>
        <v>#REF!</v>
      </c>
      <c r="O18" s="102" t="str">
        <f t="shared" si="27"/>
        <v xml:space="preserve"> </v>
      </c>
      <c r="P18" s="111" t="str">
        <f t="shared" si="21"/>
        <v xml:space="preserve"> </v>
      </c>
      <c r="Q18" s="113" t="e">
        <f t="shared" si="22"/>
        <v>#REF!</v>
      </c>
      <c r="R18" s="103" t="e">
        <f t="shared" si="23"/>
        <v>#REF!</v>
      </c>
      <c r="S18" s="102" t="str">
        <f t="shared" si="24"/>
        <v xml:space="preserve"> </v>
      </c>
      <c r="T18" s="111" t="str">
        <f t="shared" si="3"/>
        <v xml:space="preserve"> </v>
      </c>
      <c r="U18" s="118" t="str">
        <f>IF(TYPE(#REF!)=1,ROUND(#REF!-((#REF!-1)*(SQRT(#REF!)-1)/(SQRT(#REF!)-1)),0)," ")</f>
        <v xml:space="preserve"> </v>
      </c>
    </row>
    <row r="19" spans="1:21" s="92" customFormat="1" ht="31.9" hidden="1" customHeight="1">
      <c r="A19" s="99">
        <f t="shared" si="14"/>
        <v>7</v>
      </c>
      <c r="B19" s="100">
        <f>'Уч-ки'!B19</f>
        <v>0</v>
      </c>
      <c r="C19" s="41" t="str">
        <f>VLOOKUP(B19,'Уч-ки'!$B$8:$H$38,2,FALSE)&amp;"                                "&amp;VLOOKUP(B19,'Уч-ки'!$B$8:$H$38,4,FALSE)</f>
        <v xml:space="preserve">                                  </v>
      </c>
      <c r="D19" s="69" t="str">
        <f>VLOOKUP(B19,'Уч-ки'!$B$8:$H$38,3,FALSE)&amp;"                           "&amp;VLOOKUP(B19,'Уч-ки'!$B$8:$H$38,5,FALSE)</f>
        <v>0                           0</v>
      </c>
      <c r="E19" s="104">
        <f>VLOOKUP(B19,'Уч-ки'!$B$8:$H$38,6,FALSE)</f>
        <v>0</v>
      </c>
      <c r="F19" s="104">
        <f>VLOOKUP(B19,'Уч-ки'!$B$8:$H$38,7,FALSE)</f>
        <v>0</v>
      </c>
      <c r="G19" s="101" t="e">
        <f>VLOOKUP(B19,Секц.1!$A$8:$AV$38,138,FALSE)</f>
        <v>#REF!</v>
      </c>
      <c r="H19" s="101" t="e">
        <f>VLOOKUP(C19,Секц.1!$A$8:$AV$38,138,FALSE)</f>
        <v>#N/A</v>
      </c>
      <c r="I19" s="107" t="e">
        <f t="shared" si="15"/>
        <v>#REF!</v>
      </c>
      <c r="J19" s="189" t="e">
        <f t="shared" si="16"/>
        <v>#REF!</v>
      </c>
      <c r="K19" s="110" t="str">
        <f t="shared" si="25"/>
        <v>-</v>
      </c>
      <c r="L19" s="111">
        <f t="shared" si="26"/>
        <v>0</v>
      </c>
      <c r="M19" s="113" t="e">
        <f t="shared" si="19"/>
        <v>#REF!</v>
      </c>
      <c r="N19" s="103" t="e">
        <f t="shared" si="1"/>
        <v>#REF!</v>
      </c>
      <c r="O19" s="102" t="str">
        <f t="shared" si="27"/>
        <v xml:space="preserve"> </v>
      </c>
      <c r="P19" s="111" t="str">
        <f t="shared" si="21"/>
        <v xml:space="preserve"> </v>
      </c>
      <c r="Q19" s="113" t="e">
        <f t="shared" si="22"/>
        <v>#REF!</v>
      </c>
      <c r="R19" s="103" t="e">
        <f t="shared" si="23"/>
        <v>#REF!</v>
      </c>
      <c r="S19" s="102" t="str">
        <f t="shared" si="24"/>
        <v xml:space="preserve"> </v>
      </c>
      <c r="T19" s="111" t="str">
        <f t="shared" si="3"/>
        <v xml:space="preserve"> </v>
      </c>
      <c r="U19" s="118" t="str">
        <f>IF(TYPE(#REF!)=1,ROUND(#REF!-((#REF!-1)*(SQRT(#REF!)-1)/(SQRT(#REF!)-1)),0)," ")</f>
        <v xml:space="preserve"> </v>
      </c>
    </row>
    <row r="20" spans="1:21" s="92" customFormat="1" ht="31.9" hidden="1" customHeight="1">
      <c r="A20" s="99">
        <f t="shared" si="14"/>
        <v>8</v>
      </c>
      <c r="B20" s="100">
        <f>'Уч-ки'!B20</f>
        <v>0</v>
      </c>
      <c r="C20" s="41" t="str">
        <f>VLOOKUP(B20,'Уч-ки'!$B$8:$H$38,2,FALSE)&amp;"                                "&amp;VLOOKUP(B20,'Уч-ки'!$B$8:$H$38,4,FALSE)</f>
        <v xml:space="preserve">                                  </v>
      </c>
      <c r="D20" s="69" t="str">
        <f>VLOOKUP(B20,'Уч-ки'!$B$8:$H$38,3,FALSE)&amp;"                           "&amp;VLOOKUP(B20,'Уч-ки'!$B$8:$H$38,5,FALSE)</f>
        <v>0                           0</v>
      </c>
      <c r="E20" s="104">
        <f>VLOOKUP(B20,'Уч-ки'!$B$8:$H$38,6,FALSE)</f>
        <v>0</v>
      </c>
      <c r="F20" s="104">
        <f>VLOOKUP(B20,'Уч-ки'!$B$8:$H$38,7,FALSE)</f>
        <v>0</v>
      </c>
      <c r="G20" s="101" t="e">
        <f>VLOOKUP(B20,Секц.1!$A$8:$AV$38,138,FALSE)</f>
        <v>#REF!</v>
      </c>
      <c r="H20" s="101" t="e">
        <f>VLOOKUP(C20,Секц.1!$A$8:$AV$38,138,FALSE)</f>
        <v>#N/A</v>
      </c>
      <c r="I20" s="107" t="e">
        <f t="shared" si="15"/>
        <v>#REF!</v>
      </c>
      <c r="J20" s="189" t="e">
        <f t="shared" si="16"/>
        <v>#REF!</v>
      </c>
      <c r="K20" s="110" t="str">
        <f t="shared" si="25"/>
        <v>-</v>
      </c>
      <c r="L20" s="111">
        <f t="shared" si="26"/>
        <v>0</v>
      </c>
      <c r="M20" s="113" t="e">
        <f t="shared" si="19"/>
        <v>#REF!</v>
      </c>
      <c r="N20" s="103" t="e">
        <f t="shared" si="1"/>
        <v>#REF!</v>
      </c>
      <c r="O20" s="102" t="str">
        <f t="shared" si="27"/>
        <v xml:space="preserve"> </v>
      </c>
      <c r="P20" s="111" t="str">
        <f t="shared" si="21"/>
        <v xml:space="preserve"> </v>
      </c>
      <c r="Q20" s="113" t="e">
        <f t="shared" si="22"/>
        <v>#REF!</v>
      </c>
      <c r="R20" s="103" t="e">
        <f t="shared" si="23"/>
        <v>#REF!</v>
      </c>
      <c r="S20" s="102" t="str">
        <f t="shared" si="24"/>
        <v xml:space="preserve"> </v>
      </c>
      <c r="T20" s="111" t="str">
        <f t="shared" si="3"/>
        <v xml:space="preserve"> </v>
      </c>
      <c r="U20" s="118" t="str">
        <f>IF(TYPE(#REF!)=1,ROUND(#REF!-((#REF!-1)*(SQRT(#REF!)-1)/(SQRT(#REF!)-1)),0)," ")</f>
        <v xml:space="preserve"> </v>
      </c>
    </row>
    <row r="21" spans="1:21" s="92" customFormat="1" ht="31.9" hidden="1" customHeight="1">
      <c r="A21" s="99">
        <f t="shared" si="14"/>
        <v>9</v>
      </c>
      <c r="B21" s="100">
        <f>'Уч-ки'!B21</f>
        <v>0</v>
      </c>
      <c r="C21" s="41" t="str">
        <f>VLOOKUP(B21,'Уч-ки'!$B$8:$H$38,2,FALSE)&amp;"                                "&amp;VLOOKUP(B21,'Уч-ки'!$B$8:$H$38,4,FALSE)</f>
        <v xml:space="preserve">                                  </v>
      </c>
      <c r="D21" s="69" t="str">
        <f>VLOOKUP(B21,'Уч-ки'!$B$8:$H$38,3,FALSE)&amp;"                           "&amp;VLOOKUP(B21,'Уч-ки'!$B$8:$H$38,5,FALSE)</f>
        <v>0                           0</v>
      </c>
      <c r="E21" s="104">
        <f>VLOOKUP(B21,'Уч-ки'!$B$8:$H$38,6,FALSE)</f>
        <v>0</v>
      </c>
      <c r="F21" s="104">
        <f>VLOOKUP(B21,'Уч-ки'!$B$8:$H$38,7,FALSE)</f>
        <v>0</v>
      </c>
      <c r="G21" s="101" t="e">
        <f>VLOOKUP(B21,Секц.1!$A$8:$AV$38,138,FALSE)</f>
        <v>#REF!</v>
      </c>
      <c r="H21" s="101" t="e">
        <f>VLOOKUP(C21,Секц.1!$A$8:$AV$38,138,FALSE)</f>
        <v>#N/A</v>
      </c>
      <c r="I21" s="107" t="e">
        <f t="shared" si="15"/>
        <v>#REF!</v>
      </c>
      <c r="J21" s="189" t="e">
        <f t="shared" si="16"/>
        <v>#REF!</v>
      </c>
      <c r="K21" s="110" t="str">
        <f t="shared" si="25"/>
        <v>-</v>
      </c>
      <c r="L21" s="111">
        <f t="shared" si="26"/>
        <v>0</v>
      </c>
      <c r="M21" s="113" t="e">
        <f t="shared" si="19"/>
        <v>#REF!</v>
      </c>
      <c r="N21" s="103" t="e">
        <f t="shared" si="1"/>
        <v>#REF!</v>
      </c>
      <c r="O21" s="102" t="str">
        <f t="shared" si="27"/>
        <v xml:space="preserve"> </v>
      </c>
      <c r="P21" s="111" t="str">
        <f t="shared" si="21"/>
        <v xml:space="preserve"> </v>
      </c>
      <c r="Q21" s="113" t="e">
        <f t="shared" si="22"/>
        <v>#REF!</v>
      </c>
      <c r="R21" s="103" t="e">
        <f t="shared" si="23"/>
        <v>#REF!</v>
      </c>
      <c r="S21" s="102" t="str">
        <f t="shared" si="24"/>
        <v xml:space="preserve"> </v>
      </c>
      <c r="T21" s="111" t="str">
        <f t="shared" si="3"/>
        <v xml:space="preserve"> </v>
      </c>
      <c r="U21" s="118" t="str">
        <f>IF(TYPE(#REF!)=1,ROUND(#REF!-((#REF!-1)*(SQRT(#REF!)-1)/(SQRT(#REF!)-1)),0)," ")</f>
        <v xml:space="preserve"> </v>
      </c>
    </row>
    <row r="22" spans="1:21" s="92" customFormat="1" ht="31.9" hidden="1" customHeight="1">
      <c r="A22" s="99">
        <f t="shared" si="14"/>
        <v>10</v>
      </c>
      <c r="B22" s="100">
        <f>'Уч-ки'!B22</f>
        <v>0</v>
      </c>
      <c r="C22" s="41" t="str">
        <f>VLOOKUP(B22,'Уч-ки'!$B$8:$H$38,2,FALSE)&amp;"                                "&amp;VLOOKUP(B22,'Уч-ки'!$B$8:$H$38,4,FALSE)</f>
        <v xml:space="preserve">                                  </v>
      </c>
      <c r="D22" s="69" t="str">
        <f>VLOOKUP(B22,'Уч-ки'!$B$8:$H$38,3,FALSE)&amp;"                           "&amp;VLOOKUP(B22,'Уч-ки'!$B$8:$H$38,5,FALSE)</f>
        <v>0                           0</v>
      </c>
      <c r="E22" s="104">
        <f>VLOOKUP(B22,'Уч-ки'!$B$8:$H$38,6,FALSE)</f>
        <v>0</v>
      </c>
      <c r="F22" s="104">
        <f>VLOOKUP(B22,'Уч-ки'!$B$8:$H$38,7,FALSE)</f>
        <v>0</v>
      </c>
      <c r="G22" s="101" t="e">
        <f>VLOOKUP(B22,Секц.1!$A$8:$AV$38,138,FALSE)</f>
        <v>#REF!</v>
      </c>
      <c r="H22" s="101" t="e">
        <f>VLOOKUP(C22,Секц.1!$A$8:$AV$38,138,FALSE)</f>
        <v>#N/A</v>
      </c>
      <c r="I22" s="107" t="e">
        <f t="shared" si="15"/>
        <v>#REF!</v>
      </c>
      <c r="J22" s="189" t="e">
        <f t="shared" si="16"/>
        <v>#REF!</v>
      </c>
      <c r="K22" s="110" t="str">
        <f t="shared" si="25"/>
        <v>-</v>
      </c>
      <c r="L22" s="111">
        <f t="shared" si="26"/>
        <v>0</v>
      </c>
      <c r="M22" s="113" t="e">
        <f t="shared" si="19"/>
        <v>#REF!</v>
      </c>
      <c r="N22" s="103" t="e">
        <f t="shared" si="1"/>
        <v>#REF!</v>
      </c>
      <c r="O22" s="102" t="str">
        <f t="shared" si="27"/>
        <v xml:space="preserve"> </v>
      </c>
      <c r="P22" s="111" t="str">
        <f t="shared" si="21"/>
        <v xml:space="preserve"> </v>
      </c>
      <c r="Q22" s="113" t="e">
        <f t="shared" si="22"/>
        <v>#REF!</v>
      </c>
      <c r="R22" s="103" t="e">
        <f t="shared" si="23"/>
        <v>#REF!</v>
      </c>
      <c r="S22" s="102" t="str">
        <f t="shared" si="24"/>
        <v xml:space="preserve"> </v>
      </c>
      <c r="T22" s="111" t="str">
        <f t="shared" si="3"/>
        <v xml:space="preserve"> </v>
      </c>
      <c r="U22" s="118" t="str">
        <f>IF(TYPE(#REF!)=1,ROUND(#REF!-((#REF!-1)*(SQRT(#REF!)-1)/(SQRT(#REF!)-1)),0)," ")</f>
        <v xml:space="preserve"> </v>
      </c>
    </row>
    <row r="23" spans="1:21" s="92" customFormat="1" ht="31.9" hidden="1" customHeight="1">
      <c r="A23" s="99">
        <f t="shared" si="14"/>
        <v>11</v>
      </c>
      <c r="B23" s="100">
        <f>'Уч-ки'!B23</f>
        <v>0</v>
      </c>
      <c r="C23" s="41" t="str">
        <f>VLOOKUP(B23,'Уч-ки'!$B$8:$H$38,2,FALSE)&amp;"                                "&amp;VLOOKUP(B23,'Уч-ки'!$B$8:$H$38,4,FALSE)</f>
        <v xml:space="preserve">                                  </v>
      </c>
      <c r="D23" s="69" t="str">
        <f>VLOOKUP(B23,'Уч-ки'!$B$8:$H$38,3,FALSE)&amp;"                           "&amp;VLOOKUP(B23,'Уч-ки'!$B$8:$H$38,5,FALSE)</f>
        <v>0                           0</v>
      </c>
      <c r="E23" s="104">
        <f>VLOOKUP(B23,'Уч-ки'!$B$8:$H$38,6,FALSE)</f>
        <v>0</v>
      </c>
      <c r="F23" s="104">
        <f>VLOOKUP(B23,'Уч-ки'!$B$8:$H$38,7,FALSE)</f>
        <v>0</v>
      </c>
      <c r="G23" s="101" t="e">
        <f>VLOOKUP(B23,Секц.1!$A$8:$AV$38,138,FALSE)</f>
        <v>#REF!</v>
      </c>
      <c r="H23" s="101" t="e">
        <f>VLOOKUP(C23,Секц.1!$A$8:$AV$38,138,FALSE)</f>
        <v>#N/A</v>
      </c>
      <c r="I23" s="107" t="e">
        <f t="shared" si="15"/>
        <v>#REF!</v>
      </c>
      <c r="J23" s="189" t="e">
        <f t="shared" si="16"/>
        <v>#REF!</v>
      </c>
      <c r="K23" s="110" t="str">
        <f t="shared" si="25"/>
        <v>-</v>
      </c>
      <c r="L23" s="111">
        <f t="shared" si="26"/>
        <v>0</v>
      </c>
      <c r="M23" s="113" t="e">
        <f t="shared" si="19"/>
        <v>#REF!</v>
      </c>
      <c r="N23" s="103" t="e">
        <f t="shared" si="1"/>
        <v>#REF!</v>
      </c>
      <c r="O23" s="102" t="str">
        <f t="shared" si="27"/>
        <v xml:space="preserve"> </v>
      </c>
      <c r="P23" s="111" t="str">
        <f t="shared" si="21"/>
        <v xml:space="preserve"> </v>
      </c>
      <c r="Q23" s="113" t="e">
        <f t="shared" si="22"/>
        <v>#REF!</v>
      </c>
      <c r="R23" s="103" t="e">
        <f t="shared" si="23"/>
        <v>#REF!</v>
      </c>
      <c r="S23" s="102" t="str">
        <f t="shared" si="24"/>
        <v xml:space="preserve"> </v>
      </c>
      <c r="T23" s="111" t="str">
        <f t="shared" si="3"/>
        <v xml:space="preserve"> </v>
      </c>
      <c r="U23" s="118" t="str">
        <f>IF(TYPE(#REF!)=1,ROUND(#REF!-((#REF!-1)*(SQRT(#REF!)-1)/(SQRT(#REF!)-1)),0)," ")</f>
        <v xml:space="preserve"> </v>
      </c>
    </row>
    <row r="24" spans="1:21" s="92" customFormat="1" ht="31.9" hidden="1" customHeight="1" thickBot="1">
      <c r="A24" s="99">
        <f t="shared" si="14"/>
        <v>12</v>
      </c>
      <c r="B24" s="100">
        <f>'Уч-ки'!B24</f>
        <v>0</v>
      </c>
      <c r="C24" s="41" t="str">
        <f>VLOOKUP(B24,'Уч-ки'!$B$8:$H$38,2,FALSE)&amp;"                                "&amp;VLOOKUP(B24,'Уч-ки'!$B$8:$H$38,4,FALSE)</f>
        <v xml:space="preserve">                                  </v>
      </c>
      <c r="D24" s="69" t="str">
        <f>VLOOKUP(B24,'Уч-ки'!$B$8:$H$38,3,FALSE)&amp;"                           "&amp;VLOOKUP(B24,'Уч-ки'!$B$8:$H$38,5,FALSE)</f>
        <v>0                           0</v>
      </c>
      <c r="E24" s="104">
        <f>VLOOKUP(B24,'Уч-ки'!$B$8:$H$38,6,FALSE)</f>
        <v>0</v>
      </c>
      <c r="F24" s="104">
        <f>VLOOKUP(B24,'Уч-ки'!$B$8:$H$38,7,FALSE)</f>
        <v>0</v>
      </c>
      <c r="G24" s="101" t="e">
        <f>VLOOKUP(B24,Секц.1!$A$8:$AV$38,138,FALSE)</f>
        <v>#REF!</v>
      </c>
      <c r="H24" s="101" t="e">
        <f>VLOOKUP(C24,Секц.1!$A$8:$AV$38,138,FALSE)</f>
        <v>#N/A</v>
      </c>
      <c r="I24" s="107" t="e">
        <f t="shared" si="15"/>
        <v>#REF!</v>
      </c>
      <c r="J24" s="189" t="e">
        <f t="shared" si="16"/>
        <v>#REF!</v>
      </c>
      <c r="K24" s="110" t="str">
        <f t="shared" si="25"/>
        <v>-</v>
      </c>
      <c r="L24" s="111">
        <f t="shared" si="26"/>
        <v>0</v>
      </c>
      <c r="M24" s="113" t="e">
        <f t="shared" si="19"/>
        <v>#REF!</v>
      </c>
      <c r="N24" s="103" t="e">
        <f t="shared" si="1"/>
        <v>#REF!</v>
      </c>
      <c r="O24" s="102" t="str">
        <f t="shared" si="27"/>
        <v xml:space="preserve"> </v>
      </c>
      <c r="P24" s="111" t="str">
        <f t="shared" si="21"/>
        <v xml:space="preserve"> </v>
      </c>
      <c r="Q24" s="113" t="e">
        <f t="shared" si="22"/>
        <v>#REF!</v>
      </c>
      <c r="R24" s="103" t="e">
        <f t="shared" si="23"/>
        <v>#REF!</v>
      </c>
      <c r="S24" s="102" t="str">
        <f t="shared" si="24"/>
        <v xml:space="preserve"> </v>
      </c>
      <c r="T24" s="111" t="str">
        <f t="shared" si="3"/>
        <v xml:space="preserve"> </v>
      </c>
      <c r="U24" s="118" t="str">
        <f>IF(TYPE(#REF!)=1,ROUND(#REF!-((#REF!-1)*(SQRT(#REF!)-1)/(SQRT(#REF!)-1)),0)," ")</f>
        <v xml:space="preserve"> </v>
      </c>
    </row>
    <row r="25" spans="1:21" s="92" customFormat="1" ht="31.9" hidden="1" customHeight="1">
      <c r="A25" s="99">
        <f t="shared" si="14"/>
        <v>13</v>
      </c>
      <c r="B25" s="100">
        <f>'Уч-ки'!B25</f>
        <v>0</v>
      </c>
      <c r="C25" s="41" t="str">
        <f>VLOOKUP(B25,'Уч-ки'!$B$8:$H$38,2,FALSE)&amp;"                                "&amp;VLOOKUP(B25,'Уч-ки'!$B$8:$H$38,4,FALSE)</f>
        <v xml:space="preserve">                                  </v>
      </c>
      <c r="D25" s="69" t="str">
        <f>VLOOKUP(B25,'Уч-ки'!$B$8:$H$38,3,FALSE)&amp;"                           "&amp;VLOOKUP(B25,'Уч-ки'!$B$8:$H$38,5,FALSE)</f>
        <v>0                           0</v>
      </c>
      <c r="E25" s="104">
        <f>VLOOKUP(B25,'Уч-ки'!$B$8:$H$38,6,FALSE)</f>
        <v>0</v>
      </c>
      <c r="F25" s="104">
        <f>VLOOKUP(B25,'Уч-ки'!$B$8:$H$38,7,FALSE)</f>
        <v>0</v>
      </c>
      <c r="G25" s="101" t="e">
        <f>VLOOKUP(B25,Секц.1!$A$8:$AV$38,141,FALSE)</f>
        <v>#REF!</v>
      </c>
      <c r="H25" s="101" t="e">
        <f>VLOOKUP(C25,Секц.1!$A$8:$AV$38,141,FALSE)</f>
        <v>#N/A</v>
      </c>
      <c r="I25" s="107" t="e">
        <f t="shared" si="15"/>
        <v>#REF!</v>
      </c>
      <c r="J25" s="189" t="e">
        <f t="shared" si="16"/>
        <v>#REF!</v>
      </c>
      <c r="K25" s="110" t="str">
        <f t="shared" ref="K25:K38" si="28">IF(TYPE(I25)=1,RANK(I25,$I$8:$I$38,-1),"-")</f>
        <v>-</v>
      </c>
      <c r="L25" s="111">
        <f t="shared" si="26"/>
        <v>0</v>
      </c>
      <c r="M25" s="113" t="e">
        <f t="shared" si="19"/>
        <v>#REF!</v>
      </c>
      <c r="N25" s="103" t="e">
        <f t="shared" si="1"/>
        <v>#REF!</v>
      </c>
      <c r="O25" s="102" t="str">
        <f t="shared" ref="O25:O38" si="29">IF(TYPE(N25)=1,RANK(N25,$N$8:$N$38,-1)," ")</f>
        <v xml:space="preserve"> </v>
      </c>
      <c r="P25" s="111" t="str">
        <f t="shared" si="21"/>
        <v xml:space="preserve"> </v>
      </c>
      <c r="Q25" s="113" t="e">
        <f t="shared" ref="Q25:Q38" si="30">IF(J25=1,0,IF(ISERR(SEARCH("ГАСУ",F25))=FALSE,1,0))</f>
        <v>#REF!</v>
      </c>
      <c r="R25" s="103" t="e">
        <f t="shared" si="2"/>
        <v>#REF!</v>
      </c>
      <c r="S25" s="102" t="str">
        <f t="shared" ref="S25:S38" si="31">IF(TYPE(R25)=1,RANK(R25,$R$8:$R$38,-1)," ")</f>
        <v xml:space="preserve"> </v>
      </c>
      <c r="T25" s="111" t="str">
        <f t="shared" si="3"/>
        <v xml:space="preserve"> </v>
      </c>
      <c r="U25" s="118" t="str">
        <f>IF(TYPE(#REF!)=1,ROUND(#REF!-((#REF!-1)*(SQRT(#REF!)-1)/(SQRT(#REF!)-1)),0)," ")</f>
        <v xml:space="preserve"> </v>
      </c>
    </row>
    <row r="26" spans="1:21" s="92" customFormat="1" ht="31.9" hidden="1" customHeight="1">
      <c r="A26" s="99">
        <f t="shared" si="14"/>
        <v>14</v>
      </c>
      <c r="B26" s="100">
        <f>'Уч-ки'!B26</f>
        <v>0</v>
      </c>
      <c r="C26" s="41" t="str">
        <f>VLOOKUP(B26,'Уч-ки'!$B$8:$H$38,2,FALSE)&amp;"                                "&amp;VLOOKUP(B26,'Уч-ки'!$B$8:$H$38,4,FALSE)</f>
        <v xml:space="preserve">                                  </v>
      </c>
      <c r="D26" s="69" t="str">
        <f>VLOOKUP(B26,'Уч-ки'!$B$8:$H$38,3,FALSE)&amp;"                           "&amp;VLOOKUP(B26,'Уч-ки'!$B$8:$H$38,5,FALSE)</f>
        <v>0                           0</v>
      </c>
      <c r="E26" s="104">
        <f>VLOOKUP(B26,'Уч-ки'!$B$8:$H$38,6,FALSE)</f>
        <v>0</v>
      </c>
      <c r="F26" s="104">
        <f>VLOOKUP(B26,'Уч-ки'!$B$8:$H$38,7,FALSE)</f>
        <v>0</v>
      </c>
      <c r="G26" s="101" t="e">
        <f>VLOOKUP(B26,Секц.1!$A$8:$AV$38,141,FALSE)</f>
        <v>#REF!</v>
      </c>
      <c r="H26" s="101" t="e">
        <f>VLOOKUP(C26,Секц.1!$A$8:$AV$38,141,FALSE)</f>
        <v>#N/A</v>
      </c>
      <c r="I26" s="107" t="e">
        <f t="shared" si="15"/>
        <v>#REF!</v>
      </c>
      <c r="J26" s="189" t="e">
        <f t="shared" si="16"/>
        <v>#REF!</v>
      </c>
      <c r="K26" s="110" t="str">
        <f t="shared" si="28"/>
        <v>-</v>
      </c>
      <c r="L26" s="111">
        <f t="shared" si="26"/>
        <v>0</v>
      </c>
      <c r="M26" s="113" t="e">
        <f t="shared" si="19"/>
        <v>#REF!</v>
      </c>
      <c r="N26" s="103" t="e">
        <f t="shared" si="1"/>
        <v>#REF!</v>
      </c>
      <c r="O26" s="102" t="str">
        <f t="shared" si="29"/>
        <v xml:space="preserve"> </v>
      </c>
      <c r="P26" s="111" t="str">
        <f t="shared" si="21"/>
        <v xml:space="preserve"> </v>
      </c>
      <c r="Q26" s="113" t="e">
        <f t="shared" si="30"/>
        <v>#REF!</v>
      </c>
      <c r="R26" s="103" t="e">
        <f t="shared" si="2"/>
        <v>#REF!</v>
      </c>
      <c r="S26" s="102" t="str">
        <f t="shared" si="31"/>
        <v xml:space="preserve"> </v>
      </c>
      <c r="T26" s="111" t="str">
        <f t="shared" si="3"/>
        <v xml:space="preserve"> </v>
      </c>
      <c r="U26" s="118" t="str">
        <f>IF(TYPE(#REF!)=1,ROUND(#REF!-((#REF!-1)*(SQRT(#REF!)-1)/(SQRT(#REF!)-1)),0)," ")</f>
        <v xml:space="preserve"> </v>
      </c>
    </row>
    <row r="27" spans="1:21" s="92" customFormat="1" ht="31.9" hidden="1" customHeight="1">
      <c r="A27" s="99">
        <f t="shared" si="14"/>
        <v>15</v>
      </c>
      <c r="B27" s="100">
        <f>'Уч-ки'!B27</f>
        <v>0</v>
      </c>
      <c r="C27" s="41" t="str">
        <f>VLOOKUP(B27,'Уч-ки'!$B$8:$H$38,2,FALSE)&amp;"                                "&amp;VLOOKUP(B27,'Уч-ки'!$B$8:$H$38,4,FALSE)</f>
        <v xml:space="preserve">                                  </v>
      </c>
      <c r="D27" s="69" t="str">
        <f>VLOOKUP(B27,'Уч-ки'!$B$8:$H$38,3,FALSE)&amp;"                           "&amp;VLOOKUP(B27,'Уч-ки'!$B$8:$H$38,5,FALSE)</f>
        <v>0                           0</v>
      </c>
      <c r="E27" s="104">
        <f>VLOOKUP(B27,'Уч-ки'!$B$8:$H$38,6,FALSE)</f>
        <v>0</v>
      </c>
      <c r="F27" s="104">
        <f>VLOOKUP(B27,'Уч-ки'!$B$8:$H$38,7,FALSE)</f>
        <v>0</v>
      </c>
      <c r="G27" s="101" t="e">
        <f>VLOOKUP(B27,Секц.1!$A$8:$AV$38,141,FALSE)</f>
        <v>#REF!</v>
      </c>
      <c r="H27" s="101" t="e">
        <f>VLOOKUP(C27,Секц.1!$A$8:$AV$38,141,FALSE)</f>
        <v>#N/A</v>
      </c>
      <c r="I27" s="107" t="e">
        <f t="shared" si="15"/>
        <v>#REF!</v>
      </c>
      <c r="J27" s="189" t="e">
        <f t="shared" si="16"/>
        <v>#REF!</v>
      </c>
      <c r="K27" s="110" t="str">
        <f t="shared" si="28"/>
        <v>-</v>
      </c>
      <c r="L27" s="111">
        <f t="shared" si="26"/>
        <v>0</v>
      </c>
      <c r="M27" s="113" t="e">
        <f t="shared" si="19"/>
        <v>#REF!</v>
      </c>
      <c r="N27" s="103" t="e">
        <f t="shared" si="1"/>
        <v>#REF!</v>
      </c>
      <c r="O27" s="102" t="str">
        <f t="shared" si="29"/>
        <v xml:space="preserve"> </v>
      </c>
      <c r="P27" s="111" t="str">
        <f t="shared" si="21"/>
        <v xml:space="preserve"> </v>
      </c>
      <c r="Q27" s="113" t="e">
        <f t="shared" si="30"/>
        <v>#REF!</v>
      </c>
      <c r="R27" s="103" t="e">
        <f t="shared" si="2"/>
        <v>#REF!</v>
      </c>
      <c r="S27" s="102" t="str">
        <f t="shared" si="31"/>
        <v xml:space="preserve"> </v>
      </c>
      <c r="T27" s="111" t="str">
        <f t="shared" si="3"/>
        <v xml:space="preserve"> </v>
      </c>
      <c r="U27" s="118" t="str">
        <f>IF(TYPE(#REF!)=1,ROUND(#REF!-((#REF!-1)*(SQRT(#REF!)-1)/(SQRT(#REF!)-1)),0)," ")</f>
        <v xml:space="preserve"> </v>
      </c>
    </row>
    <row r="28" spans="1:21" s="92" customFormat="1" ht="31.9" hidden="1" customHeight="1">
      <c r="A28" s="99">
        <f t="shared" si="14"/>
        <v>16</v>
      </c>
      <c r="B28" s="100">
        <f>'Уч-ки'!B28</f>
        <v>0</v>
      </c>
      <c r="C28" s="41" t="str">
        <f>VLOOKUP(B28,'Уч-ки'!$B$8:$H$38,2,FALSE)&amp;"                                "&amp;VLOOKUP(B28,'Уч-ки'!$B$8:$H$38,4,FALSE)</f>
        <v xml:space="preserve">                                  </v>
      </c>
      <c r="D28" s="69" t="str">
        <f>VLOOKUP(B28,'Уч-ки'!$B$8:$H$38,3,FALSE)&amp;"                           "&amp;VLOOKUP(B28,'Уч-ки'!$B$8:$H$38,5,FALSE)</f>
        <v>0                           0</v>
      </c>
      <c r="E28" s="104">
        <f>VLOOKUP(B28,'Уч-ки'!$B$8:$H$38,6,FALSE)</f>
        <v>0</v>
      </c>
      <c r="F28" s="104">
        <f>VLOOKUP(B28,'Уч-ки'!$B$8:$H$38,7,FALSE)</f>
        <v>0</v>
      </c>
      <c r="G28" s="101" t="e">
        <f>VLOOKUP(B28,Секц.1!$A$8:$AV$38,141,FALSE)</f>
        <v>#REF!</v>
      </c>
      <c r="H28" s="101" t="e">
        <f>VLOOKUP(C28,Секц.1!$A$8:$AV$38,141,FALSE)</f>
        <v>#N/A</v>
      </c>
      <c r="I28" s="107" t="e">
        <f t="shared" si="15"/>
        <v>#REF!</v>
      </c>
      <c r="J28" s="189" t="e">
        <f t="shared" si="16"/>
        <v>#REF!</v>
      </c>
      <c r="K28" s="110" t="str">
        <f t="shared" si="28"/>
        <v>-</v>
      </c>
      <c r="L28" s="111">
        <f t="shared" si="26"/>
        <v>0</v>
      </c>
      <c r="M28" s="113" t="e">
        <f t="shared" si="19"/>
        <v>#REF!</v>
      </c>
      <c r="N28" s="103" t="e">
        <f t="shared" si="1"/>
        <v>#REF!</v>
      </c>
      <c r="O28" s="102" t="str">
        <f t="shared" si="29"/>
        <v xml:space="preserve"> </v>
      </c>
      <c r="P28" s="111" t="str">
        <f t="shared" si="21"/>
        <v xml:space="preserve"> </v>
      </c>
      <c r="Q28" s="113" t="e">
        <f t="shared" si="30"/>
        <v>#REF!</v>
      </c>
      <c r="R28" s="103" t="e">
        <f t="shared" si="2"/>
        <v>#REF!</v>
      </c>
      <c r="S28" s="102" t="str">
        <f t="shared" si="31"/>
        <v xml:space="preserve"> </v>
      </c>
      <c r="T28" s="111" t="str">
        <f t="shared" si="3"/>
        <v xml:space="preserve"> </v>
      </c>
      <c r="U28" s="118" t="str">
        <f>IF(TYPE(#REF!)=1,ROUND(#REF!-((#REF!-1)*(SQRT(#REF!)-1)/(SQRT(#REF!)-1)),0)," ")</f>
        <v xml:space="preserve"> </v>
      </c>
    </row>
    <row r="29" spans="1:21" s="92" customFormat="1" ht="31.9" hidden="1" customHeight="1">
      <c r="A29" s="99">
        <f t="shared" si="14"/>
        <v>17</v>
      </c>
      <c r="B29" s="100">
        <f>'Уч-ки'!B29</f>
        <v>0</v>
      </c>
      <c r="C29" s="41" t="str">
        <f>VLOOKUP(B29,'Уч-ки'!$B$8:$H$38,2,FALSE)&amp;"                                "&amp;VLOOKUP(B29,'Уч-ки'!$B$8:$H$38,4,FALSE)</f>
        <v xml:space="preserve">                                  </v>
      </c>
      <c r="D29" s="69" t="str">
        <f>VLOOKUP(B29,'Уч-ки'!$B$8:$H$38,3,FALSE)&amp;"                           "&amp;VLOOKUP(B29,'Уч-ки'!$B$8:$H$38,5,FALSE)</f>
        <v>0                           0</v>
      </c>
      <c r="E29" s="104">
        <f>VLOOKUP(B29,'Уч-ки'!$B$8:$H$38,6,FALSE)</f>
        <v>0</v>
      </c>
      <c r="F29" s="104">
        <f>VLOOKUP(B29,'Уч-ки'!$B$8:$H$38,7,FALSE)</f>
        <v>0</v>
      </c>
      <c r="G29" s="101" t="e">
        <f>VLOOKUP(B29,Секц.1!$A$8:$AV$38,141,FALSE)</f>
        <v>#REF!</v>
      </c>
      <c r="H29" s="101" t="e">
        <f>VLOOKUP(C29,Секц.1!$A$8:$AV$38,141,FALSE)</f>
        <v>#N/A</v>
      </c>
      <c r="I29" s="107" t="e">
        <f t="shared" si="15"/>
        <v>#REF!</v>
      </c>
      <c r="J29" s="189" t="e">
        <f t="shared" si="16"/>
        <v>#REF!</v>
      </c>
      <c r="K29" s="110" t="str">
        <f t="shared" si="28"/>
        <v>-</v>
      </c>
      <c r="L29" s="111">
        <f t="shared" si="26"/>
        <v>0</v>
      </c>
      <c r="M29" s="113" t="e">
        <f t="shared" si="19"/>
        <v>#REF!</v>
      </c>
      <c r="N29" s="103" t="e">
        <f t="shared" si="1"/>
        <v>#REF!</v>
      </c>
      <c r="O29" s="102" t="str">
        <f t="shared" si="29"/>
        <v xml:space="preserve"> </v>
      </c>
      <c r="P29" s="111" t="str">
        <f t="shared" si="21"/>
        <v xml:space="preserve"> </v>
      </c>
      <c r="Q29" s="113" t="e">
        <f t="shared" si="30"/>
        <v>#REF!</v>
      </c>
      <c r="R29" s="103" t="e">
        <f t="shared" si="2"/>
        <v>#REF!</v>
      </c>
      <c r="S29" s="102" t="str">
        <f t="shared" si="31"/>
        <v xml:space="preserve"> </v>
      </c>
      <c r="T29" s="111" t="str">
        <f t="shared" si="3"/>
        <v xml:space="preserve"> </v>
      </c>
      <c r="U29" s="118" t="str">
        <f>IF(TYPE(#REF!)=1,ROUND(#REF!-((#REF!-1)*(SQRT(#REF!)-1)/(SQRT(#REF!)-1)),0)," ")</f>
        <v xml:space="preserve"> </v>
      </c>
    </row>
    <row r="30" spans="1:21" s="92" customFormat="1" ht="31.9" hidden="1" customHeight="1">
      <c r="A30" s="99">
        <f t="shared" si="14"/>
        <v>18</v>
      </c>
      <c r="B30" s="100">
        <f>'Уч-ки'!B30</f>
        <v>0</v>
      </c>
      <c r="C30" s="41" t="str">
        <f>VLOOKUP(B30,'Уч-ки'!$B$8:$H$38,2,FALSE)&amp;"                                "&amp;VLOOKUP(B30,'Уч-ки'!$B$8:$H$38,4,FALSE)</f>
        <v xml:space="preserve">                                  </v>
      </c>
      <c r="D30" s="69" t="str">
        <f>VLOOKUP(B30,'Уч-ки'!$B$8:$H$38,3,FALSE)&amp;"                           "&amp;VLOOKUP(B30,'Уч-ки'!$B$8:$H$38,5,FALSE)</f>
        <v>0                           0</v>
      </c>
      <c r="E30" s="104">
        <f>VLOOKUP(B30,'Уч-ки'!$B$8:$H$38,6,FALSE)</f>
        <v>0</v>
      </c>
      <c r="F30" s="104">
        <f>VLOOKUP(B30,'Уч-ки'!$B$8:$H$38,7,FALSE)</f>
        <v>0</v>
      </c>
      <c r="G30" s="101" t="e">
        <f>VLOOKUP(B30,Секц.1!$A$8:$AV$38,141,FALSE)</f>
        <v>#REF!</v>
      </c>
      <c r="H30" s="101" t="e">
        <f>VLOOKUP(C30,Секц.1!$A$8:$AV$38,141,FALSE)</f>
        <v>#N/A</v>
      </c>
      <c r="I30" s="107" t="e">
        <f t="shared" si="15"/>
        <v>#REF!</v>
      </c>
      <c r="J30" s="189" t="e">
        <f t="shared" si="16"/>
        <v>#REF!</v>
      </c>
      <c r="K30" s="110" t="str">
        <f t="shared" si="28"/>
        <v>-</v>
      </c>
      <c r="L30" s="111">
        <f t="shared" si="26"/>
        <v>0</v>
      </c>
      <c r="M30" s="113" t="e">
        <f t="shared" si="19"/>
        <v>#REF!</v>
      </c>
      <c r="N30" s="103" t="e">
        <f t="shared" si="1"/>
        <v>#REF!</v>
      </c>
      <c r="O30" s="102" t="str">
        <f t="shared" si="29"/>
        <v xml:space="preserve"> </v>
      </c>
      <c r="P30" s="111" t="str">
        <f t="shared" si="21"/>
        <v xml:space="preserve"> </v>
      </c>
      <c r="Q30" s="113" t="e">
        <f t="shared" si="30"/>
        <v>#REF!</v>
      </c>
      <c r="R30" s="103" t="e">
        <f t="shared" si="2"/>
        <v>#REF!</v>
      </c>
      <c r="S30" s="102" t="str">
        <f t="shared" si="31"/>
        <v xml:space="preserve"> </v>
      </c>
      <c r="T30" s="111" t="str">
        <f t="shared" si="3"/>
        <v xml:space="preserve"> </v>
      </c>
      <c r="U30" s="118" t="str">
        <f>IF(TYPE(#REF!)=1,ROUND(#REF!-((#REF!-1)*(SQRT(#REF!)-1)/(SQRT(#REF!)-1)),0)," ")</f>
        <v xml:space="preserve"> </v>
      </c>
    </row>
    <row r="31" spans="1:21" s="92" customFormat="1" ht="31.9" hidden="1" customHeight="1">
      <c r="A31" s="99">
        <f t="shared" si="14"/>
        <v>19</v>
      </c>
      <c r="B31" s="100">
        <f>'Уч-ки'!B31</f>
        <v>0</v>
      </c>
      <c r="C31" s="41" t="str">
        <f>VLOOKUP(B31,'Уч-ки'!$B$8:$H$38,2,FALSE)&amp;"                                "&amp;VLOOKUP(B31,'Уч-ки'!$B$8:$H$38,4,FALSE)</f>
        <v xml:space="preserve">                                  </v>
      </c>
      <c r="D31" s="69" t="str">
        <f>VLOOKUP(B31,'Уч-ки'!$B$8:$H$38,3,FALSE)&amp;"                           "&amp;VLOOKUP(B31,'Уч-ки'!$B$8:$H$38,5,FALSE)</f>
        <v>0                           0</v>
      </c>
      <c r="E31" s="104">
        <f>VLOOKUP(B31,'Уч-ки'!$B$8:$H$38,6,FALSE)</f>
        <v>0</v>
      </c>
      <c r="F31" s="104">
        <f>VLOOKUP(B31,'Уч-ки'!$B$8:$H$38,7,FALSE)</f>
        <v>0</v>
      </c>
      <c r="G31" s="101" t="e">
        <f>VLOOKUP(B31,Секц.1!$A$8:$AV$38,141,FALSE)</f>
        <v>#REF!</v>
      </c>
      <c r="H31" s="101" t="e">
        <f>VLOOKUP(C31,Секц.1!$A$8:$AV$38,141,FALSE)</f>
        <v>#N/A</v>
      </c>
      <c r="I31" s="107" t="e">
        <f t="shared" si="15"/>
        <v>#REF!</v>
      </c>
      <c r="J31" s="189" t="e">
        <f t="shared" si="16"/>
        <v>#REF!</v>
      </c>
      <c r="K31" s="110" t="str">
        <f t="shared" si="28"/>
        <v>-</v>
      </c>
      <c r="L31" s="111">
        <f t="shared" si="26"/>
        <v>0</v>
      </c>
      <c r="M31" s="113" t="e">
        <f t="shared" si="19"/>
        <v>#REF!</v>
      </c>
      <c r="N31" s="103" t="e">
        <f t="shared" si="1"/>
        <v>#REF!</v>
      </c>
      <c r="O31" s="102" t="str">
        <f t="shared" si="29"/>
        <v xml:space="preserve"> </v>
      </c>
      <c r="P31" s="111" t="str">
        <f t="shared" si="21"/>
        <v xml:space="preserve"> </v>
      </c>
      <c r="Q31" s="113" t="e">
        <f t="shared" si="30"/>
        <v>#REF!</v>
      </c>
      <c r="R31" s="103" t="e">
        <f t="shared" si="2"/>
        <v>#REF!</v>
      </c>
      <c r="S31" s="102" t="str">
        <f t="shared" si="31"/>
        <v xml:space="preserve"> </v>
      </c>
      <c r="T31" s="111" t="str">
        <f t="shared" si="3"/>
        <v xml:space="preserve"> </v>
      </c>
      <c r="U31" s="118" t="str">
        <f>IF(TYPE(#REF!)=1,ROUND(#REF!-((#REF!-1)*(SQRT(#REF!)-1)/(SQRT(#REF!)-1)),0)," ")</f>
        <v xml:space="preserve"> </v>
      </c>
    </row>
    <row r="32" spans="1:21" s="92" customFormat="1" ht="31.9" hidden="1" customHeight="1">
      <c r="A32" s="99">
        <f t="shared" si="14"/>
        <v>20</v>
      </c>
      <c r="B32" s="100">
        <f>'Уч-ки'!B32</f>
        <v>0</v>
      </c>
      <c r="C32" s="41" t="str">
        <f>VLOOKUP(B32,'Уч-ки'!$B$8:$H$38,2,FALSE)&amp;"                                "&amp;VLOOKUP(B32,'Уч-ки'!$B$8:$H$38,4,FALSE)</f>
        <v xml:space="preserve">                                  </v>
      </c>
      <c r="D32" s="69" t="str">
        <f>VLOOKUP(B32,'Уч-ки'!$B$8:$H$38,3,FALSE)&amp;"                           "&amp;VLOOKUP(B32,'Уч-ки'!$B$8:$H$38,5,FALSE)</f>
        <v>0                           0</v>
      </c>
      <c r="E32" s="104">
        <f>VLOOKUP(B32,'Уч-ки'!$B$8:$H$38,6,FALSE)</f>
        <v>0</v>
      </c>
      <c r="F32" s="104">
        <f>VLOOKUP(B32,'Уч-ки'!$B$8:$H$38,7,FALSE)</f>
        <v>0</v>
      </c>
      <c r="G32" s="101" t="e">
        <f>VLOOKUP(B32,Секц.1!$A$8:$AV$38,141,FALSE)</f>
        <v>#REF!</v>
      </c>
      <c r="H32" s="101" t="e">
        <f>VLOOKUP(C32,Секц.1!$A$8:$AV$38,141,FALSE)</f>
        <v>#N/A</v>
      </c>
      <c r="I32" s="107" t="e">
        <f t="shared" si="15"/>
        <v>#REF!</v>
      </c>
      <c r="J32" s="189" t="e">
        <f t="shared" si="16"/>
        <v>#REF!</v>
      </c>
      <c r="K32" s="110" t="str">
        <f t="shared" si="28"/>
        <v>-</v>
      </c>
      <c r="L32" s="111">
        <f t="shared" si="26"/>
        <v>0</v>
      </c>
      <c r="M32" s="113" t="e">
        <f t="shared" si="19"/>
        <v>#REF!</v>
      </c>
      <c r="N32" s="103" t="e">
        <f t="shared" si="1"/>
        <v>#REF!</v>
      </c>
      <c r="O32" s="102" t="str">
        <f t="shared" si="29"/>
        <v xml:space="preserve"> </v>
      </c>
      <c r="P32" s="111" t="str">
        <f t="shared" si="21"/>
        <v xml:space="preserve"> </v>
      </c>
      <c r="Q32" s="113" t="e">
        <f t="shared" si="30"/>
        <v>#REF!</v>
      </c>
      <c r="R32" s="103" t="e">
        <f t="shared" si="2"/>
        <v>#REF!</v>
      </c>
      <c r="S32" s="102" t="str">
        <f t="shared" si="31"/>
        <v xml:space="preserve"> </v>
      </c>
      <c r="T32" s="111" t="str">
        <f t="shared" si="3"/>
        <v xml:space="preserve"> </v>
      </c>
      <c r="U32" s="118" t="str">
        <f>IF(TYPE(#REF!)=1,ROUND(#REF!-((#REF!-1)*(SQRT(#REF!)-1)/(SQRT(#REF!)-1)),0)," ")</f>
        <v xml:space="preserve"> </v>
      </c>
    </row>
    <row r="33" spans="1:21" s="92" customFormat="1" ht="31.9" hidden="1" customHeight="1">
      <c r="A33" s="99">
        <f t="shared" si="14"/>
        <v>21</v>
      </c>
      <c r="B33" s="100">
        <f>'Уч-ки'!B33</f>
        <v>0</v>
      </c>
      <c r="C33" s="41" t="str">
        <f>VLOOKUP(B33,'Уч-ки'!$B$8:$H$38,2,FALSE)&amp;"                                "&amp;VLOOKUP(B33,'Уч-ки'!$B$8:$H$38,4,FALSE)</f>
        <v xml:space="preserve">                                  </v>
      </c>
      <c r="D33" s="69" t="str">
        <f>VLOOKUP(B33,'Уч-ки'!$B$8:$H$38,3,FALSE)&amp;"                           "&amp;VLOOKUP(B33,'Уч-ки'!$B$8:$H$38,5,FALSE)</f>
        <v>0                           0</v>
      </c>
      <c r="E33" s="104">
        <f>VLOOKUP(B33,'Уч-ки'!$B$8:$H$38,6,FALSE)</f>
        <v>0</v>
      </c>
      <c r="F33" s="104">
        <f>VLOOKUP(B33,'Уч-ки'!$B$8:$H$38,7,FALSE)</f>
        <v>0</v>
      </c>
      <c r="G33" s="101" t="e">
        <f>VLOOKUP(B33,Секц.1!$A$8:$AV$38,141,FALSE)</f>
        <v>#REF!</v>
      </c>
      <c r="H33" s="101" t="e">
        <f>VLOOKUP(C33,Секц.1!$A$8:$AV$38,141,FALSE)</f>
        <v>#N/A</v>
      </c>
      <c r="I33" s="107" t="e">
        <f t="shared" si="15"/>
        <v>#REF!</v>
      </c>
      <c r="J33" s="189" t="e">
        <f t="shared" si="16"/>
        <v>#REF!</v>
      </c>
      <c r="K33" s="110" t="str">
        <f t="shared" si="28"/>
        <v>-</v>
      </c>
      <c r="L33" s="111">
        <f t="shared" si="26"/>
        <v>0</v>
      </c>
      <c r="M33" s="113" t="e">
        <f t="shared" si="19"/>
        <v>#REF!</v>
      </c>
      <c r="N33" s="103" t="e">
        <f t="shared" si="1"/>
        <v>#REF!</v>
      </c>
      <c r="O33" s="102" t="str">
        <f t="shared" si="29"/>
        <v xml:space="preserve"> </v>
      </c>
      <c r="P33" s="111" t="str">
        <f t="shared" si="21"/>
        <v xml:space="preserve"> </v>
      </c>
      <c r="Q33" s="113" t="e">
        <f t="shared" si="30"/>
        <v>#REF!</v>
      </c>
      <c r="R33" s="103" t="e">
        <f t="shared" si="2"/>
        <v>#REF!</v>
      </c>
      <c r="S33" s="102" t="str">
        <f t="shared" si="31"/>
        <v xml:space="preserve"> </v>
      </c>
      <c r="T33" s="111" t="str">
        <f t="shared" si="3"/>
        <v xml:space="preserve"> </v>
      </c>
      <c r="U33" s="118" t="str">
        <f>IF(TYPE(#REF!)=1,ROUND(#REF!-((#REF!-1)*(SQRT(#REF!)-1)/(SQRT(#REF!)-1)),0)," ")</f>
        <v xml:space="preserve"> </v>
      </c>
    </row>
    <row r="34" spans="1:21" s="92" customFormat="1" ht="31.9" hidden="1" customHeight="1">
      <c r="A34" s="99">
        <f t="shared" si="14"/>
        <v>22</v>
      </c>
      <c r="B34" s="100">
        <f>'Уч-ки'!B34</f>
        <v>0</v>
      </c>
      <c r="C34" s="41" t="str">
        <f>VLOOKUP(B34,'Уч-ки'!$B$8:$H$38,2,FALSE)&amp;"                                "&amp;VLOOKUP(B34,'Уч-ки'!$B$8:$H$38,4,FALSE)</f>
        <v xml:space="preserve">                                  </v>
      </c>
      <c r="D34" s="69" t="str">
        <f>VLOOKUP(B34,'Уч-ки'!$B$8:$H$38,3,FALSE)&amp;"                           "&amp;VLOOKUP(B34,'Уч-ки'!$B$8:$H$38,5,FALSE)</f>
        <v>0                           0</v>
      </c>
      <c r="E34" s="104">
        <f>VLOOKUP(B34,'Уч-ки'!$B$8:$H$38,6,FALSE)</f>
        <v>0</v>
      </c>
      <c r="F34" s="104">
        <f>VLOOKUP(B34,'Уч-ки'!$B$8:$H$38,7,FALSE)</f>
        <v>0</v>
      </c>
      <c r="G34" s="101" t="e">
        <f>VLOOKUP(B34,Секц.1!$A$8:$AV$38,141,FALSE)</f>
        <v>#REF!</v>
      </c>
      <c r="H34" s="101" t="e">
        <f>VLOOKUP(C34,Секц.1!$A$8:$AV$38,141,FALSE)</f>
        <v>#N/A</v>
      </c>
      <c r="I34" s="107" t="e">
        <f t="shared" si="15"/>
        <v>#REF!</v>
      </c>
      <c r="J34" s="189" t="e">
        <f t="shared" si="16"/>
        <v>#REF!</v>
      </c>
      <c r="K34" s="110" t="str">
        <f t="shared" si="28"/>
        <v>-</v>
      </c>
      <c r="L34" s="111">
        <f t="shared" si="26"/>
        <v>0</v>
      </c>
      <c r="M34" s="113" t="e">
        <f t="shared" si="19"/>
        <v>#REF!</v>
      </c>
      <c r="N34" s="103" t="e">
        <f t="shared" si="1"/>
        <v>#REF!</v>
      </c>
      <c r="O34" s="102" t="str">
        <f t="shared" si="29"/>
        <v xml:space="preserve"> </v>
      </c>
      <c r="P34" s="111" t="str">
        <f t="shared" si="21"/>
        <v xml:space="preserve"> </v>
      </c>
      <c r="Q34" s="113" t="e">
        <f t="shared" si="30"/>
        <v>#REF!</v>
      </c>
      <c r="R34" s="103" t="e">
        <f t="shared" si="2"/>
        <v>#REF!</v>
      </c>
      <c r="S34" s="102" t="str">
        <f t="shared" si="31"/>
        <v xml:space="preserve"> </v>
      </c>
      <c r="T34" s="111" t="str">
        <f t="shared" si="3"/>
        <v xml:space="preserve"> </v>
      </c>
      <c r="U34" s="118" t="str">
        <f>IF(TYPE(#REF!)=1,ROUND(#REF!-((#REF!-1)*(SQRT(#REF!)-1)/(SQRT(#REF!)-1)),0)," ")</f>
        <v xml:space="preserve"> </v>
      </c>
    </row>
    <row r="35" spans="1:21" s="92" customFormat="1" ht="31.9" hidden="1" customHeight="1">
      <c r="A35" s="99">
        <f t="shared" si="14"/>
        <v>23</v>
      </c>
      <c r="B35" s="100">
        <f>'Уч-ки'!B35</f>
        <v>0</v>
      </c>
      <c r="C35" s="41" t="str">
        <f>VLOOKUP(B35,'Уч-ки'!$B$8:$H$38,2,FALSE)&amp;"                                "&amp;VLOOKUP(B35,'Уч-ки'!$B$8:$H$38,4,FALSE)</f>
        <v xml:space="preserve">                                  </v>
      </c>
      <c r="D35" s="69" t="str">
        <f>VLOOKUP(B35,'Уч-ки'!$B$8:$H$38,3,FALSE)&amp;"                           "&amp;VLOOKUP(B35,'Уч-ки'!$B$8:$H$38,5,FALSE)</f>
        <v>0                           0</v>
      </c>
      <c r="E35" s="104">
        <f>VLOOKUP(B35,'Уч-ки'!$B$8:$H$38,6,FALSE)</f>
        <v>0</v>
      </c>
      <c r="F35" s="104">
        <f>VLOOKUP(B35,'Уч-ки'!$B$8:$H$38,7,FALSE)</f>
        <v>0</v>
      </c>
      <c r="G35" s="101" t="e">
        <f>VLOOKUP(B35,Секц.1!$A$8:$AV$38,141,FALSE)</f>
        <v>#REF!</v>
      </c>
      <c r="H35" s="101" t="e">
        <f>VLOOKUP(C35,Секц.1!$A$8:$AV$38,141,FALSE)</f>
        <v>#N/A</v>
      </c>
      <c r="I35" s="107" t="e">
        <f t="shared" si="15"/>
        <v>#REF!</v>
      </c>
      <c r="J35" s="189" t="e">
        <f t="shared" si="16"/>
        <v>#REF!</v>
      </c>
      <c r="K35" s="110" t="str">
        <f t="shared" si="28"/>
        <v>-</v>
      </c>
      <c r="L35" s="111">
        <f t="shared" si="26"/>
        <v>0</v>
      </c>
      <c r="M35" s="113" t="e">
        <f t="shared" si="19"/>
        <v>#REF!</v>
      </c>
      <c r="N35" s="103" t="e">
        <f t="shared" si="1"/>
        <v>#REF!</v>
      </c>
      <c r="O35" s="102" t="str">
        <f t="shared" si="29"/>
        <v xml:space="preserve"> </v>
      </c>
      <c r="P35" s="111" t="str">
        <f t="shared" si="21"/>
        <v xml:space="preserve"> </v>
      </c>
      <c r="Q35" s="113" t="e">
        <f t="shared" si="30"/>
        <v>#REF!</v>
      </c>
      <c r="R35" s="103" t="e">
        <f t="shared" si="2"/>
        <v>#REF!</v>
      </c>
      <c r="S35" s="102" t="str">
        <f t="shared" si="31"/>
        <v xml:space="preserve"> </v>
      </c>
      <c r="T35" s="111" t="str">
        <f t="shared" si="3"/>
        <v xml:space="preserve"> </v>
      </c>
      <c r="U35" s="118" t="str">
        <f>IF(TYPE(#REF!)=1,ROUND(#REF!-((#REF!-1)*(SQRT(#REF!)-1)/(SQRT(#REF!)-1)),0)," ")</f>
        <v xml:space="preserve"> </v>
      </c>
    </row>
    <row r="36" spans="1:21" s="92" customFormat="1" ht="31.9" hidden="1" customHeight="1">
      <c r="A36" s="99">
        <f t="shared" si="14"/>
        <v>24</v>
      </c>
      <c r="B36" s="100">
        <f>'Уч-ки'!B36</f>
        <v>0</v>
      </c>
      <c r="C36" s="41" t="str">
        <f>VLOOKUP(B36,'Уч-ки'!$B$8:$H$38,2,FALSE)&amp;"                                "&amp;VLOOKUP(B36,'Уч-ки'!$B$8:$H$38,4,FALSE)</f>
        <v xml:space="preserve">                                  </v>
      </c>
      <c r="D36" s="69" t="str">
        <f>VLOOKUP(B36,'Уч-ки'!$B$8:$H$38,3,FALSE)&amp;"                           "&amp;VLOOKUP(B36,'Уч-ки'!$B$8:$H$38,5,FALSE)</f>
        <v>0                           0</v>
      </c>
      <c r="E36" s="104">
        <f>VLOOKUP(B36,'Уч-ки'!$B$8:$H$38,6,FALSE)</f>
        <v>0</v>
      </c>
      <c r="F36" s="104">
        <f>VLOOKUP(B36,'Уч-ки'!$B$8:$H$38,7,FALSE)</f>
        <v>0</v>
      </c>
      <c r="G36" s="101" t="e">
        <f>VLOOKUP(B36,Секц.1!$A$8:$AV$38,141,FALSE)</f>
        <v>#REF!</v>
      </c>
      <c r="H36" s="101" t="e">
        <f>VLOOKUP(C36,Секц.1!$A$8:$AV$38,141,FALSE)</f>
        <v>#N/A</v>
      </c>
      <c r="I36" s="107" t="e">
        <f t="shared" si="15"/>
        <v>#REF!</v>
      </c>
      <c r="J36" s="189" t="e">
        <f t="shared" si="16"/>
        <v>#REF!</v>
      </c>
      <c r="K36" s="110" t="str">
        <f t="shared" si="28"/>
        <v>-</v>
      </c>
      <c r="L36" s="111">
        <f t="shared" si="26"/>
        <v>0</v>
      </c>
      <c r="M36" s="113" t="e">
        <f t="shared" si="19"/>
        <v>#REF!</v>
      </c>
      <c r="N36" s="103" t="e">
        <f t="shared" si="1"/>
        <v>#REF!</v>
      </c>
      <c r="O36" s="102" t="str">
        <f t="shared" si="29"/>
        <v xml:space="preserve"> </v>
      </c>
      <c r="P36" s="111" t="str">
        <f t="shared" si="21"/>
        <v xml:space="preserve"> </v>
      </c>
      <c r="Q36" s="113" t="e">
        <f t="shared" si="30"/>
        <v>#REF!</v>
      </c>
      <c r="R36" s="103" t="e">
        <f t="shared" si="2"/>
        <v>#REF!</v>
      </c>
      <c r="S36" s="102" t="str">
        <f t="shared" si="31"/>
        <v xml:space="preserve"> </v>
      </c>
      <c r="T36" s="111" t="str">
        <f t="shared" si="3"/>
        <v xml:space="preserve"> </v>
      </c>
      <c r="U36" s="118" t="str">
        <f>IF(TYPE(#REF!)=1,ROUND(#REF!-((#REF!-1)*(SQRT(#REF!)-1)/(SQRT(#REF!)-1)),0)," ")</f>
        <v xml:space="preserve"> </v>
      </c>
    </row>
    <row r="37" spans="1:21" s="92" customFormat="1" ht="31.9" hidden="1" customHeight="1">
      <c r="A37" s="99">
        <f t="shared" si="14"/>
        <v>25</v>
      </c>
      <c r="B37" s="100">
        <f>'Уч-ки'!B37</f>
        <v>0</v>
      </c>
      <c r="C37" s="41" t="str">
        <f>VLOOKUP(B37,'Уч-ки'!$B$8:$H$38,2,FALSE)&amp;"                                "&amp;VLOOKUP(B37,'Уч-ки'!$B$8:$H$38,4,FALSE)</f>
        <v xml:space="preserve">                                  </v>
      </c>
      <c r="D37" s="69" t="str">
        <f>VLOOKUP(B37,'Уч-ки'!$B$8:$H$38,3,FALSE)&amp;"                           "&amp;VLOOKUP(B37,'Уч-ки'!$B$8:$H$38,5,FALSE)</f>
        <v>0                           0</v>
      </c>
      <c r="E37" s="104">
        <f>VLOOKUP(B37,'Уч-ки'!$B$8:$H$38,6,FALSE)</f>
        <v>0</v>
      </c>
      <c r="F37" s="104">
        <f>VLOOKUP(B37,'Уч-ки'!$B$8:$H$38,7,FALSE)</f>
        <v>0</v>
      </c>
      <c r="G37" s="101" t="e">
        <f>VLOOKUP(B37,Секц.1!$A$8:$AV$38,141,FALSE)</f>
        <v>#REF!</v>
      </c>
      <c r="H37" s="101" t="e">
        <f>VLOOKUP(C37,Секц.1!$A$8:$AV$38,141,FALSE)</f>
        <v>#N/A</v>
      </c>
      <c r="I37" s="107" t="e">
        <f t="shared" si="15"/>
        <v>#REF!</v>
      </c>
      <c r="J37" s="189" t="e">
        <f t="shared" si="16"/>
        <v>#REF!</v>
      </c>
      <c r="K37" s="110" t="str">
        <f t="shared" si="28"/>
        <v>-</v>
      </c>
      <c r="L37" s="111">
        <f t="shared" si="26"/>
        <v>0</v>
      </c>
      <c r="M37" s="113" t="e">
        <f t="shared" si="19"/>
        <v>#REF!</v>
      </c>
      <c r="N37" s="103" t="e">
        <f t="shared" si="1"/>
        <v>#REF!</v>
      </c>
      <c r="O37" s="102" t="str">
        <f t="shared" si="29"/>
        <v xml:space="preserve"> </v>
      </c>
      <c r="P37" s="111" t="str">
        <f t="shared" si="21"/>
        <v xml:space="preserve"> </v>
      </c>
      <c r="Q37" s="113" t="e">
        <f t="shared" si="30"/>
        <v>#REF!</v>
      </c>
      <c r="R37" s="103" t="e">
        <f t="shared" si="2"/>
        <v>#REF!</v>
      </c>
      <c r="S37" s="102" t="str">
        <f t="shared" si="31"/>
        <v xml:space="preserve"> </v>
      </c>
      <c r="T37" s="111" t="str">
        <f t="shared" si="3"/>
        <v xml:space="preserve"> </v>
      </c>
      <c r="U37" s="118" t="str">
        <f>IF(TYPE(#REF!)=1,ROUND(#REF!-((#REF!-1)*(SQRT(#REF!)-1)/(SQRT(#REF!)-1)),0)," ")</f>
        <v xml:space="preserve"> </v>
      </c>
    </row>
    <row r="38" spans="1:21" s="92" customFormat="1" ht="54" hidden="1" customHeight="1" thickBot="1">
      <c r="A38" s="99">
        <f t="shared" si="14"/>
        <v>26</v>
      </c>
      <c r="B38" s="100">
        <f>'Уч-ки'!B38</f>
        <v>0</v>
      </c>
      <c r="C38" s="41" t="str">
        <f>VLOOKUP(B38,'Уч-ки'!$B$8:$H$38,2,FALSE)&amp;"                                "&amp;VLOOKUP(B38,'Уч-ки'!$B$8:$H$38,4,FALSE)</f>
        <v xml:space="preserve">                                  </v>
      </c>
      <c r="D38" s="69" t="str">
        <f>VLOOKUP(B38,'Уч-ки'!$B$8:$H$38,3,FALSE)&amp;"                           "&amp;VLOOKUP(B38,'Уч-ки'!$B$8:$H$38,5,FALSE)</f>
        <v>0                           0</v>
      </c>
      <c r="E38" s="104">
        <f>VLOOKUP(B38,'Уч-ки'!$B$8:$H$38,6,FALSE)</f>
        <v>0</v>
      </c>
      <c r="F38" s="104">
        <f>VLOOKUP(B38,'Уч-ки'!$B$8:$H$38,7,FALSE)</f>
        <v>0</v>
      </c>
      <c r="G38" s="101" t="e">
        <f>VLOOKUP(B38,Секц.1!$A$8:$AV$38,141,FALSE)</f>
        <v>#REF!</v>
      </c>
      <c r="H38" s="101" t="e">
        <f>VLOOKUP(C38,Секц.1!$A$8:$AV$38,141,FALSE)</f>
        <v>#N/A</v>
      </c>
      <c r="I38" s="107" t="e">
        <f t="shared" si="15"/>
        <v>#REF!</v>
      </c>
      <c r="J38" s="189" t="e">
        <f t="shared" si="16"/>
        <v>#REF!</v>
      </c>
      <c r="K38" s="110" t="str">
        <f t="shared" si="28"/>
        <v>-</v>
      </c>
      <c r="L38" s="111">
        <f t="shared" si="26"/>
        <v>0</v>
      </c>
      <c r="M38" s="113" t="e">
        <f t="shared" si="19"/>
        <v>#REF!</v>
      </c>
      <c r="N38" s="103" t="e">
        <f t="shared" si="1"/>
        <v>#REF!</v>
      </c>
      <c r="O38" s="102" t="str">
        <f t="shared" si="29"/>
        <v xml:space="preserve"> </v>
      </c>
      <c r="P38" s="111" t="str">
        <f t="shared" si="21"/>
        <v xml:space="preserve"> </v>
      </c>
      <c r="Q38" s="113" t="e">
        <f t="shared" si="30"/>
        <v>#REF!</v>
      </c>
      <c r="R38" s="103" t="e">
        <f t="shared" si="2"/>
        <v>#REF!</v>
      </c>
      <c r="S38" s="102" t="str">
        <f t="shared" si="31"/>
        <v xml:space="preserve"> </v>
      </c>
      <c r="T38" s="111" t="str">
        <f t="shared" si="3"/>
        <v xml:space="preserve"> </v>
      </c>
      <c r="U38" s="118" t="str">
        <f>IF(TYPE(#REF!)=1,ROUND(#REF!-((#REF!-1)*(SQRT(#REF!)-1)/(SQRT(#REF!)-1)),0)," ")</f>
        <v xml:space="preserve"> </v>
      </c>
    </row>
    <row r="39" spans="1:21" ht="16.5" thickBot="1">
      <c r="G39" s="231" t="s">
        <v>52</v>
      </c>
      <c r="H39" s="232"/>
      <c r="I39" s="232"/>
      <c r="J39" s="188"/>
      <c r="K39" s="190">
        <v>6</v>
      </c>
      <c r="L39" s="112"/>
      <c r="M39" s="114" t="e">
        <f>SUM(M8:M15)</f>
        <v>#REF!</v>
      </c>
      <c r="N39" s="115" t="e">
        <f>IF(M39&gt;9,100,M39*10)</f>
        <v>#REF!</v>
      </c>
      <c r="O39" s="116">
        <v>3</v>
      </c>
      <c r="P39" s="112"/>
      <c r="Q39" s="114" t="e">
        <f>SUM(Q8:Q24)</f>
        <v>#REF!</v>
      </c>
      <c r="R39" s="115" t="e">
        <f>IF(Q39&gt;9,100,Q39*10)</f>
        <v>#REF!</v>
      </c>
      <c r="S39" s="116">
        <v>0</v>
      </c>
      <c r="T39" s="112"/>
      <c r="U39" s="119"/>
    </row>
    <row r="40" spans="1:21" ht="18">
      <c r="C40" s="11" t="s">
        <v>87</v>
      </c>
      <c r="D40" s="5"/>
      <c r="E40" s="8"/>
      <c r="F40" s="4" t="s">
        <v>88</v>
      </c>
    </row>
  </sheetData>
  <sortState ref="B8:I13">
    <sortCondition ref="I8:I13"/>
  </sortState>
  <mergeCells count="5">
    <mergeCell ref="G39:I39"/>
    <mergeCell ref="U3:U6"/>
    <mergeCell ref="Q3:T6"/>
    <mergeCell ref="M3:P6"/>
    <mergeCell ref="K3:L6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5" orientation="landscape" horizont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Полный список</vt:lpstr>
      <vt:lpstr>Уч-ки</vt:lpstr>
      <vt:lpstr>ТИ</vt:lpstr>
      <vt:lpstr>Старт.вед.</vt:lpstr>
      <vt:lpstr>Секц.1</vt:lpstr>
      <vt:lpstr>Пен.1</vt:lpstr>
      <vt:lpstr>Секц.2</vt:lpstr>
      <vt:lpstr>Пен.2</vt:lpstr>
      <vt:lpstr>Итог</vt:lpstr>
      <vt:lpstr>Итог!Область_печати</vt:lpstr>
      <vt:lpstr>Пен.1!Область_печати</vt:lpstr>
      <vt:lpstr>Пен.2!Область_печати</vt:lpstr>
      <vt:lpstr>'Полный список'!Область_печати</vt:lpstr>
      <vt:lpstr>Старт.вед.!Область_печати</vt:lpstr>
      <vt:lpstr>ТИ!Область_печати</vt:lpstr>
      <vt:lpstr>'Уч-ки'!Область_печати</vt:lpstr>
    </vt:vector>
  </TitlesOfParts>
  <Company>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</dc:creator>
  <cp:lastModifiedBy>Mikhail</cp:lastModifiedBy>
  <cp:lastPrinted>2023-01-07T18:46:13Z</cp:lastPrinted>
  <dcterms:created xsi:type="dcterms:W3CDTF">2004-11-17T21:52:13Z</dcterms:created>
  <dcterms:modified xsi:type="dcterms:W3CDTF">2023-01-07T18:58:19Z</dcterms:modified>
</cp:coreProperties>
</file>